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DISNEY\INFORMES DE GESTION CAM  DESDE 2012\INFORME DE GESTIÓN 2017\INFORME DE GESTION I SEMESTRE 2017\INFORME DE AVANCE I SEMESTRE 2017\"/>
    </mc:Choice>
  </mc:AlternateContent>
  <bookViews>
    <workbookView xWindow="0" yWindow="0" windowWidth="28800" windowHeight="11835" firstSheet="1" activeTab="2"/>
  </bookViews>
  <sheets>
    <sheet name="MATRIZ GENERAL CONSOLIDADA" sheetId="19" state="hidden" r:id="rId1"/>
    <sheet name="Anexo 1 Matriz SINA Inf Gestión" sheetId="9" r:id="rId2"/>
    <sheet name="Anexo 2 Matriz Inf. Ejecución" sheetId="23" r:id="rId3"/>
    <sheet name="Anexo 5.1 INGRESOS" sheetId="27" r:id="rId4"/>
    <sheet name="Anexo 5.2 GASTOS " sheetId="28" r:id="rId5"/>
    <sheet name="Anexo 3 Matriz Ind Min Jun" sheetId="18" state="hidden" r:id="rId6"/>
    <sheet name="Anexos 5-1 Ingresos " sheetId="21" state="hidden" r:id="rId7"/>
    <sheet name="Anexo 5-2 Gastos" sheetId="22" state="hidden" r:id="rId8"/>
    <sheet name="Anexo 2 Protocolo Inf Gestión" sheetId="11" state="hidden" r:id="rId9"/>
    <sheet name="Anexo 4 ProtocoloMatrizINdica" sheetId="10" state="hidden" r:id="rId10"/>
    <sheet name="Hoja1" sheetId="17" state="hidden" r:id="rId11"/>
    <sheet name="Hoja2" sheetId="24"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Print_Area" localSheetId="1">'Anexo 1 Matriz SINA Inf Gestión'!$B$1:$S$119</definedName>
    <definedName name="_xlnm.Print_Area" localSheetId="8">'Anexo 2 Protocolo Inf Gestión'!$A$1:$B$23</definedName>
    <definedName name="_xlnm.Print_Area" localSheetId="9">'Anexo 4 ProtocoloMatrizINdica'!$A$1:$B$15</definedName>
    <definedName name="_xlnm.Print_Area" localSheetId="7">'Anexo 5-2 Gastos'!$A$1:$G$55</definedName>
    <definedName name="_xlnm.Print_Area" localSheetId="6">'Anexos 5-1 Ingresos '!$A$1:$D$57</definedName>
    <definedName name="_xlnm.Print_Titles" localSheetId="1">'Anexo 1 Matriz SINA Inf Gestión'!$3:$4</definedName>
    <definedName name="_xlnm.Print_Titles" localSheetId="2">'Anexo 2 Matriz Inf. Ejecución'!$7:$8</definedName>
    <definedName name="_xlnm.Print_Titles" localSheetId="5">'Anexo 3 Matriz Ind Min Jun'!$7:$7</definedName>
    <definedName name="_xlnm.Print_Titles" localSheetId="7">'Anexo 5-2 Gastos'!$7:$8</definedName>
    <definedName name="_xlnm.Print_Titles" localSheetId="0">'MATRIZ GENERAL CONSOLIDADA'!$3:$4</definedName>
  </definedNames>
  <calcPr calcId="152511"/>
</workbook>
</file>

<file path=xl/calcChain.xml><?xml version="1.0" encoding="utf-8"?>
<calcChain xmlns="http://schemas.openxmlformats.org/spreadsheetml/2006/main">
  <c r="K37" i="9" l="1"/>
  <c r="K19" i="9"/>
  <c r="J113" i="9"/>
  <c r="J114" i="9"/>
  <c r="J115" i="9"/>
  <c r="J116" i="9"/>
  <c r="J112" i="9"/>
  <c r="J101" i="9"/>
  <c r="J103" i="9"/>
  <c r="J104" i="9"/>
  <c r="J105" i="9"/>
  <c r="J106" i="9"/>
  <c r="J107" i="9"/>
  <c r="J108" i="9"/>
  <c r="J109" i="9"/>
  <c r="F102" i="19"/>
  <c r="J102" i="9"/>
  <c r="J97" i="9"/>
  <c r="J98" i="9"/>
  <c r="J99" i="9"/>
  <c r="J96" i="9"/>
  <c r="J90" i="9"/>
  <c r="J91" i="9"/>
  <c r="J92" i="9"/>
  <c r="J93" i="9"/>
  <c r="J89" i="9"/>
  <c r="J70" i="9"/>
  <c r="J72" i="9"/>
  <c r="J73" i="9"/>
  <c r="J74" i="9"/>
  <c r="J75" i="9"/>
  <c r="J76" i="9"/>
  <c r="J77" i="9"/>
  <c r="J78" i="9"/>
  <c r="J79" i="9"/>
  <c r="J80" i="9"/>
  <c r="J81" i="9"/>
  <c r="J82" i="9"/>
  <c r="J83" i="9"/>
  <c r="J84" i="9"/>
  <c r="J85" i="9"/>
  <c r="J71" i="9"/>
  <c r="J66" i="9"/>
  <c r="J67" i="9"/>
  <c r="J68" i="9"/>
  <c r="J65" i="9"/>
  <c r="J58" i="9"/>
  <c r="J59" i="9"/>
  <c r="J60" i="9"/>
  <c r="J61" i="9"/>
  <c r="J62" i="9"/>
  <c r="J57" i="9"/>
  <c r="J48" i="9"/>
  <c r="J49" i="9"/>
  <c r="J51" i="9"/>
  <c r="J52" i="9"/>
  <c r="J53" i="9"/>
  <c r="J47" i="9"/>
  <c r="J36" i="9"/>
  <c r="J37" i="9"/>
  <c r="J38" i="9"/>
  <c r="J39" i="9"/>
  <c r="J40" i="9"/>
  <c r="J43" i="9"/>
  <c r="J44" i="9"/>
  <c r="J35" i="9"/>
  <c r="J32" i="9"/>
  <c r="J31" i="9"/>
  <c r="K31" i="9" s="1"/>
  <c r="K22" i="9"/>
  <c r="K23" i="9"/>
  <c r="J21" i="9"/>
  <c r="J22" i="9"/>
  <c r="J23" i="9"/>
  <c r="J24" i="9"/>
  <c r="J25" i="9"/>
  <c r="J26" i="9"/>
  <c r="J27" i="9"/>
  <c r="J28" i="9"/>
  <c r="J29" i="9"/>
  <c r="J20" i="9"/>
  <c r="J11" i="9"/>
  <c r="J13" i="9"/>
  <c r="J14" i="9"/>
  <c r="J15" i="9"/>
  <c r="J16" i="9"/>
  <c r="J17" i="9"/>
  <c r="J18" i="9"/>
  <c r="G107" i="19"/>
  <c r="G101" i="19" s="1"/>
  <c r="I88" i="9"/>
  <c r="I70" i="9"/>
  <c r="I64" i="9"/>
  <c r="I56" i="9"/>
  <c r="I55" i="9"/>
  <c r="I34" i="9"/>
  <c r="I46" i="9"/>
  <c r="I30" i="9"/>
  <c r="I19" i="9"/>
  <c r="I5" i="9"/>
  <c r="I6" i="9"/>
  <c r="F7" i="19"/>
  <c r="J7" i="9" s="1"/>
  <c r="K7" i="9" s="1"/>
  <c r="J19" i="9" l="1"/>
  <c r="I7" i="9" l="1"/>
  <c r="J50" i="28" l="1"/>
  <c r="I50" i="28"/>
  <c r="H50" i="28"/>
  <c r="J49" i="28"/>
  <c r="I49" i="28"/>
  <c r="H49" i="28"/>
  <c r="J48" i="28"/>
  <c r="I48" i="28"/>
  <c r="H48" i="28"/>
  <c r="J47" i="28"/>
  <c r="I47" i="28"/>
  <c r="H47" i="28"/>
  <c r="H46" i="28"/>
  <c r="D46" i="28"/>
  <c r="J46" i="28" s="1"/>
  <c r="C46" i="28"/>
  <c r="I46" i="28" s="1"/>
  <c r="B46" i="28"/>
  <c r="J45" i="28"/>
  <c r="I45" i="28"/>
  <c r="H45" i="28"/>
  <c r="J44" i="28"/>
  <c r="I44" i="28"/>
  <c r="H44" i="28"/>
  <c r="J43" i="28"/>
  <c r="I43" i="28"/>
  <c r="H43" i="28"/>
  <c r="I42" i="28"/>
  <c r="D42" i="28"/>
  <c r="J42" i="28" s="1"/>
  <c r="C42" i="28"/>
  <c r="B42" i="28"/>
  <c r="H42" i="28" s="1"/>
  <c r="J41" i="28"/>
  <c r="I41" i="28"/>
  <c r="H41" i="28"/>
  <c r="J40" i="28"/>
  <c r="H40" i="28"/>
  <c r="D40" i="28"/>
  <c r="C40" i="28"/>
  <c r="I40" i="28" s="1"/>
  <c r="B40" i="28"/>
  <c r="J39" i="28"/>
  <c r="I39" i="28"/>
  <c r="H39" i="28"/>
  <c r="J38" i="28"/>
  <c r="I38" i="28"/>
  <c r="H38" i="28"/>
  <c r="J37" i="28"/>
  <c r="I37" i="28"/>
  <c r="H37" i="28"/>
  <c r="I36" i="28"/>
  <c r="D36" i="28"/>
  <c r="J36" i="28" s="1"/>
  <c r="C36" i="28"/>
  <c r="B36" i="28"/>
  <c r="H36" i="28" s="1"/>
  <c r="J35" i="28"/>
  <c r="I35" i="28"/>
  <c r="H35" i="28"/>
  <c r="J34" i="28"/>
  <c r="I34" i="28"/>
  <c r="H34" i="28"/>
  <c r="I33" i="28"/>
  <c r="D33" i="28"/>
  <c r="J33" i="28" s="1"/>
  <c r="C33" i="28"/>
  <c r="B33" i="28"/>
  <c r="H33" i="28" s="1"/>
  <c r="J32" i="28"/>
  <c r="I32" i="28"/>
  <c r="H32" i="28"/>
  <c r="J30" i="28"/>
  <c r="I30" i="28"/>
  <c r="H30" i="28"/>
  <c r="J29" i="28"/>
  <c r="I29" i="28"/>
  <c r="H29" i="28"/>
  <c r="J28" i="28"/>
  <c r="G28" i="28"/>
  <c r="F28" i="28"/>
  <c r="F26" i="28" s="1"/>
  <c r="F51" i="28" s="1"/>
  <c r="E28" i="28"/>
  <c r="D28" i="28"/>
  <c r="D26" i="28" s="1"/>
  <c r="D51" i="28" s="1"/>
  <c r="C28" i="28"/>
  <c r="I28" i="28" s="1"/>
  <c r="B28" i="28"/>
  <c r="B26" i="28" s="1"/>
  <c r="B51" i="28" s="1"/>
  <c r="G26" i="28"/>
  <c r="G51" i="28" s="1"/>
  <c r="E26" i="28"/>
  <c r="E51" i="28" s="1"/>
  <c r="C26" i="28"/>
  <c r="C51" i="28" s="1"/>
  <c r="J23" i="28"/>
  <c r="I23" i="28"/>
  <c r="H23" i="28"/>
  <c r="J22" i="28"/>
  <c r="I22" i="28"/>
  <c r="H22" i="28"/>
  <c r="D22" i="28"/>
  <c r="J21" i="28"/>
  <c r="J20" i="28" s="1"/>
  <c r="I21" i="28"/>
  <c r="H21" i="28"/>
  <c r="H20" i="28" s="1"/>
  <c r="G21" i="28"/>
  <c r="F21" i="28"/>
  <c r="F20" i="28" s="1"/>
  <c r="E21" i="28"/>
  <c r="D21" i="28"/>
  <c r="D20" i="28" s="1"/>
  <c r="C21" i="28"/>
  <c r="B21" i="28"/>
  <c r="B20" i="28" s="1"/>
  <c r="B12" i="28" s="1"/>
  <c r="I20" i="28"/>
  <c r="G20" i="28"/>
  <c r="E20" i="28"/>
  <c r="C20" i="28"/>
  <c r="J19" i="28"/>
  <c r="J17" i="28" s="1"/>
  <c r="I19" i="28"/>
  <c r="H19" i="28"/>
  <c r="J18" i="28"/>
  <c r="I18" i="28"/>
  <c r="I17" i="28" s="1"/>
  <c r="H18" i="28"/>
  <c r="H17" i="28"/>
  <c r="H12" i="28" s="1"/>
  <c r="H24" i="28" s="1"/>
  <c r="G17" i="28"/>
  <c r="F17" i="28"/>
  <c r="E17" i="28"/>
  <c r="D17" i="28"/>
  <c r="C17" i="28"/>
  <c r="B17" i="28"/>
  <c r="I16" i="28"/>
  <c r="H16" i="28"/>
  <c r="D16" i="28"/>
  <c r="J16" i="28" s="1"/>
  <c r="I15" i="28"/>
  <c r="H15" i="28"/>
  <c r="D15" i="28"/>
  <c r="J15" i="28" s="1"/>
  <c r="I14" i="28"/>
  <c r="H14" i="28"/>
  <c r="D14" i="28"/>
  <c r="D13" i="28" s="1"/>
  <c r="D12" i="28" s="1"/>
  <c r="D24" i="28" s="1"/>
  <c r="I13" i="28"/>
  <c r="H13" i="28"/>
  <c r="G13" i="28"/>
  <c r="G12" i="28" s="1"/>
  <c r="F13" i="28"/>
  <c r="E13" i="28"/>
  <c r="E12" i="28" s="1"/>
  <c r="C13" i="28"/>
  <c r="C12" i="28" s="1"/>
  <c r="B13" i="28"/>
  <c r="F12" i="28"/>
  <c r="I11" i="28"/>
  <c r="H11" i="28"/>
  <c r="G11" i="28"/>
  <c r="J11" i="28" s="1"/>
  <c r="I10" i="28"/>
  <c r="H10" i="28"/>
  <c r="G10" i="28"/>
  <c r="J10" i="28" s="1"/>
  <c r="J9" i="28"/>
  <c r="I9" i="28"/>
  <c r="I8" i="28" s="1"/>
  <c r="H9" i="28"/>
  <c r="H8" i="28"/>
  <c r="F8" i="28"/>
  <c r="F24" i="28" s="1"/>
  <c r="E8" i="28"/>
  <c r="D8" i="28"/>
  <c r="C8" i="28"/>
  <c r="C24" i="28" s="1"/>
  <c r="B8" i="28"/>
  <c r="B24" i="28" s="1"/>
  <c r="I7" i="28"/>
  <c r="H7" i="28"/>
  <c r="G7" i="28"/>
  <c r="A3" i="28"/>
  <c r="D49" i="27"/>
  <c r="C49" i="27"/>
  <c r="D43" i="27"/>
  <c r="D41" i="27" s="1"/>
  <c r="D33" i="27" s="1"/>
  <c r="C41" i="27"/>
  <c r="C33" i="27" s="1"/>
  <c r="D25" i="27"/>
  <c r="C25" i="27"/>
  <c r="D20" i="27"/>
  <c r="C20" i="27"/>
  <c r="D13" i="27"/>
  <c r="C13" i="27"/>
  <c r="D12" i="27"/>
  <c r="D7" i="27" s="1"/>
  <c r="C12" i="27"/>
  <c r="D8" i="27"/>
  <c r="C8" i="27"/>
  <c r="C7" i="27"/>
  <c r="C4" i="27"/>
  <c r="A3" i="27"/>
  <c r="J8" i="28" l="1"/>
  <c r="I26" i="28"/>
  <c r="I51" i="28" s="1"/>
  <c r="I12" i="28"/>
  <c r="I24" i="28" s="1"/>
  <c r="J26" i="28"/>
  <c r="J51" i="28" s="1"/>
  <c r="E24" i="28"/>
  <c r="G8" i="28"/>
  <c r="G24" i="28" s="1"/>
  <c r="J14" i="28"/>
  <c r="J13" i="28" s="1"/>
  <c r="J12" i="28" s="1"/>
  <c r="H28" i="28"/>
  <c r="H26" i="28" s="1"/>
  <c r="H51" i="28" s="1"/>
  <c r="J7" i="28"/>
  <c r="J24" i="28" s="1"/>
  <c r="C6" i="27"/>
  <c r="C54" i="27" s="1"/>
  <c r="D6" i="27"/>
  <c r="D54" i="27" s="1"/>
  <c r="G41" i="23"/>
  <c r="O49" i="19"/>
  <c r="O46" i="19"/>
  <c r="E13" i="9"/>
  <c r="E12" i="9"/>
  <c r="G14" i="23" s="1"/>
  <c r="E15" i="9"/>
  <c r="E24" i="9"/>
  <c r="Q107" i="9"/>
  <c r="Q29" i="9"/>
  <c r="Q7" i="9"/>
  <c r="P32" i="9"/>
  <c r="P7" i="9"/>
  <c r="O30" i="19"/>
  <c r="O19" i="19"/>
  <c r="O5" i="19" s="1"/>
  <c r="O6" i="19"/>
  <c r="G116" i="19"/>
  <c r="Q116" i="9" s="1"/>
  <c r="I46" i="19"/>
  <c r="I30" i="19"/>
  <c r="I6" i="19"/>
  <c r="G102" i="19"/>
  <c r="Q102" i="9" s="1"/>
  <c r="G8" i="19"/>
  <c r="Q8" i="9" s="1"/>
  <c r="G17" i="19"/>
  <c r="Q17" i="9" s="1"/>
  <c r="G16" i="19"/>
  <c r="Q16" i="9" s="1"/>
  <c r="Q56" i="19"/>
  <c r="Q6" i="19"/>
  <c r="Q19" i="19"/>
  <c r="Q30" i="19"/>
  <c r="Q34" i="19"/>
  <c r="Q46" i="19"/>
  <c r="Q64" i="19"/>
  <c r="Q70" i="19"/>
  <c r="Q69" i="19" s="1"/>
  <c r="Q88" i="19"/>
  <c r="Q95" i="19"/>
  <c r="Q101" i="19"/>
  <c r="Q111" i="19"/>
  <c r="Q100" i="19"/>
  <c r="E20" i="9"/>
  <c r="E21" i="9"/>
  <c r="F21" i="9" s="1"/>
  <c r="I51" i="9"/>
  <c r="E36" i="9"/>
  <c r="E37" i="9"/>
  <c r="E38" i="9"/>
  <c r="E39" i="9"/>
  <c r="E40" i="9"/>
  <c r="E41" i="9"/>
  <c r="F41" i="9" s="1"/>
  <c r="E42" i="9"/>
  <c r="F42" i="9" s="1"/>
  <c r="E43" i="9"/>
  <c r="E44" i="9"/>
  <c r="E45" i="9"/>
  <c r="E35" i="9"/>
  <c r="E25" i="9"/>
  <c r="I21" i="9"/>
  <c r="E8" i="9"/>
  <c r="G10" i="23" s="1"/>
  <c r="E9" i="9"/>
  <c r="E10" i="9"/>
  <c r="H10" i="9" s="1"/>
  <c r="E11" i="9"/>
  <c r="E14" i="9"/>
  <c r="E16" i="9"/>
  <c r="E17" i="9"/>
  <c r="K17" i="9" s="1"/>
  <c r="E18" i="9"/>
  <c r="E7" i="9"/>
  <c r="H7" i="9" s="1"/>
  <c r="H27" i="23"/>
  <c r="G27" i="23"/>
  <c r="F27" i="23"/>
  <c r="E27" i="23"/>
  <c r="I119" i="23"/>
  <c r="I120" i="23"/>
  <c r="I121" i="23"/>
  <c r="I122" i="23"/>
  <c r="I123" i="23"/>
  <c r="I118" i="23"/>
  <c r="O88" i="19"/>
  <c r="O101" i="19"/>
  <c r="O95" i="19"/>
  <c r="O87" i="19" s="1"/>
  <c r="E49" i="23"/>
  <c r="F49" i="19"/>
  <c r="F116" i="19"/>
  <c r="F114" i="19"/>
  <c r="F113" i="19"/>
  <c r="F112" i="19"/>
  <c r="F109" i="19"/>
  <c r="F108" i="19"/>
  <c r="F107" i="19"/>
  <c r="F105" i="19"/>
  <c r="F104" i="19"/>
  <c r="F103" i="19"/>
  <c r="F97" i="19"/>
  <c r="F96" i="19"/>
  <c r="F93" i="19"/>
  <c r="F92" i="19"/>
  <c r="F91" i="19"/>
  <c r="F90" i="19"/>
  <c r="F89" i="19"/>
  <c r="F85" i="19"/>
  <c r="F84" i="19"/>
  <c r="F83" i="19"/>
  <c r="F82" i="19"/>
  <c r="F81" i="19"/>
  <c r="F80" i="19"/>
  <c r="F79" i="19"/>
  <c r="F78" i="19"/>
  <c r="F77" i="19"/>
  <c r="F76" i="19"/>
  <c r="F73" i="19"/>
  <c r="F72" i="19"/>
  <c r="F71" i="19"/>
  <c r="F67" i="19"/>
  <c r="F66" i="19"/>
  <c r="F65" i="19"/>
  <c r="F62" i="19"/>
  <c r="F61" i="19"/>
  <c r="F60" i="19"/>
  <c r="F59" i="19"/>
  <c r="F58" i="19"/>
  <c r="F53" i="19"/>
  <c r="F51" i="19"/>
  <c r="F50" i="19"/>
  <c r="J50" i="9" s="1"/>
  <c r="J46" i="9" s="1"/>
  <c r="F48" i="19"/>
  <c r="F47" i="19"/>
  <c r="F44" i="19"/>
  <c r="F43" i="19"/>
  <c r="F42" i="19"/>
  <c r="J42" i="9" s="1"/>
  <c r="F41" i="19"/>
  <c r="J41" i="9" s="1"/>
  <c r="F40" i="19"/>
  <c r="F39" i="19"/>
  <c r="F38" i="19"/>
  <c r="F37" i="19"/>
  <c r="F36" i="19"/>
  <c r="F35" i="19"/>
  <c r="D32" i="19"/>
  <c r="F32" i="19"/>
  <c r="F31" i="19"/>
  <c r="F29" i="19"/>
  <c r="D29" i="19"/>
  <c r="F27" i="19"/>
  <c r="F26" i="19"/>
  <c r="D25" i="19"/>
  <c r="I25" i="9" s="1"/>
  <c r="D24" i="19"/>
  <c r="F24" i="19"/>
  <c r="F23" i="19"/>
  <c r="D22" i="19"/>
  <c r="I22" i="9" s="1"/>
  <c r="F22" i="19"/>
  <c r="F20" i="19"/>
  <c r="F18" i="19"/>
  <c r="F17" i="19"/>
  <c r="F16" i="19"/>
  <c r="F15" i="19"/>
  <c r="F13" i="19"/>
  <c r="F12" i="19"/>
  <c r="J12" i="9" s="1"/>
  <c r="F11" i="19"/>
  <c r="F10" i="19"/>
  <c r="J10" i="9" s="1"/>
  <c r="D10" i="19"/>
  <c r="I10" i="9" s="1"/>
  <c r="F9" i="19"/>
  <c r="J9" i="9" s="1"/>
  <c r="F8" i="19"/>
  <c r="J8" i="9" s="1"/>
  <c r="F57" i="19"/>
  <c r="D43" i="19"/>
  <c r="I43" i="9" s="1"/>
  <c r="D40" i="19"/>
  <c r="I40" i="9" s="1"/>
  <c r="D39" i="19"/>
  <c r="D37" i="19"/>
  <c r="D38" i="19"/>
  <c r="I38" i="9" s="1"/>
  <c r="F25" i="19"/>
  <c r="I112" i="9"/>
  <c r="E113" i="9"/>
  <c r="E114" i="9"/>
  <c r="E115" i="9"/>
  <c r="E116" i="9"/>
  <c r="E117" i="9"/>
  <c r="E112" i="9"/>
  <c r="F112" i="9"/>
  <c r="D113" i="9"/>
  <c r="D114" i="9"/>
  <c r="D115" i="9"/>
  <c r="F115" i="9"/>
  <c r="D116" i="9"/>
  <c r="D117" i="9"/>
  <c r="D112" i="9"/>
  <c r="I103" i="9"/>
  <c r="E103" i="9"/>
  <c r="E104" i="9"/>
  <c r="E105" i="9"/>
  <c r="K105" i="9" s="1"/>
  <c r="E106" i="9"/>
  <c r="E107" i="9"/>
  <c r="E108" i="9"/>
  <c r="H108" i="9"/>
  <c r="E109" i="9"/>
  <c r="H109" i="9" s="1"/>
  <c r="E110" i="9"/>
  <c r="E102" i="9"/>
  <c r="D103" i="9"/>
  <c r="D104" i="9"/>
  <c r="D106" i="9"/>
  <c r="F106" i="9" s="1"/>
  <c r="D107" i="9"/>
  <c r="D108" i="9"/>
  <c r="D109" i="9"/>
  <c r="D110" i="9"/>
  <c r="D102" i="9"/>
  <c r="D97" i="9"/>
  <c r="D98" i="9"/>
  <c r="F98" i="9" s="1"/>
  <c r="D99" i="9"/>
  <c r="D96" i="9"/>
  <c r="I98" i="9"/>
  <c r="E97" i="9"/>
  <c r="H97" i="9" s="1"/>
  <c r="E98" i="9"/>
  <c r="E99" i="9"/>
  <c r="E96" i="9"/>
  <c r="D90" i="9"/>
  <c r="D91" i="9"/>
  <c r="D92" i="9"/>
  <c r="D93" i="9"/>
  <c r="D94" i="9"/>
  <c r="D89" i="9"/>
  <c r="E90" i="9"/>
  <c r="E91" i="9"/>
  <c r="E92" i="9"/>
  <c r="H92" i="9" s="1"/>
  <c r="E93" i="9"/>
  <c r="F93" i="9"/>
  <c r="E94" i="9"/>
  <c r="E89" i="9"/>
  <c r="F89" i="9" s="1"/>
  <c r="I93" i="9"/>
  <c r="I76" i="9"/>
  <c r="I80" i="9"/>
  <c r="I81" i="9"/>
  <c r="E72" i="9"/>
  <c r="E73" i="9"/>
  <c r="E74" i="9"/>
  <c r="E75" i="9"/>
  <c r="H75" i="9"/>
  <c r="E76" i="9"/>
  <c r="F76" i="9" s="1"/>
  <c r="E77" i="9"/>
  <c r="E78" i="9"/>
  <c r="E79" i="9"/>
  <c r="E80" i="9"/>
  <c r="E81" i="9"/>
  <c r="E82" i="9"/>
  <c r="E83" i="9"/>
  <c r="E84" i="9"/>
  <c r="E85" i="9"/>
  <c r="E86" i="9"/>
  <c r="E71" i="9"/>
  <c r="D72" i="9"/>
  <c r="D73" i="9"/>
  <c r="F73" i="9" s="1"/>
  <c r="D74" i="9"/>
  <c r="H74" i="9" s="1"/>
  <c r="D75" i="9"/>
  <c r="D76" i="9"/>
  <c r="D77" i="9"/>
  <c r="F77" i="9" s="1"/>
  <c r="D78" i="9"/>
  <c r="D79" i="9"/>
  <c r="D80" i="9"/>
  <c r="D81" i="9"/>
  <c r="H81" i="9" s="1"/>
  <c r="D82" i="9"/>
  <c r="F82" i="9" s="1"/>
  <c r="D83" i="9"/>
  <c r="D84" i="9"/>
  <c r="D85" i="9"/>
  <c r="D86" i="9"/>
  <c r="D71" i="9"/>
  <c r="F71" i="9"/>
  <c r="E66" i="9"/>
  <c r="H66" i="9" s="1"/>
  <c r="E67" i="9"/>
  <c r="E68" i="9"/>
  <c r="E65" i="9"/>
  <c r="D66" i="9"/>
  <c r="D67" i="9"/>
  <c r="F67" i="9" s="1"/>
  <c r="D68" i="9"/>
  <c r="D65" i="9"/>
  <c r="E58" i="9"/>
  <c r="E59" i="9"/>
  <c r="E60" i="9"/>
  <c r="H60" i="9"/>
  <c r="E61" i="9"/>
  <c r="E62" i="9"/>
  <c r="E57" i="9"/>
  <c r="D58" i="9"/>
  <c r="F58" i="9" s="1"/>
  <c r="D59" i="9"/>
  <c r="H59" i="9" s="1"/>
  <c r="D60" i="9"/>
  <c r="D61" i="9"/>
  <c r="D62" i="9"/>
  <c r="D63" i="9"/>
  <c r="D57" i="9"/>
  <c r="E53" i="9"/>
  <c r="E54" i="9"/>
  <c r="E48" i="9"/>
  <c r="E49" i="9"/>
  <c r="F49" i="9" s="1"/>
  <c r="E50" i="9"/>
  <c r="E51" i="9"/>
  <c r="E52" i="9"/>
  <c r="E47" i="9"/>
  <c r="I49" i="9"/>
  <c r="I48" i="9"/>
  <c r="D48" i="9"/>
  <c r="D49" i="9"/>
  <c r="D50" i="9"/>
  <c r="D51" i="9"/>
  <c r="D52" i="9"/>
  <c r="H52" i="9" s="1"/>
  <c r="D53" i="9"/>
  <c r="D54" i="9"/>
  <c r="D47" i="9"/>
  <c r="I39" i="9"/>
  <c r="I41" i="9"/>
  <c r="I37" i="9"/>
  <c r="D41" i="9"/>
  <c r="D42" i="9"/>
  <c r="H42" i="9" s="1"/>
  <c r="D43" i="9"/>
  <c r="H43" i="9" s="1"/>
  <c r="D44" i="9"/>
  <c r="D45" i="9"/>
  <c r="D37" i="9"/>
  <c r="H37" i="9" s="1"/>
  <c r="D38" i="9"/>
  <c r="D39" i="9"/>
  <c r="D40" i="9"/>
  <c r="H40" i="9" s="1"/>
  <c r="E32" i="9"/>
  <c r="E31" i="9"/>
  <c r="D35" i="9"/>
  <c r="I24" i="9"/>
  <c r="I27" i="9"/>
  <c r="I29" i="9"/>
  <c r="D26" i="9"/>
  <c r="D27" i="9"/>
  <c r="D28" i="9"/>
  <c r="D29" i="9"/>
  <c r="D24" i="9"/>
  <c r="D25" i="9"/>
  <c r="H25" i="9" s="1"/>
  <c r="D21" i="9"/>
  <c r="D22" i="9"/>
  <c r="D23" i="9"/>
  <c r="D20" i="9"/>
  <c r="F20" i="9" s="1"/>
  <c r="D18" i="9"/>
  <c r="H18" i="9" s="1"/>
  <c r="D15" i="9"/>
  <c r="D16" i="9"/>
  <c r="D13" i="9"/>
  <c r="H13" i="9" s="1"/>
  <c r="D14" i="9"/>
  <c r="F14" i="9"/>
  <c r="D12" i="9"/>
  <c r="D10" i="9"/>
  <c r="D11" i="9"/>
  <c r="H11" i="9"/>
  <c r="D8" i="9"/>
  <c r="D9" i="9"/>
  <c r="D7" i="9"/>
  <c r="I17" i="9"/>
  <c r="I12" i="9"/>
  <c r="I13" i="9"/>
  <c r="I11" i="9"/>
  <c r="I8" i="9"/>
  <c r="I9" i="9"/>
  <c r="G19" i="23"/>
  <c r="E22" i="9"/>
  <c r="E23" i="9"/>
  <c r="E26" i="9"/>
  <c r="E27" i="9"/>
  <c r="E28" i="9"/>
  <c r="E29" i="9"/>
  <c r="G12" i="23"/>
  <c r="X83" i="19"/>
  <c r="X13" i="19"/>
  <c r="Z9" i="19"/>
  <c r="Z8" i="19"/>
  <c r="M64" i="19"/>
  <c r="M19" i="19"/>
  <c r="Z19" i="19" s="1"/>
  <c r="N77" i="9"/>
  <c r="I103" i="23"/>
  <c r="N78" i="9"/>
  <c r="N79" i="9"/>
  <c r="I105" i="23" s="1"/>
  <c r="N81" i="9"/>
  <c r="I107" i="23" s="1"/>
  <c r="N82" i="9"/>
  <c r="N83" i="9"/>
  <c r="I109" i="23" s="1"/>
  <c r="N84" i="9"/>
  <c r="N85" i="9"/>
  <c r="I111" i="23" s="1"/>
  <c r="N86" i="9"/>
  <c r="I112" i="23" s="1"/>
  <c r="N74" i="9"/>
  <c r="I100" i="23"/>
  <c r="N72" i="9"/>
  <c r="N114" i="9"/>
  <c r="I153" i="23" s="1"/>
  <c r="N115" i="9"/>
  <c r="I154" i="23"/>
  <c r="N116" i="9"/>
  <c r="I155" i="23" s="1"/>
  <c r="N117" i="9"/>
  <c r="N113" i="9"/>
  <c r="I152" i="23" s="1"/>
  <c r="N103" i="9"/>
  <c r="I139" i="23" s="1"/>
  <c r="N104" i="9"/>
  <c r="I140" i="23" s="1"/>
  <c r="N105" i="9"/>
  <c r="N106" i="9"/>
  <c r="I141" i="23" s="1"/>
  <c r="N107" i="9"/>
  <c r="I142" i="23" s="1"/>
  <c r="N108" i="9"/>
  <c r="I143" i="23" s="1"/>
  <c r="N109" i="9"/>
  <c r="I144" i="23" s="1"/>
  <c r="N110" i="9"/>
  <c r="I145" i="23" s="1"/>
  <c r="N102" i="9"/>
  <c r="N97" i="9"/>
  <c r="N98" i="9"/>
  <c r="I131" i="23"/>
  <c r="N99" i="9"/>
  <c r="I132" i="23" s="1"/>
  <c r="J132" i="23" s="1"/>
  <c r="N96" i="9"/>
  <c r="I129" i="23" s="1"/>
  <c r="J129" i="23" s="1"/>
  <c r="N90" i="9"/>
  <c r="N91" i="9"/>
  <c r="N92" i="9"/>
  <c r="N93" i="9"/>
  <c r="N94" i="9"/>
  <c r="N89" i="9"/>
  <c r="N67" i="9"/>
  <c r="I90" i="23" s="1"/>
  <c r="N68" i="9"/>
  <c r="I91" i="23"/>
  <c r="N66" i="9"/>
  <c r="I89" i="23" s="1"/>
  <c r="N58" i="9"/>
  <c r="I77" i="23"/>
  <c r="N59" i="9"/>
  <c r="N60" i="9"/>
  <c r="I79" i="23" s="1"/>
  <c r="N61" i="9"/>
  <c r="I80" i="23" s="1"/>
  <c r="N62" i="9"/>
  <c r="I81" i="23" s="1"/>
  <c r="N63" i="9"/>
  <c r="I82" i="23" s="1"/>
  <c r="N57" i="9"/>
  <c r="N49" i="9"/>
  <c r="I65" i="23" s="1"/>
  <c r="N50" i="9"/>
  <c r="I66" i="23"/>
  <c r="N51" i="9"/>
  <c r="I67" i="23" s="1"/>
  <c r="N52" i="9"/>
  <c r="I68" i="23" s="1"/>
  <c r="N53" i="9"/>
  <c r="I69" i="23" s="1"/>
  <c r="N54" i="9"/>
  <c r="I70" i="23" s="1"/>
  <c r="N48" i="9"/>
  <c r="N37" i="9"/>
  <c r="I49" i="23" s="1"/>
  <c r="N38" i="9"/>
  <c r="I50" i="23" s="1"/>
  <c r="N39" i="9"/>
  <c r="I51" i="23" s="1"/>
  <c r="N40" i="9"/>
  <c r="I52" i="23" s="1"/>
  <c r="N41" i="9"/>
  <c r="I53" i="23" s="1"/>
  <c r="N42" i="9"/>
  <c r="I54" i="23" s="1"/>
  <c r="N43" i="9"/>
  <c r="I55" i="23" s="1"/>
  <c r="N44" i="9"/>
  <c r="I56" i="23" s="1"/>
  <c r="N45" i="9"/>
  <c r="I57" i="23"/>
  <c r="N36" i="9"/>
  <c r="N32" i="9"/>
  <c r="I41" i="23"/>
  <c r="N31" i="9"/>
  <c r="I40" i="23" s="1"/>
  <c r="J40" i="23" s="1"/>
  <c r="N22" i="9"/>
  <c r="I27" i="23" s="1"/>
  <c r="N23" i="9"/>
  <c r="I28" i="23"/>
  <c r="J28" i="23"/>
  <c r="N24" i="9"/>
  <c r="I29" i="23" s="1"/>
  <c r="N25" i="9"/>
  <c r="I30" i="23" s="1"/>
  <c r="N26" i="9"/>
  <c r="I31" i="23"/>
  <c r="N27" i="9"/>
  <c r="N28" i="9"/>
  <c r="I33" i="23"/>
  <c r="N29" i="9"/>
  <c r="I34" i="23" s="1"/>
  <c r="N21" i="9"/>
  <c r="I26" i="23" s="1"/>
  <c r="N9" i="9"/>
  <c r="I9" i="23" s="1"/>
  <c r="N10" i="9"/>
  <c r="I12" i="23" s="1"/>
  <c r="J12" i="23" s="1"/>
  <c r="N11" i="9"/>
  <c r="N12" i="9"/>
  <c r="I14" i="23" s="1"/>
  <c r="N13" i="9"/>
  <c r="I15" i="23" s="1"/>
  <c r="N14" i="9"/>
  <c r="N15" i="9"/>
  <c r="I17" i="23" s="1"/>
  <c r="N16" i="9"/>
  <c r="I18" i="23" s="1"/>
  <c r="N17" i="9"/>
  <c r="N18" i="9"/>
  <c r="I19" i="23" s="1"/>
  <c r="N8" i="9"/>
  <c r="M113" i="9"/>
  <c r="H152" i="23" s="1"/>
  <c r="J152" i="23" s="1"/>
  <c r="M112" i="9"/>
  <c r="H151" i="23" s="1"/>
  <c r="M103" i="9"/>
  <c r="H139" i="23"/>
  <c r="J139" i="23" s="1"/>
  <c r="M104" i="9"/>
  <c r="H140" i="23" s="1"/>
  <c r="M105" i="9"/>
  <c r="M106" i="9"/>
  <c r="M107" i="9"/>
  <c r="H142" i="23" s="1"/>
  <c r="J142" i="23" s="1"/>
  <c r="M108" i="9"/>
  <c r="H143" i="23" s="1"/>
  <c r="J143" i="23"/>
  <c r="M109" i="9"/>
  <c r="H144" i="23" s="1"/>
  <c r="J144" i="23" s="1"/>
  <c r="M102" i="9"/>
  <c r="H138" i="23"/>
  <c r="O102" i="9"/>
  <c r="M98" i="9"/>
  <c r="M99" i="9"/>
  <c r="M96" i="9"/>
  <c r="O96" i="9" s="1"/>
  <c r="M92" i="9"/>
  <c r="H121" i="23" s="1"/>
  <c r="J121" i="23" s="1"/>
  <c r="M82" i="9"/>
  <c r="M83" i="9"/>
  <c r="M85" i="9"/>
  <c r="M72" i="9"/>
  <c r="M73" i="9"/>
  <c r="M74" i="9"/>
  <c r="O74" i="9" s="1"/>
  <c r="M75" i="9"/>
  <c r="M76" i="9"/>
  <c r="M71" i="9"/>
  <c r="M67" i="9"/>
  <c r="M68" i="9"/>
  <c r="H91" i="23"/>
  <c r="M66" i="9"/>
  <c r="H89" i="23" s="1"/>
  <c r="J89" i="23" s="1"/>
  <c r="M58" i="9"/>
  <c r="H77" i="23" s="1"/>
  <c r="J77" i="23" s="1"/>
  <c r="M59" i="9"/>
  <c r="M60" i="9"/>
  <c r="H79" i="23"/>
  <c r="J79" i="23" s="1"/>
  <c r="M61" i="9"/>
  <c r="H80" i="23" s="1"/>
  <c r="M62" i="9"/>
  <c r="H81" i="23"/>
  <c r="M57" i="9"/>
  <c r="H76" i="23"/>
  <c r="M53" i="9"/>
  <c r="M49" i="9"/>
  <c r="O49" i="9" s="1"/>
  <c r="M50" i="9"/>
  <c r="M52" i="9"/>
  <c r="M42" i="9"/>
  <c r="H54" i="23" s="1"/>
  <c r="J54" i="23" s="1"/>
  <c r="M43" i="9"/>
  <c r="H55" i="23" s="1"/>
  <c r="M37" i="9"/>
  <c r="H49" i="23"/>
  <c r="M39" i="9"/>
  <c r="M41" i="9"/>
  <c r="H53" i="23"/>
  <c r="M36" i="9"/>
  <c r="H48" i="23" s="1"/>
  <c r="M32" i="9"/>
  <c r="M31" i="9"/>
  <c r="M30" i="9" s="1"/>
  <c r="M29" i="9"/>
  <c r="M28" i="9"/>
  <c r="O28" i="9" s="1"/>
  <c r="M27" i="9"/>
  <c r="M26" i="9"/>
  <c r="O26" i="9" s="1"/>
  <c r="M25" i="9"/>
  <c r="M24" i="9"/>
  <c r="O24" i="9" s="1"/>
  <c r="M23" i="9"/>
  <c r="O23" i="9" s="1"/>
  <c r="M22" i="9"/>
  <c r="M21" i="9"/>
  <c r="M9" i="9"/>
  <c r="H11" i="23"/>
  <c r="M11" i="9"/>
  <c r="H13" i="23" s="1"/>
  <c r="M12" i="9"/>
  <c r="M13" i="9"/>
  <c r="M14" i="9"/>
  <c r="H16" i="23" s="1"/>
  <c r="M16" i="9"/>
  <c r="M17" i="9"/>
  <c r="M18" i="9"/>
  <c r="O18" i="9"/>
  <c r="G98" i="19"/>
  <c r="Q98" i="9" s="1"/>
  <c r="G152" i="23"/>
  <c r="G153" i="23"/>
  <c r="G154" i="23"/>
  <c r="G155" i="23"/>
  <c r="G156" i="23"/>
  <c r="G151" i="23"/>
  <c r="F152" i="23"/>
  <c r="F153" i="23"/>
  <c r="F154" i="23"/>
  <c r="F155" i="23"/>
  <c r="F156" i="23"/>
  <c r="F151" i="23"/>
  <c r="E152" i="23"/>
  <c r="E153" i="23"/>
  <c r="E154" i="23"/>
  <c r="E155" i="23"/>
  <c r="E156" i="23"/>
  <c r="E151" i="23"/>
  <c r="G139" i="23"/>
  <c r="G140" i="23"/>
  <c r="G141" i="23"/>
  <c r="G142" i="23"/>
  <c r="G143" i="23"/>
  <c r="G144" i="23"/>
  <c r="G145" i="23"/>
  <c r="G138" i="23"/>
  <c r="F139" i="23"/>
  <c r="F140" i="23"/>
  <c r="F141" i="23"/>
  <c r="F142" i="23"/>
  <c r="F143" i="23"/>
  <c r="F144" i="23"/>
  <c r="F145" i="23"/>
  <c r="F138" i="23"/>
  <c r="E139" i="23"/>
  <c r="E140" i="23"/>
  <c r="E141" i="23"/>
  <c r="E142" i="23"/>
  <c r="E143" i="23"/>
  <c r="E144" i="23"/>
  <c r="E145" i="23"/>
  <c r="E138" i="23"/>
  <c r="H131" i="23"/>
  <c r="J131" i="23" s="1"/>
  <c r="H132" i="23"/>
  <c r="H129" i="23"/>
  <c r="G130" i="23"/>
  <c r="G131" i="23"/>
  <c r="G132" i="23"/>
  <c r="G129" i="23"/>
  <c r="F130" i="23"/>
  <c r="F131" i="23"/>
  <c r="F132" i="23"/>
  <c r="F129" i="23"/>
  <c r="E130" i="23"/>
  <c r="E131" i="23"/>
  <c r="E132" i="23"/>
  <c r="E129" i="23"/>
  <c r="F119" i="23"/>
  <c r="F120" i="23"/>
  <c r="F121" i="23"/>
  <c r="F122" i="23"/>
  <c r="F123" i="23"/>
  <c r="F118" i="23"/>
  <c r="G119" i="23"/>
  <c r="G120" i="23"/>
  <c r="G121" i="23"/>
  <c r="G122" i="23"/>
  <c r="G123" i="23"/>
  <c r="G118" i="23"/>
  <c r="E119" i="23"/>
  <c r="E120" i="23"/>
  <c r="E121" i="23"/>
  <c r="E122" i="23"/>
  <c r="E123" i="23"/>
  <c r="E118" i="23"/>
  <c r="I98" i="23"/>
  <c r="I99" i="23"/>
  <c r="I97" i="23"/>
  <c r="H98" i="23"/>
  <c r="J98" i="23" s="1"/>
  <c r="H99" i="23"/>
  <c r="J99" i="23" s="1"/>
  <c r="H100" i="23"/>
  <c r="H101" i="23"/>
  <c r="H102" i="23"/>
  <c r="H108" i="23"/>
  <c r="H109" i="23"/>
  <c r="H111" i="23"/>
  <c r="H97" i="23"/>
  <c r="J97" i="23" s="1"/>
  <c r="G98" i="23"/>
  <c r="G99" i="23"/>
  <c r="G100" i="23"/>
  <c r="G101" i="23"/>
  <c r="G102" i="23"/>
  <c r="G103" i="23"/>
  <c r="G104" i="23"/>
  <c r="G105" i="23"/>
  <c r="G106" i="23"/>
  <c r="G107" i="23"/>
  <c r="G108" i="23"/>
  <c r="G109" i="23"/>
  <c r="G110" i="23"/>
  <c r="G111" i="23"/>
  <c r="G112" i="23"/>
  <c r="G97" i="23"/>
  <c r="F98" i="23"/>
  <c r="F99" i="23"/>
  <c r="F100" i="23"/>
  <c r="F101" i="23"/>
  <c r="F102" i="23"/>
  <c r="F103" i="23"/>
  <c r="F104" i="23"/>
  <c r="F105" i="23"/>
  <c r="F106" i="23"/>
  <c r="F107" i="23"/>
  <c r="F108" i="23"/>
  <c r="F109" i="23"/>
  <c r="F110" i="23"/>
  <c r="F111" i="23"/>
  <c r="F112" i="23"/>
  <c r="F97" i="23"/>
  <c r="E98" i="23"/>
  <c r="E99" i="23"/>
  <c r="E100" i="23"/>
  <c r="E101" i="23"/>
  <c r="E102" i="23"/>
  <c r="E103" i="23"/>
  <c r="E104" i="23"/>
  <c r="E105" i="23"/>
  <c r="E106" i="23"/>
  <c r="E107" i="23"/>
  <c r="E108" i="23"/>
  <c r="E109" i="23"/>
  <c r="E110" i="23"/>
  <c r="E111" i="23"/>
  <c r="E112" i="23"/>
  <c r="E97" i="23"/>
  <c r="I88" i="23"/>
  <c r="H88" i="23"/>
  <c r="G89" i="23"/>
  <c r="G90" i="23"/>
  <c r="G91" i="23"/>
  <c r="G88" i="23"/>
  <c r="F89" i="23"/>
  <c r="F90" i="23"/>
  <c r="F91" i="23"/>
  <c r="F88" i="23"/>
  <c r="E89" i="23"/>
  <c r="E90" i="23"/>
  <c r="E91" i="23"/>
  <c r="E88" i="23"/>
  <c r="G77" i="23"/>
  <c r="G78" i="23"/>
  <c r="G79" i="23"/>
  <c r="G80" i="23"/>
  <c r="G81" i="23"/>
  <c r="G82" i="23"/>
  <c r="G76" i="23"/>
  <c r="F77" i="23"/>
  <c r="F78" i="23"/>
  <c r="F79" i="23"/>
  <c r="F80" i="23"/>
  <c r="F81" i="23"/>
  <c r="F82" i="23"/>
  <c r="F76" i="23"/>
  <c r="E77" i="23"/>
  <c r="E78" i="23"/>
  <c r="E79" i="23"/>
  <c r="E80" i="23"/>
  <c r="E81" i="23"/>
  <c r="E82" i="23"/>
  <c r="E76" i="23"/>
  <c r="I63" i="23"/>
  <c r="H66" i="23"/>
  <c r="J66" i="23" s="1"/>
  <c r="H68" i="23"/>
  <c r="J68" i="23" s="1"/>
  <c r="H63" i="23"/>
  <c r="J63" i="23" s="1"/>
  <c r="G64" i="23"/>
  <c r="G65" i="23"/>
  <c r="G66" i="23"/>
  <c r="G67" i="23"/>
  <c r="G68" i="23"/>
  <c r="G69" i="23"/>
  <c r="G70" i="23"/>
  <c r="G63" i="23"/>
  <c r="F64" i="23"/>
  <c r="F65" i="23"/>
  <c r="F66" i="23"/>
  <c r="F67" i="23"/>
  <c r="F68" i="23"/>
  <c r="F69" i="23"/>
  <c r="F70" i="23"/>
  <c r="F63" i="23"/>
  <c r="E64" i="23"/>
  <c r="E65" i="23"/>
  <c r="E66" i="23"/>
  <c r="E67" i="23"/>
  <c r="E68" i="23"/>
  <c r="E69" i="23"/>
  <c r="E70" i="23"/>
  <c r="E63" i="23"/>
  <c r="I47" i="23"/>
  <c r="H47" i="23"/>
  <c r="G48" i="23"/>
  <c r="G49" i="23"/>
  <c r="G50" i="23"/>
  <c r="G51" i="23"/>
  <c r="G52" i="23"/>
  <c r="G53" i="23"/>
  <c r="G54" i="23"/>
  <c r="G55" i="23"/>
  <c r="G56" i="23"/>
  <c r="G57" i="23"/>
  <c r="G47" i="23"/>
  <c r="F49" i="23"/>
  <c r="F50" i="23"/>
  <c r="F51" i="23"/>
  <c r="F52" i="23"/>
  <c r="F53" i="23"/>
  <c r="F54" i="23"/>
  <c r="F55" i="23"/>
  <c r="F56" i="23"/>
  <c r="F57" i="23"/>
  <c r="F47" i="23"/>
  <c r="E48" i="23"/>
  <c r="E50" i="23"/>
  <c r="E51" i="23"/>
  <c r="E52" i="23"/>
  <c r="E53" i="23"/>
  <c r="E54" i="23"/>
  <c r="E55" i="23"/>
  <c r="E56" i="23"/>
  <c r="E57" i="23"/>
  <c r="E47" i="23"/>
  <c r="G40" i="23"/>
  <c r="F41" i="23"/>
  <c r="F40" i="23"/>
  <c r="E41" i="23"/>
  <c r="E40" i="23"/>
  <c r="I25" i="23"/>
  <c r="H26" i="23"/>
  <c r="J26" i="23" s="1"/>
  <c r="H29" i="23"/>
  <c r="J29" i="23" s="1"/>
  <c r="H30" i="23"/>
  <c r="J30" i="23" s="1"/>
  <c r="H31" i="23"/>
  <c r="H32" i="23"/>
  <c r="H34" i="23"/>
  <c r="H25" i="23"/>
  <c r="G26" i="23"/>
  <c r="G28" i="23"/>
  <c r="G29" i="23"/>
  <c r="G30" i="23"/>
  <c r="G31" i="23"/>
  <c r="G32" i="23"/>
  <c r="G33" i="23"/>
  <c r="G34" i="23"/>
  <c r="G25" i="23"/>
  <c r="H9" i="23"/>
  <c r="J9" i="23" s="1"/>
  <c r="F10" i="23"/>
  <c r="F11" i="23"/>
  <c r="F12" i="23"/>
  <c r="F13" i="23"/>
  <c r="F14" i="23"/>
  <c r="F15" i="23"/>
  <c r="F16" i="23"/>
  <c r="F17" i="23"/>
  <c r="F18" i="23"/>
  <c r="F19" i="23"/>
  <c r="F9" i="23"/>
  <c r="E10" i="23"/>
  <c r="E11" i="23"/>
  <c r="E12" i="23"/>
  <c r="E13" i="23"/>
  <c r="E14" i="23"/>
  <c r="E15" i="23"/>
  <c r="E16" i="23"/>
  <c r="E17" i="23"/>
  <c r="E18" i="23"/>
  <c r="E19" i="23"/>
  <c r="E9" i="23"/>
  <c r="I34" i="19"/>
  <c r="I33" i="19" s="1"/>
  <c r="I64" i="19"/>
  <c r="E20" i="19"/>
  <c r="I19" i="19"/>
  <c r="E112" i="19"/>
  <c r="E107" i="19"/>
  <c r="P107" i="9" s="1"/>
  <c r="E71" i="19"/>
  <c r="P71" i="9" s="1"/>
  <c r="E65" i="19"/>
  <c r="E58" i="19"/>
  <c r="P58" i="9" s="1"/>
  <c r="E50" i="19"/>
  <c r="P50" i="9" s="1"/>
  <c r="E52" i="19"/>
  <c r="P52" i="9" s="1"/>
  <c r="E47" i="19"/>
  <c r="E37" i="19"/>
  <c r="P37" i="9" s="1"/>
  <c r="E39" i="19"/>
  <c r="P39" i="9" s="1"/>
  <c r="E41" i="19"/>
  <c r="P41" i="9" s="1"/>
  <c r="E42" i="19"/>
  <c r="P42" i="9" s="1"/>
  <c r="E43" i="19"/>
  <c r="P43" i="9" s="1"/>
  <c r="E35" i="19"/>
  <c r="E22" i="19"/>
  <c r="P22" i="9" s="1"/>
  <c r="E9" i="19"/>
  <c r="P9" i="9" s="1"/>
  <c r="E11" i="19"/>
  <c r="P11" i="9" s="1"/>
  <c r="E13" i="19"/>
  <c r="P13" i="9" s="1"/>
  <c r="E16" i="19"/>
  <c r="P16" i="9" s="1"/>
  <c r="E17" i="19"/>
  <c r="P17" i="9" s="1"/>
  <c r="U115" i="19"/>
  <c r="U113" i="19"/>
  <c r="U103" i="19"/>
  <c r="E103" i="19"/>
  <c r="P103" i="9" s="1"/>
  <c r="U105" i="19"/>
  <c r="E105" i="19" s="1"/>
  <c r="P105" i="9" s="1"/>
  <c r="U108" i="19"/>
  <c r="E108" i="19" s="1"/>
  <c r="P108" i="9" s="1"/>
  <c r="U109" i="19"/>
  <c r="E109" i="19" s="1"/>
  <c r="P109" i="9" s="1"/>
  <c r="U110" i="19"/>
  <c r="U98" i="19"/>
  <c r="E98" i="19"/>
  <c r="P98" i="9" s="1"/>
  <c r="U99" i="19"/>
  <c r="E99" i="19" s="1"/>
  <c r="P99" i="9" s="1"/>
  <c r="U96" i="19"/>
  <c r="E96" i="19" s="1"/>
  <c r="U89" i="19"/>
  <c r="U91" i="19"/>
  <c r="U92" i="19"/>
  <c r="U73" i="19"/>
  <c r="E73" i="19" s="1"/>
  <c r="P73" i="9" s="1"/>
  <c r="U75" i="19"/>
  <c r="E75" i="19" s="1"/>
  <c r="P75" i="9" s="1"/>
  <c r="U76" i="19"/>
  <c r="E76" i="19" s="1"/>
  <c r="P76" i="9" s="1"/>
  <c r="U83" i="19"/>
  <c r="E83" i="19" s="1"/>
  <c r="P83" i="9" s="1"/>
  <c r="U85" i="19"/>
  <c r="E85" i="19" s="1"/>
  <c r="P85" i="9" s="1"/>
  <c r="U67" i="19"/>
  <c r="U64" i="19" s="1"/>
  <c r="Z65" i="19" s="1"/>
  <c r="U68" i="19"/>
  <c r="E68" i="19"/>
  <c r="P68" i="9" s="1"/>
  <c r="U62" i="19"/>
  <c r="U57" i="19"/>
  <c r="E57" i="19" s="1"/>
  <c r="P57" i="9" s="1"/>
  <c r="U32" i="19"/>
  <c r="U30" i="19"/>
  <c r="Z31" i="19" s="1"/>
  <c r="U21" i="19"/>
  <c r="U27" i="19"/>
  <c r="E27" i="19" s="1"/>
  <c r="P27" i="9" s="1"/>
  <c r="U28" i="19"/>
  <c r="E28" i="19" s="1"/>
  <c r="P28" i="9" s="1"/>
  <c r="U29" i="19"/>
  <c r="E29" i="19" s="1"/>
  <c r="P29" i="9" s="1"/>
  <c r="U26" i="19"/>
  <c r="E26" i="19" s="1"/>
  <c r="P26" i="9" s="1"/>
  <c r="Y20" i="19"/>
  <c r="E21" i="19"/>
  <c r="P21" i="9" s="1"/>
  <c r="U25" i="19"/>
  <c r="U24" i="19"/>
  <c r="E24" i="19"/>
  <c r="P24" i="9" s="1"/>
  <c r="U12" i="19"/>
  <c r="E18" i="19"/>
  <c r="P18" i="9" s="1"/>
  <c r="U14" i="19"/>
  <c r="S19" i="19"/>
  <c r="W19" i="19"/>
  <c r="N5" i="19"/>
  <c r="P5" i="19"/>
  <c r="T5" i="19"/>
  <c r="R5" i="19"/>
  <c r="M117" i="19"/>
  <c r="M117" i="9" s="1"/>
  <c r="H156" i="23" s="1"/>
  <c r="U117" i="19"/>
  <c r="M116" i="9"/>
  <c r="H155" i="23" s="1"/>
  <c r="J155" i="23" s="1"/>
  <c r="M115" i="19"/>
  <c r="M115" i="9" s="1"/>
  <c r="H154" i="23" s="1"/>
  <c r="M114" i="19"/>
  <c r="M114" i="9" s="1"/>
  <c r="H153" i="23" s="1"/>
  <c r="J153" i="23" s="1"/>
  <c r="M110" i="19"/>
  <c r="M101" i="19" s="1"/>
  <c r="E106" i="19"/>
  <c r="P106" i="9" s="1"/>
  <c r="M97" i="19"/>
  <c r="H130" i="23" s="1"/>
  <c r="H133" i="23" s="1"/>
  <c r="M94" i="19"/>
  <c r="M93" i="19"/>
  <c r="M91" i="19"/>
  <c r="M91" i="9" s="1"/>
  <c r="M90" i="19"/>
  <c r="M90" i="9" s="1"/>
  <c r="O90" i="9" s="1"/>
  <c r="M89" i="19"/>
  <c r="M89" i="9" s="1"/>
  <c r="H118" i="23" s="1"/>
  <c r="M84" i="9"/>
  <c r="U82" i="19"/>
  <c r="E82" i="19" s="1"/>
  <c r="P82" i="9" s="1"/>
  <c r="H107" i="23"/>
  <c r="M81" i="9"/>
  <c r="M80" i="19"/>
  <c r="M80" i="9" s="1"/>
  <c r="M79" i="19"/>
  <c r="M79" i="9" s="1"/>
  <c r="M78" i="9"/>
  <c r="M77" i="19"/>
  <c r="H103" i="23" s="1"/>
  <c r="E66" i="19"/>
  <c r="P66" i="9" s="1"/>
  <c r="M63" i="19"/>
  <c r="M63" i="9" s="1"/>
  <c r="M54" i="19"/>
  <c r="M54" i="9" s="1"/>
  <c r="O54" i="9" s="1"/>
  <c r="H69" i="23"/>
  <c r="H65" i="23"/>
  <c r="J65" i="23" s="1"/>
  <c r="H64" i="23"/>
  <c r="M38" i="9"/>
  <c r="M45" i="19"/>
  <c r="M34" i="19" s="1"/>
  <c r="M44" i="9"/>
  <c r="H56" i="23" s="1"/>
  <c r="E40" i="19"/>
  <c r="P40" i="9" s="1"/>
  <c r="M40" i="9"/>
  <c r="H40" i="23"/>
  <c r="H33" i="23"/>
  <c r="J33" i="23" s="1"/>
  <c r="H28" i="23"/>
  <c r="E15" i="19"/>
  <c r="P15" i="9" s="1"/>
  <c r="M8" i="19"/>
  <c r="E8" i="19" s="1"/>
  <c r="E74" i="19"/>
  <c r="P74" i="9" s="1"/>
  <c r="U60" i="19"/>
  <c r="E60" i="19" s="1"/>
  <c r="P60" i="9" s="1"/>
  <c r="U46" i="19"/>
  <c r="D108" i="19"/>
  <c r="I108" i="9" s="1"/>
  <c r="D23" i="19"/>
  <c r="I23" i="9" s="1"/>
  <c r="I101" i="19"/>
  <c r="I100" i="19"/>
  <c r="K6" i="19"/>
  <c r="G10" i="19"/>
  <c r="Q10" i="9" s="1"/>
  <c r="G21" i="19"/>
  <c r="Q21" i="9" s="1"/>
  <c r="R21" i="9" s="1"/>
  <c r="G110" i="19"/>
  <c r="Q110" i="9" s="1"/>
  <c r="G109" i="19"/>
  <c r="Q109" i="9" s="1"/>
  <c r="K29" i="9"/>
  <c r="K51" i="9"/>
  <c r="K75" i="9"/>
  <c r="G32" i="19"/>
  <c r="Q32" i="9" s="1"/>
  <c r="G31" i="19"/>
  <c r="Q31" i="9" s="1"/>
  <c r="G22" i="19"/>
  <c r="Q22" i="9" s="1"/>
  <c r="G23" i="19"/>
  <c r="Q23" i="9" s="1"/>
  <c r="G24" i="19"/>
  <c r="Q24" i="9" s="1"/>
  <c r="G25" i="19"/>
  <c r="Q25" i="9" s="1"/>
  <c r="G26" i="19"/>
  <c r="Q26" i="9" s="1"/>
  <c r="G27" i="19"/>
  <c r="Q27" i="9" s="1"/>
  <c r="G28" i="19"/>
  <c r="Q28" i="9" s="1"/>
  <c r="G29" i="19"/>
  <c r="G20" i="19"/>
  <c r="G9" i="19"/>
  <c r="G11" i="19"/>
  <c r="Q11" i="9" s="1"/>
  <c r="G12" i="19"/>
  <c r="Q12" i="9" s="1"/>
  <c r="G13" i="19"/>
  <c r="Q13" i="9" s="1"/>
  <c r="G14" i="19"/>
  <c r="Q14" i="9" s="1"/>
  <c r="G15" i="19"/>
  <c r="Q15" i="9" s="1"/>
  <c r="R15" i="9" s="1"/>
  <c r="G18" i="19"/>
  <c r="Q18" i="9" s="1"/>
  <c r="R18" i="9" s="1"/>
  <c r="G36" i="19"/>
  <c r="Q36" i="9" s="1"/>
  <c r="R36" i="9" s="1"/>
  <c r="G37" i="19"/>
  <c r="Q37" i="9" s="1"/>
  <c r="R37" i="9" s="1"/>
  <c r="G38" i="19"/>
  <c r="Q38" i="9" s="1"/>
  <c r="G39" i="19"/>
  <c r="Q39" i="9" s="1"/>
  <c r="G40" i="19"/>
  <c r="Q40" i="9" s="1"/>
  <c r="R40" i="9" s="1"/>
  <c r="G41" i="19"/>
  <c r="Q41" i="9" s="1"/>
  <c r="G42" i="19"/>
  <c r="Q42" i="9" s="1"/>
  <c r="G43" i="19"/>
  <c r="Q43" i="9" s="1"/>
  <c r="G44" i="19"/>
  <c r="Q44" i="9" s="1"/>
  <c r="G45" i="19"/>
  <c r="Q45" i="9" s="1"/>
  <c r="G35" i="19"/>
  <c r="G48" i="19"/>
  <c r="Q48" i="9" s="1"/>
  <c r="G49" i="19"/>
  <c r="Q49" i="9" s="1"/>
  <c r="R49" i="9" s="1"/>
  <c r="G50" i="19"/>
  <c r="Q50" i="9" s="1"/>
  <c r="G51" i="19"/>
  <c r="Q51" i="9" s="1"/>
  <c r="G52" i="19"/>
  <c r="Q52" i="9" s="1"/>
  <c r="G53" i="19"/>
  <c r="Q53" i="9" s="1"/>
  <c r="G54" i="19"/>
  <c r="Q54" i="9" s="1"/>
  <c r="G47" i="19"/>
  <c r="Q47" i="9" s="1"/>
  <c r="G58" i="19"/>
  <c r="Q58" i="9" s="1"/>
  <c r="G59" i="19"/>
  <c r="Q59" i="9" s="1"/>
  <c r="G60" i="19"/>
  <c r="Q60" i="9" s="1"/>
  <c r="G61" i="19"/>
  <c r="Q61" i="9" s="1"/>
  <c r="G62" i="19"/>
  <c r="Q62" i="9" s="1"/>
  <c r="G63" i="19"/>
  <c r="Q63" i="9" s="1"/>
  <c r="G57" i="19"/>
  <c r="G66" i="19"/>
  <c r="Q66" i="9" s="1"/>
  <c r="R66" i="9" s="1"/>
  <c r="G67" i="19"/>
  <c r="Q67" i="9" s="1"/>
  <c r="G68" i="19"/>
  <c r="Q68" i="9" s="1"/>
  <c r="G65" i="19"/>
  <c r="G72" i="19"/>
  <c r="Q72" i="9" s="1"/>
  <c r="G73" i="19"/>
  <c r="Q73" i="9" s="1"/>
  <c r="G74" i="19"/>
  <c r="Q74" i="9" s="1"/>
  <c r="G78" i="19"/>
  <c r="Q78" i="9" s="1"/>
  <c r="G79" i="19"/>
  <c r="Q79" i="9" s="1"/>
  <c r="G81" i="19"/>
  <c r="Q81" i="9" s="1"/>
  <c r="G82" i="19"/>
  <c r="Q82" i="9" s="1"/>
  <c r="G83" i="19"/>
  <c r="Q83" i="9" s="1"/>
  <c r="R83" i="9" s="1"/>
  <c r="G84" i="19"/>
  <c r="Q84" i="9" s="1"/>
  <c r="G85" i="19"/>
  <c r="Q85" i="9" s="1"/>
  <c r="G86" i="19"/>
  <c r="Q86" i="9" s="1"/>
  <c r="G71" i="19"/>
  <c r="Q71" i="9" s="1"/>
  <c r="G89" i="19"/>
  <c r="G90" i="19"/>
  <c r="Q90" i="9" s="1"/>
  <c r="G91" i="19"/>
  <c r="Q91" i="9" s="1"/>
  <c r="G92" i="19"/>
  <c r="Q92" i="9" s="1"/>
  <c r="G93" i="19"/>
  <c r="Q93" i="9" s="1"/>
  <c r="G94" i="19"/>
  <c r="Q94" i="9" s="1"/>
  <c r="G103" i="19"/>
  <c r="Q103" i="9" s="1"/>
  <c r="G115" i="19"/>
  <c r="Q115" i="9" s="1"/>
  <c r="G117" i="19"/>
  <c r="Q117" i="9" s="1"/>
  <c r="G113" i="19"/>
  <c r="Q113" i="9" s="1"/>
  <c r="G114" i="19"/>
  <c r="Q114" i="9" s="1"/>
  <c r="G96" i="19"/>
  <c r="G97" i="19"/>
  <c r="Q97" i="9" s="1"/>
  <c r="G99" i="19"/>
  <c r="Q99" i="9" s="1"/>
  <c r="O80" i="19"/>
  <c r="N80" i="9" s="1"/>
  <c r="I106" i="23" s="1"/>
  <c r="G80" i="19"/>
  <c r="Q80" i="9" s="1"/>
  <c r="G77" i="19"/>
  <c r="Q77" i="9" s="1"/>
  <c r="K34" i="19"/>
  <c r="O75" i="19"/>
  <c r="O76" i="19"/>
  <c r="N76" i="9" s="1"/>
  <c r="I102" i="23" s="1"/>
  <c r="J102" i="23" s="1"/>
  <c r="K70" i="19"/>
  <c r="K69" i="19" s="1"/>
  <c r="K88" i="19"/>
  <c r="K95" i="19"/>
  <c r="K87" i="19" s="1"/>
  <c r="K101" i="19"/>
  <c r="K100" i="19" s="1"/>
  <c r="K111" i="19"/>
  <c r="K19" i="19"/>
  <c r="K5" i="19" s="1"/>
  <c r="B49" i="9"/>
  <c r="D65" i="23" s="1"/>
  <c r="B48" i="9"/>
  <c r="D64" i="23" s="1"/>
  <c r="C40" i="9"/>
  <c r="B40" i="9"/>
  <c r="B24" i="9"/>
  <c r="D29" i="23" s="1"/>
  <c r="I70" i="19"/>
  <c r="I69" i="19" s="1"/>
  <c r="N30" i="9"/>
  <c r="K30" i="19"/>
  <c r="K56" i="19"/>
  <c r="K55" i="19"/>
  <c r="D18" i="19"/>
  <c r="I18" i="9" s="1"/>
  <c r="D32" i="9"/>
  <c r="F32" i="9" s="1"/>
  <c r="D31" i="9"/>
  <c r="F21" i="19"/>
  <c r="D20" i="19"/>
  <c r="I20" i="9" s="1"/>
  <c r="K20" i="9" s="1"/>
  <c r="K64" i="19"/>
  <c r="I111" i="19"/>
  <c r="I95" i="19"/>
  <c r="I56" i="19"/>
  <c r="I88" i="19"/>
  <c r="I87" i="19" s="1"/>
  <c r="N112" i="9"/>
  <c r="I151" i="23" s="1"/>
  <c r="N73" i="9"/>
  <c r="N71" i="9"/>
  <c r="N65" i="9"/>
  <c r="N64" i="9" s="1"/>
  <c r="M65" i="9"/>
  <c r="N47" i="9"/>
  <c r="N35" i="9"/>
  <c r="M35" i="9"/>
  <c r="N20" i="9"/>
  <c r="M20" i="9"/>
  <c r="H100" i="19"/>
  <c r="W111" i="19"/>
  <c r="S111" i="19"/>
  <c r="S100" i="19"/>
  <c r="O111" i="19"/>
  <c r="I146" i="23" s="1"/>
  <c r="S101" i="19"/>
  <c r="W95" i="19"/>
  <c r="S95" i="19"/>
  <c r="W88" i="19"/>
  <c r="S88" i="19"/>
  <c r="W70" i="19"/>
  <c r="S70" i="19"/>
  <c r="S69" i="19" s="1"/>
  <c r="W64" i="19"/>
  <c r="S64" i="19"/>
  <c r="O64" i="19"/>
  <c r="W56" i="19"/>
  <c r="S56" i="19"/>
  <c r="S55" i="19" s="1"/>
  <c r="O56" i="19"/>
  <c r="W46" i="19"/>
  <c r="S46" i="19"/>
  <c r="S34" i="19"/>
  <c r="O34" i="19"/>
  <c r="O33" i="19" s="1"/>
  <c r="W34" i="19"/>
  <c r="W30" i="19"/>
  <c r="W6" i="19"/>
  <c r="S6" i="19"/>
  <c r="L36" i="19"/>
  <c r="D36" i="19" s="1"/>
  <c r="I36" i="9" s="1"/>
  <c r="D116" i="19"/>
  <c r="I116" i="9" s="1"/>
  <c r="D115" i="19"/>
  <c r="I115" i="9" s="1"/>
  <c r="D114" i="19"/>
  <c r="I114" i="9" s="1"/>
  <c r="D113" i="19"/>
  <c r="I113" i="9" s="1"/>
  <c r="D109" i="19"/>
  <c r="I109" i="9" s="1"/>
  <c r="D107" i="19"/>
  <c r="I107" i="9" s="1"/>
  <c r="D106" i="19"/>
  <c r="I106" i="9" s="1"/>
  <c r="D105" i="19"/>
  <c r="I105" i="9" s="1"/>
  <c r="D104" i="19"/>
  <c r="I104" i="9"/>
  <c r="D102" i="19"/>
  <c r="I102" i="9" s="1"/>
  <c r="D99" i="19"/>
  <c r="I99" i="9" s="1"/>
  <c r="D97" i="19"/>
  <c r="I97" i="9"/>
  <c r="D96" i="19"/>
  <c r="I96" i="9" s="1"/>
  <c r="D92" i="19"/>
  <c r="I92" i="9"/>
  <c r="D91" i="19"/>
  <c r="I91" i="9" s="1"/>
  <c r="D90" i="19"/>
  <c r="I90" i="9" s="1"/>
  <c r="K90" i="9" s="1"/>
  <c r="D89" i="19"/>
  <c r="I89" i="9" s="1"/>
  <c r="D85" i="19"/>
  <c r="I85" i="9" s="1"/>
  <c r="D84" i="19"/>
  <c r="I84" i="9" s="1"/>
  <c r="D83" i="19"/>
  <c r="I83" i="9" s="1"/>
  <c r="D82" i="19"/>
  <c r="I82" i="9"/>
  <c r="K82" i="9" s="1"/>
  <c r="D79" i="19"/>
  <c r="I79" i="9" s="1"/>
  <c r="D78" i="19"/>
  <c r="I78" i="9" s="1"/>
  <c r="D77" i="19"/>
  <c r="I77" i="9" s="1"/>
  <c r="D75" i="19"/>
  <c r="I75" i="9" s="1"/>
  <c r="D72" i="19"/>
  <c r="I72" i="9"/>
  <c r="D73" i="19"/>
  <c r="I73" i="9" s="1"/>
  <c r="D74" i="19"/>
  <c r="I74" i="9" s="1"/>
  <c r="K74" i="9" s="1"/>
  <c r="D71" i="19"/>
  <c r="I71" i="9" s="1"/>
  <c r="D68" i="19"/>
  <c r="I68" i="9" s="1"/>
  <c r="D67" i="19"/>
  <c r="I67" i="9" s="1"/>
  <c r="K67" i="9" s="1"/>
  <c r="D66" i="19"/>
  <c r="I66" i="9" s="1"/>
  <c r="D65" i="19"/>
  <c r="I65" i="9" s="1"/>
  <c r="D62" i="19"/>
  <c r="I62" i="9" s="1"/>
  <c r="D61" i="19"/>
  <c r="I61" i="9"/>
  <c r="K61" i="9" s="1"/>
  <c r="D60" i="19"/>
  <c r="I60" i="9" s="1"/>
  <c r="D59" i="19"/>
  <c r="I59" i="9" s="1"/>
  <c r="D58" i="19"/>
  <c r="I58" i="9"/>
  <c r="D57" i="19"/>
  <c r="I57" i="9" s="1"/>
  <c r="D53" i="19"/>
  <c r="I53" i="9" s="1"/>
  <c r="D52" i="19"/>
  <c r="I52" i="9" s="1"/>
  <c r="D50" i="19"/>
  <c r="I50" i="9" s="1"/>
  <c r="D47" i="19"/>
  <c r="I47" i="9" s="1"/>
  <c r="D44" i="19"/>
  <c r="I44" i="9" s="1"/>
  <c r="K44" i="9" s="1"/>
  <c r="D42" i="19"/>
  <c r="I42" i="9" s="1"/>
  <c r="D35" i="19"/>
  <c r="I35" i="9" s="1"/>
  <c r="D31" i="19"/>
  <c r="D26" i="19"/>
  <c r="I26" i="9" s="1"/>
  <c r="D16" i="19"/>
  <c r="I16" i="9" s="1"/>
  <c r="D15" i="19"/>
  <c r="I15" i="9" s="1"/>
  <c r="F14" i="19"/>
  <c r="D14" i="19"/>
  <c r="I14" i="9"/>
  <c r="F28" i="19"/>
  <c r="D28" i="19"/>
  <c r="I28" i="9" s="1"/>
  <c r="G112" i="19"/>
  <c r="G108" i="19"/>
  <c r="Q108" i="9" s="1"/>
  <c r="R108" i="9" s="1"/>
  <c r="F99" i="19"/>
  <c r="W101" i="19"/>
  <c r="F75" i="19"/>
  <c r="F74" i="19"/>
  <c r="F52" i="19"/>
  <c r="D2" i="24"/>
  <c r="D5" i="24"/>
  <c r="D9" i="24"/>
  <c r="D11" i="24"/>
  <c r="D13" i="24"/>
  <c r="D14" i="24"/>
  <c r="E18" i="17"/>
  <c r="F9" i="22"/>
  <c r="G9" i="22"/>
  <c r="B10" i="22"/>
  <c r="C10" i="22"/>
  <c r="C26" i="22" s="1"/>
  <c r="D10" i="22"/>
  <c r="E10" i="22"/>
  <c r="F11" i="22"/>
  <c r="G11" i="22"/>
  <c r="F12" i="22"/>
  <c r="G12" i="22"/>
  <c r="F13" i="22"/>
  <c r="G13" i="22"/>
  <c r="G10" i="22" s="1"/>
  <c r="C15" i="22"/>
  <c r="C14" i="22" s="1"/>
  <c r="D15" i="22"/>
  <c r="D14" i="22"/>
  <c r="D26" i="22"/>
  <c r="E16" i="22"/>
  <c r="E15" i="22" s="1"/>
  <c r="E14" i="22" s="1"/>
  <c r="E26" i="22" s="1"/>
  <c r="F16" i="22"/>
  <c r="F17" i="22"/>
  <c r="G17" i="22"/>
  <c r="B18" i="22"/>
  <c r="F18" i="22" s="1"/>
  <c r="G18" i="22"/>
  <c r="B19" i="22"/>
  <c r="C19" i="22"/>
  <c r="D19" i="22"/>
  <c r="E19" i="22"/>
  <c r="F20" i="22"/>
  <c r="G20" i="22"/>
  <c r="F21" i="22"/>
  <c r="G21" i="22"/>
  <c r="G19" i="22"/>
  <c r="B23" i="22"/>
  <c r="C23" i="22"/>
  <c r="D23" i="22"/>
  <c r="E23" i="22"/>
  <c r="F24" i="22"/>
  <c r="F23" i="22" s="1"/>
  <c r="G24" i="22"/>
  <c r="G23" i="22" s="1"/>
  <c r="B29" i="22"/>
  <c r="C29" i="22"/>
  <c r="D29" i="22"/>
  <c r="E29" i="22"/>
  <c r="G29" i="22" s="1"/>
  <c r="F30" i="22"/>
  <c r="G30" i="22"/>
  <c r="F31" i="22"/>
  <c r="G31" i="22"/>
  <c r="F32" i="22"/>
  <c r="G32" i="22"/>
  <c r="F33" i="22"/>
  <c r="G33" i="22"/>
  <c r="B34" i="22"/>
  <c r="C34" i="22"/>
  <c r="D34" i="22"/>
  <c r="E34" i="22"/>
  <c r="F35" i="22"/>
  <c r="G35" i="22"/>
  <c r="F36" i="22"/>
  <c r="F34" i="22" s="1"/>
  <c r="G36" i="22"/>
  <c r="F37" i="22"/>
  <c r="G37" i="22"/>
  <c r="F38" i="22"/>
  <c r="G38" i="22"/>
  <c r="F39" i="22"/>
  <c r="G39" i="22"/>
  <c r="B40" i="22"/>
  <c r="C40" i="22"/>
  <c r="D40" i="22"/>
  <c r="E40" i="22"/>
  <c r="F41" i="22"/>
  <c r="G41" i="22"/>
  <c r="F42" i="22"/>
  <c r="G42" i="22"/>
  <c r="F43" i="22"/>
  <c r="F40" i="22" s="1"/>
  <c r="G43" i="22"/>
  <c r="G40" i="22"/>
  <c r="B44" i="22"/>
  <c r="C44" i="22"/>
  <c r="D44" i="22"/>
  <c r="E44" i="22"/>
  <c r="E28" i="22" s="1"/>
  <c r="F45" i="22"/>
  <c r="G45" i="22"/>
  <c r="F46" i="22"/>
  <c r="G46" i="22"/>
  <c r="B47" i="22"/>
  <c r="C47" i="22"/>
  <c r="D47" i="22"/>
  <c r="E47" i="22"/>
  <c r="F48" i="22"/>
  <c r="F47" i="22"/>
  <c r="G48" i="22"/>
  <c r="G47" i="22" s="1"/>
  <c r="B49" i="22"/>
  <c r="C49" i="22"/>
  <c r="D49" i="22"/>
  <c r="E49" i="22"/>
  <c r="F50" i="22"/>
  <c r="G50" i="22"/>
  <c r="G49" i="22" s="1"/>
  <c r="F51" i="22"/>
  <c r="F49" i="22"/>
  <c r="G51" i="22"/>
  <c r="F52" i="22"/>
  <c r="G52" i="22"/>
  <c r="F53" i="22"/>
  <c r="G53" i="22"/>
  <c r="F59" i="22"/>
  <c r="C9" i="21"/>
  <c r="D9" i="21"/>
  <c r="C14" i="21"/>
  <c r="D14" i="21"/>
  <c r="C22" i="21"/>
  <c r="C21" i="21" s="1"/>
  <c r="D22" i="21"/>
  <c r="D21" i="21" s="1"/>
  <c r="C25" i="21"/>
  <c r="D25" i="21"/>
  <c r="C27" i="21"/>
  <c r="D27" i="21"/>
  <c r="C29" i="21"/>
  <c r="D29" i="21"/>
  <c r="C30" i="21"/>
  <c r="D30" i="21"/>
  <c r="C32" i="21"/>
  <c r="D32" i="21"/>
  <c r="C33" i="21"/>
  <c r="D33" i="21"/>
  <c r="D34" i="21"/>
  <c r="C41" i="21"/>
  <c r="D41" i="21"/>
  <c r="C44" i="21"/>
  <c r="C42" i="21" s="1"/>
  <c r="C34" i="21" s="1"/>
  <c r="D44" i="21"/>
  <c r="C46" i="21"/>
  <c r="D46" i="21"/>
  <c r="D42" i="21" s="1"/>
  <c r="C51" i="21"/>
  <c r="D51" i="21"/>
  <c r="D50" i="21"/>
  <c r="C53" i="21"/>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K13" i="23"/>
  <c r="K20" i="23"/>
  <c r="N22" i="23"/>
  <c r="M47" i="23"/>
  <c r="N85" i="23"/>
  <c r="O85" i="23"/>
  <c r="M104" i="23"/>
  <c r="M114" i="23" s="1"/>
  <c r="N104" i="23"/>
  <c r="N114" i="23"/>
  <c r="O114" i="23"/>
  <c r="K147" i="23"/>
  <c r="M147" i="23"/>
  <c r="O147" i="23"/>
  <c r="Y17" i="19"/>
  <c r="S30" i="19"/>
  <c r="V46" i="19"/>
  <c r="F68" i="19"/>
  <c r="G104" i="19"/>
  <c r="Q104" i="9" s="1"/>
  <c r="G105" i="19"/>
  <c r="Q105" i="9" s="1"/>
  <c r="F106" i="19"/>
  <c r="G106" i="19"/>
  <c r="Q106" i="9" s="1"/>
  <c r="F115" i="19"/>
  <c r="Z68" i="19"/>
  <c r="Z74" i="19"/>
  <c r="K46" i="19"/>
  <c r="W69" i="19"/>
  <c r="F29" i="22"/>
  <c r="F10" i="22"/>
  <c r="B28" i="22"/>
  <c r="F19" i="22"/>
  <c r="B15" i="22"/>
  <c r="B14" i="22" s="1"/>
  <c r="W100" i="19"/>
  <c r="W55" i="19"/>
  <c r="H78" i="9"/>
  <c r="F59" i="9"/>
  <c r="K33" i="19"/>
  <c r="F50" i="9"/>
  <c r="F72" i="9"/>
  <c r="K16" i="9"/>
  <c r="H57" i="9"/>
  <c r="O21" i="9"/>
  <c r="F52" i="9"/>
  <c r="F57" i="9"/>
  <c r="N88" i="9"/>
  <c r="F78" i="9"/>
  <c r="H104" i="9"/>
  <c r="F75" i="9"/>
  <c r="F60" i="9"/>
  <c r="O25" i="9"/>
  <c r="F62" i="9"/>
  <c r="H62" i="9"/>
  <c r="F74" i="9"/>
  <c r="H9" i="9"/>
  <c r="O60" i="9"/>
  <c r="F66" i="9"/>
  <c r="K80" i="9"/>
  <c r="H80" i="9"/>
  <c r="F80" i="9"/>
  <c r="K49" i="9"/>
  <c r="O92" i="9"/>
  <c r="H51" i="9"/>
  <c r="F51" i="9"/>
  <c r="H49" i="9"/>
  <c r="M30" i="19"/>
  <c r="M10" i="9"/>
  <c r="O10" i="9" s="1"/>
  <c r="E59" i="19"/>
  <c r="P59" i="9" s="1"/>
  <c r="E62" i="19"/>
  <c r="P62" i="9" s="1"/>
  <c r="M15" i="9"/>
  <c r="H17" i="23" s="1"/>
  <c r="E36" i="19"/>
  <c r="P36" i="9" s="1"/>
  <c r="E32" i="19"/>
  <c r="U23" i="19"/>
  <c r="E23" i="19" s="1"/>
  <c r="P23" i="9" s="1"/>
  <c r="E38" i="19"/>
  <c r="P38" i="9" s="1"/>
  <c r="E49" i="19"/>
  <c r="P49" i="9" s="1"/>
  <c r="E92" i="19"/>
  <c r="P92" i="9" s="1"/>
  <c r="H41" i="23"/>
  <c r="J41" i="23" s="1"/>
  <c r="E53" i="19"/>
  <c r="P53" i="9" s="1"/>
  <c r="U102" i="19"/>
  <c r="E31" i="19"/>
  <c r="U81" i="19"/>
  <c r="U10" i="19"/>
  <c r="E10" i="19" s="1"/>
  <c r="P10" i="9" s="1"/>
  <c r="H12" i="23"/>
  <c r="H15" i="23"/>
  <c r="U61" i="19"/>
  <c r="E61" i="19" s="1"/>
  <c r="P61" i="9" s="1"/>
  <c r="I108" i="23"/>
  <c r="J108" i="23" s="1"/>
  <c r="O57" i="9"/>
  <c r="I76" i="23"/>
  <c r="E51" i="19"/>
  <c r="P51" i="9" s="1"/>
  <c r="R51" i="9" s="1"/>
  <c r="G16" i="23"/>
  <c r="O40" i="9"/>
  <c r="H52" i="23"/>
  <c r="E48" i="19"/>
  <c r="P48" i="9" s="1"/>
  <c r="E44" i="19"/>
  <c r="P44" i="9" s="1"/>
  <c r="U77" i="19"/>
  <c r="M48" i="9"/>
  <c r="M51" i="9"/>
  <c r="O51" i="9" s="1"/>
  <c r="H67" i="23"/>
  <c r="F65" i="9"/>
  <c r="E14" i="19"/>
  <c r="P14" i="9" s="1"/>
  <c r="U72" i="19"/>
  <c r="E72" i="19" s="1"/>
  <c r="P72" i="9" s="1"/>
  <c r="F90" i="9"/>
  <c r="U104" i="19"/>
  <c r="E104" i="19" s="1"/>
  <c r="P104" i="9" s="1"/>
  <c r="U116" i="19"/>
  <c r="E116" i="19" s="1"/>
  <c r="P116" i="9" s="1"/>
  <c r="O15" i="9"/>
  <c r="H19" i="23"/>
  <c r="O113" i="9"/>
  <c r="F108" i="9"/>
  <c r="K76" i="9"/>
  <c r="K92" i="9"/>
  <c r="F83" i="9"/>
  <c r="H104" i="23"/>
  <c r="H110" i="23"/>
  <c r="H112" i="23"/>
  <c r="U86" i="19"/>
  <c r="E86" i="19"/>
  <c r="P86" i="9" s="1"/>
  <c r="M86" i="9"/>
  <c r="M8" i="9"/>
  <c r="H10" i="23" s="1"/>
  <c r="U78" i="19"/>
  <c r="E78" i="19" s="1"/>
  <c r="P78" i="9" s="1"/>
  <c r="U84" i="19"/>
  <c r="E84" i="19" s="1"/>
  <c r="P84" i="9" s="1"/>
  <c r="O100" i="19"/>
  <c r="O103" i="9"/>
  <c r="O99" i="9"/>
  <c r="I10" i="23"/>
  <c r="K81" i="9"/>
  <c r="H72" i="9"/>
  <c r="K11" i="9"/>
  <c r="G13" i="23"/>
  <c r="G17" i="23"/>
  <c r="I43" i="23"/>
  <c r="F48" i="9"/>
  <c r="K13" i="9"/>
  <c r="I11" i="23"/>
  <c r="F10" i="9"/>
  <c r="H20" i="9"/>
  <c r="H27" i="9"/>
  <c r="H112" i="9"/>
  <c r="H90" i="9"/>
  <c r="G15" i="23"/>
  <c r="F53" i="9"/>
  <c r="F11" i="9"/>
  <c r="H22" i="9"/>
  <c r="F44" i="9"/>
  <c r="H113" i="9"/>
  <c r="F25" i="9"/>
  <c r="F13" i="9"/>
  <c r="F64" i="9"/>
  <c r="H15" i="9"/>
  <c r="H71" i="9"/>
  <c r="K48" i="9"/>
  <c r="O17" i="9"/>
  <c r="F18" i="9"/>
  <c r="J100" i="23"/>
  <c r="U95" i="19"/>
  <c r="Z96" i="19" s="1"/>
  <c r="E67" i="19"/>
  <c r="P67" i="9" s="1"/>
  <c r="U79" i="19"/>
  <c r="M93" i="9"/>
  <c r="H122" i="23" s="1"/>
  <c r="J122" i="23" s="1"/>
  <c r="U45" i="19"/>
  <c r="O114" i="9"/>
  <c r="U94" i="19"/>
  <c r="M6" i="19"/>
  <c r="U90" i="19"/>
  <c r="U93" i="19"/>
  <c r="E93" i="19" s="1"/>
  <c r="P93" i="9" s="1"/>
  <c r="J154" i="23"/>
  <c r="H106" i="23"/>
  <c r="E91" i="19"/>
  <c r="P91" i="9" s="1"/>
  <c r="U80" i="19"/>
  <c r="E80" i="19" s="1"/>
  <c r="P80" i="9" s="1"/>
  <c r="U63" i="19"/>
  <c r="U56" i="19"/>
  <c r="U55" i="19" s="1"/>
  <c r="E63" i="19"/>
  <c r="P63" i="9" s="1"/>
  <c r="P56" i="9" s="1"/>
  <c r="H114" i="9"/>
  <c r="J80" i="23"/>
  <c r="N101" i="9"/>
  <c r="H53" i="9"/>
  <c r="N56" i="9"/>
  <c r="F114" i="9"/>
  <c r="J140" i="23"/>
  <c r="H65" i="9"/>
  <c r="F15" i="9"/>
  <c r="H99" i="9"/>
  <c r="H61" i="9"/>
  <c r="N46" i="9"/>
  <c r="F27" i="9"/>
  <c r="K27" i="9"/>
  <c r="H50" i="9"/>
  <c r="K8" i="9"/>
  <c r="F40" i="9"/>
  <c r="K40" i="9"/>
  <c r="I138" i="23"/>
  <c r="I147" i="23" s="1"/>
  <c r="J76" i="23"/>
  <c r="J138" i="23"/>
  <c r="M46" i="19" l="1"/>
  <c r="M95" i="19"/>
  <c r="H70" i="23"/>
  <c r="J70" i="23" s="1"/>
  <c r="E97" i="19"/>
  <c r="P97" i="9" s="1"/>
  <c r="E115" i="19"/>
  <c r="P115" i="9" s="1"/>
  <c r="M56" i="19"/>
  <c r="M55" i="19" s="1"/>
  <c r="E90" i="19"/>
  <c r="P90" i="9" s="1"/>
  <c r="R90" i="9" s="1"/>
  <c r="H119" i="23"/>
  <c r="J119" i="23" s="1"/>
  <c r="E54" i="19"/>
  <c r="P54" i="9" s="1"/>
  <c r="M97" i="9"/>
  <c r="M95" i="9" s="1"/>
  <c r="F8" i="9"/>
  <c r="H8" i="9"/>
  <c r="H41" i="9"/>
  <c r="M70" i="19"/>
  <c r="M69" i="19" s="1"/>
  <c r="M111" i="19"/>
  <c r="M45" i="9"/>
  <c r="H57" i="23" s="1"/>
  <c r="E45" i="19"/>
  <c r="P45" i="9" s="1"/>
  <c r="R45" i="9" s="1"/>
  <c r="G16" i="22"/>
  <c r="G15" i="22" s="1"/>
  <c r="G14" i="22" s="1"/>
  <c r="M77" i="9"/>
  <c r="O77" i="9" s="1"/>
  <c r="E114" i="19"/>
  <c r="P114" i="9" s="1"/>
  <c r="M33" i="19"/>
  <c r="F15" i="22"/>
  <c r="F14" i="22" s="1"/>
  <c r="J106" i="23"/>
  <c r="J133" i="23"/>
  <c r="N95" i="9"/>
  <c r="I130" i="23"/>
  <c r="I134" i="23" s="1"/>
  <c r="I135" i="23" s="1"/>
  <c r="H85" i="9"/>
  <c r="K85" i="9"/>
  <c r="F38" i="9"/>
  <c r="K38" i="9"/>
  <c r="U34" i="19"/>
  <c r="U33" i="19" s="1"/>
  <c r="E79" i="19"/>
  <c r="P79" i="9" s="1"/>
  <c r="R79" i="9" s="1"/>
  <c r="H21" i="9"/>
  <c r="F81" i="9"/>
  <c r="K35" i="9"/>
  <c r="G76" i="19"/>
  <c r="Q76" i="9" s="1"/>
  <c r="H77" i="9"/>
  <c r="H73" i="9"/>
  <c r="K118" i="19"/>
  <c r="M100" i="19"/>
  <c r="J81" i="23"/>
  <c r="H115" i="9"/>
  <c r="J111" i="9"/>
  <c r="R17" i="9"/>
  <c r="O63" i="9"/>
  <c r="H82" i="23"/>
  <c r="J82" i="23" s="1"/>
  <c r="J31" i="23"/>
  <c r="H35" i="23"/>
  <c r="Z57" i="19"/>
  <c r="H105" i="23"/>
  <c r="J105" i="23" s="1"/>
  <c r="O62" i="9"/>
  <c r="K106" i="9"/>
  <c r="H58" i="9"/>
  <c r="H56" i="9"/>
  <c r="M19" i="9"/>
  <c r="R97" i="9"/>
  <c r="K108" i="9"/>
  <c r="O53" i="9"/>
  <c r="F12" i="9"/>
  <c r="H12" i="9"/>
  <c r="F47" i="9"/>
  <c r="F46" i="9" s="1"/>
  <c r="H47" i="9"/>
  <c r="M111" i="9"/>
  <c r="N55" i="9"/>
  <c r="P31" i="9"/>
  <c r="P30" i="9" s="1"/>
  <c r="E30" i="19"/>
  <c r="H38" i="9"/>
  <c r="F85" i="9"/>
  <c r="D36" i="9"/>
  <c r="F48" i="23"/>
  <c r="W33" i="19"/>
  <c r="W118" i="19" s="1"/>
  <c r="J64" i="9"/>
  <c r="J107" i="23"/>
  <c r="J111" i="23"/>
  <c r="J49" i="23"/>
  <c r="H91" i="9"/>
  <c r="K91" i="9"/>
  <c r="F91" i="9"/>
  <c r="F88" i="9" s="1"/>
  <c r="G9" i="23"/>
  <c r="R104" i="9"/>
  <c r="I111" i="9"/>
  <c r="S5" i="19"/>
  <c r="O55" i="19"/>
  <c r="W87" i="19"/>
  <c r="N19" i="9"/>
  <c r="O19" i="9" s="1"/>
  <c r="R115" i="9"/>
  <c r="R92" i="9"/>
  <c r="R60" i="9"/>
  <c r="K77" i="9"/>
  <c r="J69" i="9"/>
  <c r="H42" i="23"/>
  <c r="J42" i="23" s="1"/>
  <c r="E117" i="19"/>
  <c r="P117" i="9" s="1"/>
  <c r="R117" i="9" s="1"/>
  <c r="R26" i="9"/>
  <c r="J25" i="23"/>
  <c r="J11" i="23"/>
  <c r="F24" i="9"/>
  <c r="F26" i="9"/>
  <c r="H76" i="9"/>
  <c r="F104" i="9"/>
  <c r="H44" i="9"/>
  <c r="K10" i="9"/>
  <c r="J67" i="23"/>
  <c r="J17" i="23"/>
  <c r="K12" i="9"/>
  <c r="K79" i="9"/>
  <c r="K83" i="9"/>
  <c r="W5" i="19"/>
  <c r="S33" i="19"/>
  <c r="S87" i="19"/>
  <c r="R103" i="9"/>
  <c r="R74" i="9"/>
  <c r="R68" i="9"/>
  <c r="R63" i="9"/>
  <c r="R53" i="9"/>
  <c r="R42" i="9"/>
  <c r="R38" i="9"/>
  <c r="R28" i="9"/>
  <c r="R24" i="9"/>
  <c r="R32" i="9"/>
  <c r="J69" i="23"/>
  <c r="E77" i="19"/>
  <c r="P77" i="9" s="1"/>
  <c r="R77" i="9" s="1"/>
  <c r="O81" i="9"/>
  <c r="J15" i="23"/>
  <c r="F22" i="9"/>
  <c r="H83" i="9"/>
  <c r="F99" i="9"/>
  <c r="H102" i="9"/>
  <c r="I125" i="23"/>
  <c r="Q5" i="19"/>
  <c r="E56" i="19"/>
  <c r="K43" i="9"/>
  <c r="R99" i="9"/>
  <c r="R27" i="9"/>
  <c r="R23" i="9"/>
  <c r="K104" i="9"/>
  <c r="O86" i="9"/>
  <c r="F61" i="9"/>
  <c r="F56" i="9" s="1"/>
  <c r="F55" i="9" s="1"/>
  <c r="K58" i="9"/>
  <c r="H89" i="9"/>
  <c r="F92" i="9"/>
  <c r="H106" i="9"/>
  <c r="Q33" i="19"/>
  <c r="R16" i="9"/>
  <c r="O70" i="19"/>
  <c r="O69" i="19" s="1"/>
  <c r="O118" i="19" s="1"/>
  <c r="N75" i="9"/>
  <c r="I101" i="23" s="1"/>
  <c r="J101" i="23" s="1"/>
  <c r="G75" i="19"/>
  <c r="Q75" i="9" s="1"/>
  <c r="Q70" i="9" s="1"/>
  <c r="G56" i="19"/>
  <c r="Q57" i="9"/>
  <c r="R54" i="9"/>
  <c r="Q46" i="9"/>
  <c r="J56" i="9"/>
  <c r="J55" i="9" s="1"/>
  <c r="K57" i="9"/>
  <c r="O80" i="9"/>
  <c r="I32" i="23"/>
  <c r="J32" i="23" s="1"/>
  <c r="O27" i="9"/>
  <c r="F79" i="9"/>
  <c r="H79" i="9"/>
  <c r="K103" i="9"/>
  <c r="F103" i="9"/>
  <c r="H103" i="9"/>
  <c r="F9" i="9"/>
  <c r="G11" i="23"/>
  <c r="H36" i="9"/>
  <c r="F36" i="9"/>
  <c r="K73" i="9"/>
  <c r="J151" i="23"/>
  <c r="M94" i="9"/>
  <c r="M88" i="19"/>
  <c r="M87" i="19" s="1"/>
  <c r="E94" i="19"/>
  <c r="P94" i="9" s="1"/>
  <c r="R94" i="9" s="1"/>
  <c r="K28" i="9"/>
  <c r="H28" i="9"/>
  <c r="H88" i="9"/>
  <c r="K99" i="9"/>
  <c r="F28" i="9"/>
  <c r="E81" i="19"/>
  <c r="P81" i="9" s="1"/>
  <c r="R81" i="9" s="1"/>
  <c r="U70" i="19"/>
  <c r="F26" i="22"/>
  <c r="D26" i="21"/>
  <c r="D13" i="21" s="1"/>
  <c r="D8" i="21" s="1"/>
  <c r="D7" i="21" s="1"/>
  <c r="D55" i="21" s="1"/>
  <c r="K71" i="9"/>
  <c r="I69" i="9"/>
  <c r="I101" i="9"/>
  <c r="I100" i="9" s="1"/>
  <c r="I95" i="9" s="1"/>
  <c r="I87" i="9" s="1"/>
  <c r="H120" i="23"/>
  <c r="J120" i="23" s="1"/>
  <c r="O91" i="9"/>
  <c r="U88" i="19"/>
  <c r="E89" i="19"/>
  <c r="H141" i="23"/>
  <c r="O14" i="9"/>
  <c r="I16" i="23"/>
  <c r="J16" i="23" s="1"/>
  <c r="I13" i="23"/>
  <c r="N6" i="9"/>
  <c r="K69" i="9"/>
  <c r="Q96" i="9"/>
  <c r="G95" i="19"/>
  <c r="Q65" i="9"/>
  <c r="Q64" i="9" s="1"/>
  <c r="G64" i="19"/>
  <c r="J103" i="23"/>
  <c r="H113" i="23"/>
  <c r="I48" i="23"/>
  <c r="I59" i="23" s="1"/>
  <c r="O36" i="9"/>
  <c r="N34" i="9"/>
  <c r="H96" i="9"/>
  <c r="H95" i="9" s="1"/>
  <c r="K96" i="9"/>
  <c r="F96" i="9"/>
  <c r="H107" i="9"/>
  <c r="H101" i="9" s="1"/>
  <c r="F107" i="9"/>
  <c r="K107" i="9"/>
  <c r="R72" i="9"/>
  <c r="K65" i="9"/>
  <c r="K64" i="9"/>
  <c r="M5" i="19"/>
  <c r="J10" i="23"/>
  <c r="E55" i="22"/>
  <c r="G26" i="22"/>
  <c r="K21" i="9"/>
  <c r="E25" i="19"/>
  <c r="P25" i="9" s="1"/>
  <c r="R25" i="9" s="1"/>
  <c r="U19" i="19"/>
  <c r="P96" i="9"/>
  <c r="E95" i="19"/>
  <c r="E113" i="19"/>
  <c r="P113" i="9" s="1"/>
  <c r="R113" i="9" s="1"/>
  <c r="U111" i="19"/>
  <c r="Z112" i="19" s="1"/>
  <c r="P35" i="9"/>
  <c r="J34" i="23"/>
  <c r="I93" i="23"/>
  <c r="J88" i="23"/>
  <c r="H14" i="23"/>
  <c r="J14" i="23" s="1"/>
  <c r="O12" i="9"/>
  <c r="M6" i="9"/>
  <c r="M5" i="9" s="1"/>
  <c r="H51" i="23"/>
  <c r="J51" i="23" s="1"/>
  <c r="O39" i="9"/>
  <c r="H78" i="23"/>
  <c r="M56" i="9"/>
  <c r="H157" i="23"/>
  <c r="I156" i="23"/>
  <c r="I158" i="23" s="1"/>
  <c r="I159" i="23" s="1"/>
  <c r="O117" i="9"/>
  <c r="N111" i="9"/>
  <c r="F31" i="9"/>
  <c r="F30" i="9" s="1"/>
  <c r="J30" i="9"/>
  <c r="K30" i="9" s="1"/>
  <c r="H31" i="9"/>
  <c r="O30" i="9"/>
  <c r="Q35" i="9"/>
  <c r="Q34" i="9" s="1"/>
  <c r="G34" i="19"/>
  <c r="K62" i="9"/>
  <c r="K50" i="9"/>
  <c r="H18" i="23"/>
  <c r="J18" i="23" s="1"/>
  <c r="O16" i="9"/>
  <c r="H90" i="23"/>
  <c r="M64" i="9"/>
  <c r="O64" i="9" s="1"/>
  <c r="I78" i="23"/>
  <c r="I84" i="23" s="1"/>
  <c r="O59" i="9"/>
  <c r="H82" i="9"/>
  <c r="F97" i="9"/>
  <c r="K97" i="9"/>
  <c r="F102" i="9"/>
  <c r="K109" i="9"/>
  <c r="F109" i="9"/>
  <c r="O89" i="9"/>
  <c r="M46" i="9"/>
  <c r="O46" i="9" s="1"/>
  <c r="J52" i="23"/>
  <c r="E102" i="19"/>
  <c r="U101" i="19"/>
  <c r="C28" i="22"/>
  <c r="G28" i="22" s="1"/>
  <c r="G44" i="22"/>
  <c r="G34" i="22"/>
  <c r="B26" i="22"/>
  <c r="B55" i="22" s="1"/>
  <c r="M34" i="9"/>
  <c r="M33" i="9" s="1"/>
  <c r="R62" i="9"/>
  <c r="R14" i="9"/>
  <c r="Q9" i="9"/>
  <c r="Q6" i="9" s="1"/>
  <c r="G6" i="19"/>
  <c r="P8" i="9"/>
  <c r="H50" i="23"/>
  <c r="O38" i="9"/>
  <c r="M110" i="9"/>
  <c r="M101" i="9" s="1"/>
  <c r="E110" i="19"/>
  <c r="P110" i="9" s="1"/>
  <c r="R110" i="9" s="1"/>
  <c r="I64" i="23"/>
  <c r="I72" i="23" s="1"/>
  <c r="O48" i="9"/>
  <c r="K68" i="9"/>
  <c r="K72" i="9"/>
  <c r="R67" i="9"/>
  <c r="R107" i="9"/>
  <c r="I44" i="23"/>
  <c r="R86" i="9"/>
  <c r="E12" i="19"/>
  <c r="P12" i="9" s="1"/>
  <c r="R12" i="9" s="1"/>
  <c r="U6" i="19"/>
  <c r="F116" i="9"/>
  <c r="K59" i="9"/>
  <c r="J27" i="23"/>
  <c r="F35" i="9"/>
  <c r="H35" i="9"/>
  <c r="K39" i="9"/>
  <c r="H39" i="9"/>
  <c r="G30" i="19"/>
  <c r="Q101" i="9"/>
  <c r="F43" i="9"/>
  <c r="F113" i="9"/>
  <c r="F111" i="9" s="1"/>
  <c r="G46" i="19"/>
  <c r="K112" i="9"/>
  <c r="J19" i="23"/>
  <c r="F39" i="9"/>
  <c r="K25" i="9"/>
  <c r="K52" i="9"/>
  <c r="H116" i="9"/>
  <c r="H111" i="9" s="1"/>
  <c r="R106" i="9"/>
  <c r="C50" i="21"/>
  <c r="C26" i="21"/>
  <c r="C13" i="21" s="1"/>
  <c r="C8" i="21" s="1"/>
  <c r="C7" i="21" s="1"/>
  <c r="F44" i="22"/>
  <c r="D28" i="22"/>
  <c r="D55" i="22" s="1"/>
  <c r="G111" i="19"/>
  <c r="Q112" i="9"/>
  <c r="Q111" i="9" s="1"/>
  <c r="K89" i="9"/>
  <c r="Q30" i="9"/>
  <c r="R30" i="9" s="1"/>
  <c r="R80" i="9"/>
  <c r="R93" i="9"/>
  <c r="Q89" i="9"/>
  <c r="G88" i="19"/>
  <c r="G87" i="19" s="1"/>
  <c r="R84" i="9"/>
  <c r="R61" i="9"/>
  <c r="R44" i="9"/>
  <c r="K66" i="9"/>
  <c r="J64" i="23"/>
  <c r="P20" i="9"/>
  <c r="P19" i="9" s="1"/>
  <c r="J47" i="23"/>
  <c r="J109" i="23"/>
  <c r="J91" i="23"/>
  <c r="I110" i="23"/>
  <c r="J110" i="23" s="1"/>
  <c r="O84" i="9"/>
  <c r="H29" i="9"/>
  <c r="F29" i="9"/>
  <c r="H67" i="9"/>
  <c r="H64" i="9" s="1"/>
  <c r="H55" i="9" s="1"/>
  <c r="F84" i="9"/>
  <c r="H84" i="9"/>
  <c r="G18" i="23"/>
  <c r="F16" i="9"/>
  <c r="H16" i="9"/>
  <c r="H6" i="9" s="1"/>
  <c r="R114" i="9"/>
  <c r="J112" i="23"/>
  <c r="I55" i="19"/>
  <c r="R91" i="9"/>
  <c r="R82" i="9"/>
  <c r="R59" i="9"/>
  <c r="Q20" i="9"/>
  <c r="Q19" i="9" s="1"/>
  <c r="G19" i="19"/>
  <c r="R10" i="9"/>
  <c r="J130" i="23"/>
  <c r="P112" i="9"/>
  <c r="J53" i="23"/>
  <c r="H48" i="9"/>
  <c r="H46" i="9" s="1"/>
  <c r="R85" i="9"/>
  <c r="R48" i="9"/>
  <c r="R39" i="9"/>
  <c r="R31" i="9"/>
  <c r="J88" i="9"/>
  <c r="R109" i="9"/>
  <c r="E46" i="19"/>
  <c r="P47" i="9"/>
  <c r="P46" i="9" s="1"/>
  <c r="P65" i="9"/>
  <c r="P64" i="9" s="1"/>
  <c r="P55" i="9" s="1"/>
  <c r="E64" i="19"/>
  <c r="R98" i="9"/>
  <c r="H26" i="9"/>
  <c r="F37" i="9"/>
  <c r="I5" i="19"/>
  <c r="I118" i="19" s="1"/>
  <c r="R116" i="9"/>
  <c r="H32" i="9"/>
  <c r="Q87" i="19"/>
  <c r="Q118" i="19" s="1"/>
  <c r="Q55" i="19"/>
  <c r="N70" i="9"/>
  <c r="N69" i="9" s="1"/>
  <c r="F7" i="9"/>
  <c r="R78" i="9"/>
  <c r="I104" i="23"/>
  <c r="O78" i="9"/>
  <c r="P70" i="9" l="1"/>
  <c r="P69" i="9" s="1"/>
  <c r="M70" i="9"/>
  <c r="H71" i="23"/>
  <c r="J71" i="23" s="1"/>
  <c r="I73" i="23"/>
  <c r="P95" i="9"/>
  <c r="K111" i="9"/>
  <c r="E55" i="19"/>
  <c r="E34" i="19"/>
  <c r="E33" i="19" s="1"/>
  <c r="R46" i="9"/>
  <c r="P34" i="9"/>
  <c r="R34" i="9" s="1"/>
  <c r="F6" i="9"/>
  <c r="F5" i="9" s="1"/>
  <c r="H70" i="9"/>
  <c r="H69" i="9" s="1"/>
  <c r="H19" i="9"/>
  <c r="F19" i="9"/>
  <c r="M55" i="9"/>
  <c r="O55" i="9" s="1"/>
  <c r="M118" i="19"/>
  <c r="S118" i="19"/>
  <c r="O95" i="9"/>
  <c r="N87" i="9"/>
  <c r="K47" i="9"/>
  <c r="K46" i="9"/>
  <c r="O101" i="9"/>
  <c r="M100" i="9"/>
  <c r="K88" i="9"/>
  <c r="Q5" i="9"/>
  <c r="Q33" i="9"/>
  <c r="K95" i="9"/>
  <c r="E70" i="19"/>
  <c r="E69" i="19" s="1"/>
  <c r="Q88" i="9"/>
  <c r="H34" i="9"/>
  <c r="H33" i="9" s="1"/>
  <c r="H20" i="23"/>
  <c r="H123" i="23"/>
  <c r="H124" i="23" s="1"/>
  <c r="O94" i="9"/>
  <c r="K36" i="9"/>
  <c r="J34" i="9"/>
  <c r="P111" i="9"/>
  <c r="R111" i="9" s="1"/>
  <c r="F34" i="9"/>
  <c r="F33" i="9" s="1"/>
  <c r="K102" i="9"/>
  <c r="P102" i="9"/>
  <c r="E101" i="19"/>
  <c r="J90" i="23"/>
  <c r="H92" i="23"/>
  <c r="J92" i="23" s="1"/>
  <c r="F28" i="22"/>
  <c r="I36" i="23"/>
  <c r="J156" i="23"/>
  <c r="J48" i="23"/>
  <c r="O6" i="9"/>
  <c r="N5" i="9"/>
  <c r="O5" i="9" s="1"/>
  <c r="U87" i="19"/>
  <c r="Z89" i="19"/>
  <c r="F55" i="22"/>
  <c r="F58" i="22" s="1"/>
  <c r="F60" i="22" s="1"/>
  <c r="K9" i="9"/>
  <c r="J6" i="9"/>
  <c r="F70" i="9"/>
  <c r="F69" i="9" s="1"/>
  <c r="K56" i="9"/>
  <c r="K55" i="9" s="1"/>
  <c r="R57" i="9"/>
  <c r="Q56" i="9"/>
  <c r="E6" i="19"/>
  <c r="H30" i="9"/>
  <c r="H5" i="9" s="1"/>
  <c r="O56" i="9"/>
  <c r="H100" i="9"/>
  <c r="Q100" i="9"/>
  <c r="H145" i="23"/>
  <c r="J145" i="23" s="1"/>
  <c r="O110" i="9"/>
  <c r="P6" i="9"/>
  <c r="Z102" i="19"/>
  <c r="U100" i="19"/>
  <c r="J78" i="23"/>
  <c r="H83" i="23"/>
  <c r="J83" i="23" s="1"/>
  <c r="R96" i="9"/>
  <c r="Q95" i="9"/>
  <c r="R95" i="9" s="1"/>
  <c r="E88" i="19"/>
  <c r="E87" i="19" s="1"/>
  <c r="P89" i="9"/>
  <c r="P88" i="9" s="1"/>
  <c r="P87" i="9" s="1"/>
  <c r="I33" i="9"/>
  <c r="G70" i="19"/>
  <c r="G69" i="19" s="1"/>
  <c r="R8" i="9"/>
  <c r="G100" i="19"/>
  <c r="E111" i="19"/>
  <c r="R19" i="9"/>
  <c r="E19" i="19"/>
  <c r="C55" i="21"/>
  <c r="U5" i="19"/>
  <c r="J50" i="23"/>
  <c r="H58" i="23"/>
  <c r="J58" i="23" s="1"/>
  <c r="G5" i="19"/>
  <c r="M88" i="9"/>
  <c r="F101" i="9"/>
  <c r="F100" i="9" s="1"/>
  <c r="G33" i="19"/>
  <c r="N100" i="9"/>
  <c r="O100" i="9" s="1"/>
  <c r="O111" i="9"/>
  <c r="J157" i="23"/>
  <c r="G55" i="22"/>
  <c r="C55" i="22"/>
  <c r="F95" i="9"/>
  <c r="F87" i="9" s="1"/>
  <c r="O34" i="9"/>
  <c r="N33" i="9"/>
  <c r="O33" i="9" s="1"/>
  <c r="R64" i="9"/>
  <c r="J13" i="23"/>
  <c r="I21" i="23"/>
  <c r="J141" i="23"/>
  <c r="U69" i="19"/>
  <c r="Z71" i="19"/>
  <c r="H87" i="9"/>
  <c r="G55" i="19"/>
  <c r="K70" i="9"/>
  <c r="J104" i="23"/>
  <c r="I114" i="23"/>
  <c r="R70" i="9"/>
  <c r="Q69" i="9"/>
  <c r="R69" i="9" s="1"/>
  <c r="M69" i="9" l="1"/>
  <c r="O69" i="9" s="1"/>
  <c r="O70" i="9"/>
  <c r="P33" i="9"/>
  <c r="I22" i="23"/>
  <c r="H146" i="23"/>
  <c r="I148" i="23" s="1"/>
  <c r="G118" i="19"/>
  <c r="I85" i="23"/>
  <c r="H118" i="9"/>
  <c r="E5" i="19"/>
  <c r="O88" i="9"/>
  <c r="M87" i="9"/>
  <c r="P5" i="9"/>
  <c r="P118" i="9"/>
  <c r="K101" i="9"/>
  <c r="J100" i="9"/>
  <c r="I37" i="23"/>
  <c r="J35" i="23"/>
  <c r="I60" i="23"/>
  <c r="F118" i="9"/>
  <c r="E100" i="19"/>
  <c r="R89" i="9"/>
  <c r="I94" i="23"/>
  <c r="J124" i="23"/>
  <c r="I126" i="23"/>
  <c r="U118" i="19"/>
  <c r="R88" i="9"/>
  <c r="Q87" i="9"/>
  <c r="R87" i="9" s="1"/>
  <c r="Q118" i="9"/>
  <c r="N118" i="9"/>
  <c r="R56" i="9"/>
  <c r="Q55" i="9"/>
  <c r="R55" i="9" s="1"/>
  <c r="J5" i="9"/>
  <c r="K5" i="9" s="1"/>
  <c r="K6" i="9"/>
  <c r="P101" i="9"/>
  <c r="R102" i="9"/>
  <c r="K34" i="9"/>
  <c r="J33" i="9"/>
  <c r="K33" i="9" s="1"/>
  <c r="J20" i="23"/>
  <c r="R33" i="9"/>
  <c r="R6" i="9"/>
  <c r="J113" i="23"/>
  <c r="I161" i="23"/>
  <c r="I115" i="23"/>
  <c r="K100" i="9" l="1"/>
  <c r="J95" i="9"/>
  <c r="J87" i="9" s="1"/>
  <c r="K87" i="9" s="1"/>
  <c r="K118" i="9" s="1"/>
  <c r="E18" i="24" s="1"/>
  <c r="I160" i="23"/>
  <c r="I162" i="23" s="1"/>
  <c r="J146" i="23"/>
  <c r="E118" i="19"/>
  <c r="S5" i="9"/>
  <c r="P100" i="9"/>
  <c r="R100" i="9" s="1"/>
  <c r="R101" i="9"/>
  <c r="R5" i="9"/>
  <c r="O87" i="9"/>
  <c r="M118" i="9"/>
  <c r="O118" i="9" s="1"/>
  <c r="R118" i="9"/>
  <c r="J160" i="23" l="1"/>
</calcChain>
</file>

<file path=xl/comments1.xml><?xml version="1.0" encoding="utf-8"?>
<comments xmlns="http://schemas.openxmlformats.org/spreadsheetml/2006/main">
  <authors>
    <author>PERSONAL</author>
    <author>esilva</author>
    <author>Edisney Silva Argote</author>
    <author>auxiliar1</author>
  </authors>
  <commentList>
    <comment ref="H8" authorId="0" shapeId="0">
      <text>
        <r>
          <rPr>
            <b/>
            <sz val="9"/>
            <color indexed="81"/>
            <rFont val="Tahoma"/>
            <family val="2"/>
          </rPr>
          <t>PERSONAL:</t>
        </r>
        <r>
          <rPr>
            <sz val="9"/>
            <color indexed="81"/>
            <rFont val="Tahoma"/>
            <family val="2"/>
          </rPr>
          <t xml:space="preserve">
RÍO NEIVA , MAJO GARZON Y LA HONDA GIGANTE ,  CONTRATADO Y DECLARATORIA EN REGLAMENTACIÓN pedernal teruel y higado en tarqui</t>
        </r>
      </text>
    </comment>
    <comment ref="L8" authorId="1"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H10" authorId="0" shapeId="0">
      <text>
        <r>
          <rPr>
            <b/>
            <sz val="9"/>
            <color indexed="81"/>
            <rFont val="Tahoma"/>
            <family val="2"/>
          </rPr>
          <t>PERSONAL:</t>
        </r>
        <r>
          <rPr>
            <sz val="9"/>
            <color indexed="81"/>
            <rFont val="Tahoma"/>
            <family val="2"/>
          </rPr>
          <t xml:space="preserve">
 Río Neiva Campoalegre, Higado y Pedernal ESTE AÑO CULMINAN Y SE ENTREGAN COMO META
inicia majo y honda</t>
        </r>
      </text>
    </comment>
    <comment ref="L10" authorId="1" shapeId="0">
      <text>
        <r>
          <rPr>
            <b/>
            <sz val="9"/>
            <color indexed="81"/>
            <rFont val="Tahoma"/>
            <family val="2"/>
          </rPr>
          <t>esilva:</t>
        </r>
        <r>
          <rPr>
            <sz val="9"/>
            <color indexed="81"/>
            <rFont val="Tahoma"/>
            <family val="2"/>
          </rPr>
          <t xml:space="preserve">
TERMINADO HONDA MAJO
  inicia contratacion de guaroco, vueltas y quebradon</t>
        </r>
      </text>
    </comment>
    <comment ref="P10" authorId="0" shapeId="0">
      <text>
        <r>
          <rPr>
            <b/>
            <sz val="9"/>
            <color indexed="81"/>
            <rFont val="Tahoma"/>
            <family val="2"/>
          </rPr>
          <t>PERSONAL:</t>
        </r>
        <r>
          <rPr>
            <sz val="9"/>
            <color indexed="81"/>
            <rFont val="Tahoma"/>
            <family val="2"/>
          </rPr>
          <t xml:space="preserve">
Guarocó Baraya, La Vueltas Gigante y Quebradón Hobo
Iniciia contratacion Garzon y Hobo</t>
        </r>
      </text>
    </comment>
    <comment ref="T10" authorId="2" shapeId="0">
      <text>
        <r>
          <rPr>
            <b/>
            <sz val="9"/>
            <color indexed="81"/>
            <rFont val="Tahoma"/>
            <family val="2"/>
          </rPr>
          <t>Edisney Silva Argote:</t>
        </r>
        <r>
          <rPr>
            <sz val="9"/>
            <color indexed="81"/>
            <rFont val="Tahoma"/>
            <family val="2"/>
          </rPr>
          <t xml:space="preserve">
termina garzon y hobo</t>
        </r>
      </text>
    </comment>
    <comment ref="L12" authorId="0" shapeId="0">
      <text>
        <r>
          <rPr>
            <b/>
            <sz val="9"/>
            <color indexed="81"/>
            <rFont val="Tahoma"/>
            <family val="2"/>
          </rPr>
          <t>PERSONAL:</t>
        </r>
        <r>
          <rPr>
            <sz val="9"/>
            <color indexed="81"/>
            <rFont val="Tahoma"/>
            <family val="2"/>
          </rPr>
          <t xml:space="preserve">
Guarapas</t>
        </r>
      </text>
    </comment>
    <comment ref="P12" authorId="2" shapeId="0">
      <text>
        <r>
          <rPr>
            <b/>
            <sz val="9"/>
            <color indexed="81"/>
            <rFont val="Tahoma"/>
            <family val="2"/>
          </rPr>
          <t>Edisney Silva Argote:</t>
        </r>
        <r>
          <rPr>
            <sz val="9"/>
            <color indexed="81"/>
            <rFont val="Tahoma"/>
            <family val="2"/>
          </rPr>
          <t xml:space="preserve">
PMA Barbillas</t>
        </r>
      </text>
    </comment>
    <comment ref="H13" authorId="2" shapeId="0">
      <text>
        <r>
          <rPr>
            <b/>
            <sz val="9"/>
            <color indexed="81"/>
            <rFont val="Tahoma"/>
            <family val="2"/>
          </rPr>
          <t>Edisney Silva Argote:</t>
        </r>
        <r>
          <rPr>
            <sz val="9"/>
            <color indexed="81"/>
            <rFont val="Tahoma"/>
            <family val="2"/>
          </rPr>
          <t xml:space="preserve">
9 estaciones de la vigencia anterior</t>
        </r>
      </text>
    </comment>
    <comment ref="H21" authorId="3" shapeId="0">
      <text>
        <r>
          <rPr>
            <b/>
            <sz val="9"/>
            <color indexed="81"/>
            <rFont val="Tahoma"/>
            <family val="2"/>
          </rPr>
          <t>auxiliar1:</t>
        </r>
        <r>
          <rPr>
            <sz val="9"/>
            <color indexed="81"/>
            <rFont val="Tahoma"/>
            <family val="2"/>
          </rPr>
          <t xml:space="preserve">
CEIBAS, SUAZA, GUARAPAS
</t>
        </r>
      </text>
    </comment>
    <comment ref="T21" authorId="0" shapeId="0">
      <text>
        <r>
          <rPr>
            <b/>
            <sz val="9"/>
            <color indexed="81"/>
            <rFont val="Tahoma"/>
            <family val="2"/>
          </rPr>
          <t>PERSONAL:</t>
        </r>
        <r>
          <rPr>
            <sz val="9"/>
            <color indexed="81"/>
            <rFont val="Tahoma"/>
            <family val="2"/>
          </rPr>
          <t xml:space="preserve">
CEIBAS, SUAZA, GUARAPAS, GARZÓN, BARBILLAS</t>
        </r>
      </text>
    </comment>
    <comment ref="H23" authorId="2" shapeId="0">
      <text>
        <r>
          <rPr>
            <b/>
            <sz val="9"/>
            <color indexed="81"/>
            <rFont val="Tahoma"/>
            <family val="2"/>
          </rPr>
          <t>Edisney Silva Argote:</t>
        </r>
        <r>
          <rPr>
            <sz val="9"/>
            <color indexed="81"/>
            <rFont val="Tahoma"/>
            <family val="2"/>
          </rPr>
          <t xml:space="preserve">
has afectadas por incedios forestales</t>
        </r>
      </text>
    </comment>
    <comment ref="H36" authorId="0" shapeId="0">
      <text>
        <r>
          <rPr>
            <b/>
            <sz val="9"/>
            <color indexed="81"/>
            <rFont val="Tahoma"/>
            <family val="2"/>
          </rPr>
          <t>PERSONAL:</t>
        </r>
        <r>
          <rPr>
            <sz val="9"/>
            <color indexed="81"/>
            <rFont val="Tahoma"/>
            <family val="2"/>
          </rPr>
          <t xml:space="preserve">
PNR PARAMO DE OSERAS</t>
        </r>
      </text>
    </comment>
    <comment ref="L36" authorId="0"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6" authorId="0" shapeId="0">
      <text>
        <r>
          <rPr>
            <b/>
            <sz val="9"/>
            <color indexed="81"/>
            <rFont val="Tahoma"/>
            <family val="2"/>
          </rPr>
          <t>PERSONAL:</t>
        </r>
        <r>
          <rPr>
            <sz val="9"/>
            <color indexed="81"/>
            <rFont val="Tahoma"/>
            <family val="2"/>
          </rPr>
          <t xml:space="preserve">
DRMI ACEVEDO</t>
        </r>
      </text>
    </comment>
    <comment ref="H39" authorId="0" shapeId="0">
      <text>
        <r>
          <rPr>
            <b/>
            <sz val="9"/>
            <color indexed="81"/>
            <rFont val="Tahoma"/>
            <family val="2"/>
          </rPr>
          <t>PERSONAL:</t>
        </r>
        <r>
          <rPr>
            <sz val="9"/>
            <color indexed="81"/>
            <rFont val="Tahoma"/>
            <family val="2"/>
          </rPr>
          <t xml:space="preserve">
SIRAP Macizo, CEERCCO, VALLE SECO MAGDALENA</t>
        </r>
      </text>
    </comment>
    <comment ref="U39" authorId="1" shapeId="0">
      <text>
        <r>
          <rPr>
            <b/>
            <sz val="9"/>
            <color indexed="81"/>
            <rFont val="Tahoma"/>
            <family val="2"/>
          </rPr>
          <t>esilva:</t>
        </r>
        <r>
          <rPr>
            <sz val="9"/>
            <color indexed="81"/>
            <rFont val="Tahoma"/>
            <family val="2"/>
          </rPr>
          <t xml:space="preserve">
resolucion 2541 de 22 de octubre de 2015 
152.827.425</t>
        </r>
      </text>
    </comment>
    <comment ref="L42" authorId="0" shapeId="0">
      <text>
        <r>
          <rPr>
            <b/>
            <sz val="9"/>
            <color indexed="81"/>
            <rFont val="Tahoma"/>
            <family val="2"/>
          </rPr>
          <t>PERSONAL:</t>
        </r>
        <r>
          <rPr>
            <sz val="9"/>
            <color indexed="81"/>
            <rFont val="Tahoma"/>
            <family val="2"/>
          </rPr>
          <t xml:space="preserve">
PICACHOS</t>
        </r>
      </text>
    </comment>
    <comment ref="P42" authorId="0" shapeId="0">
      <text>
        <r>
          <rPr>
            <b/>
            <sz val="9"/>
            <color indexed="81"/>
            <rFont val="Tahoma"/>
            <family val="2"/>
          </rPr>
          <t>PERSONAL:</t>
        </r>
        <r>
          <rPr>
            <sz val="9"/>
            <color indexed="81"/>
            <rFont val="Tahoma"/>
            <family val="2"/>
          </rPr>
          <t xml:space="preserve">
MIRAFLORES</t>
        </r>
      </text>
    </comment>
    <comment ref="T42" authorId="0" shapeId="0">
      <text>
        <r>
          <rPr>
            <b/>
            <sz val="9"/>
            <color indexed="81"/>
            <rFont val="Tahoma"/>
            <family val="2"/>
          </rPr>
          <t>PERSONAL:</t>
        </r>
        <r>
          <rPr>
            <sz val="9"/>
            <color indexed="81"/>
            <rFont val="Tahoma"/>
            <family val="2"/>
          </rPr>
          <t xml:space="preserve">
SUMAPAZ</t>
        </r>
      </text>
    </comment>
    <comment ref="S57" authorId="1" shapeId="0">
      <text>
        <r>
          <rPr>
            <b/>
            <sz val="9"/>
            <color indexed="81"/>
            <rFont val="Tahoma"/>
            <family val="2"/>
          </rPr>
          <t>esilva:</t>
        </r>
        <r>
          <rPr>
            <sz val="9"/>
            <color indexed="81"/>
            <rFont val="Tahoma"/>
            <family val="2"/>
          </rPr>
          <t xml:space="preserve">
23,982,500</t>
        </r>
      </text>
    </comment>
    <comment ref="J83" authorId="1" shapeId="0">
      <text>
        <r>
          <rPr>
            <b/>
            <sz val="9"/>
            <color indexed="81"/>
            <rFont val="Tahoma"/>
            <family val="2"/>
          </rPr>
          <t>esilva:</t>
        </r>
        <r>
          <rPr>
            <sz val="9"/>
            <color indexed="81"/>
            <rFont val="Tahoma"/>
            <family val="2"/>
          </rPr>
          <t xml:space="preserve">
100</t>
        </r>
      </text>
    </comment>
    <comment ref="Q104" authorId="1" shapeId="0">
      <text>
        <r>
          <rPr>
            <b/>
            <sz val="9"/>
            <color indexed="81"/>
            <rFont val="Tahoma"/>
            <family val="2"/>
          </rPr>
          <t>esilva:</t>
        </r>
        <r>
          <rPr>
            <sz val="9"/>
            <color indexed="81"/>
            <rFont val="Tahoma"/>
            <family val="2"/>
          </rPr>
          <t xml:space="preserve">
318606766 NO VA AQUI</t>
        </r>
      </text>
    </comment>
  </commentList>
</comments>
</file>

<file path=xl/comments2.xml><?xml version="1.0" encoding="utf-8"?>
<comments xmlns="http://schemas.openxmlformats.org/spreadsheetml/2006/main">
  <authors>
    <author>esilva</author>
    <author>PERSONAL</author>
    <author>jvargas</author>
  </authors>
  <commentList>
    <comment ref="F10" authorId="0"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F12" authorId="0" shapeId="0">
      <text>
        <r>
          <rPr>
            <b/>
            <sz val="9"/>
            <color indexed="81"/>
            <rFont val="Tahoma"/>
            <family val="2"/>
          </rPr>
          <t>esilva:</t>
        </r>
        <r>
          <rPr>
            <sz val="9"/>
            <color indexed="81"/>
            <rFont val="Tahoma"/>
            <family val="2"/>
          </rPr>
          <t xml:space="preserve">
TERMINADO HONDA MAJO
  inicia contratacion de guaroco, vueltas y quebradon</t>
        </r>
      </text>
    </comment>
    <comment ref="F14" authorId="1" shapeId="0">
      <text>
        <r>
          <rPr>
            <b/>
            <sz val="9"/>
            <color indexed="81"/>
            <rFont val="Tahoma"/>
            <family val="2"/>
          </rPr>
          <t>PERSONAL:</t>
        </r>
        <r>
          <rPr>
            <sz val="9"/>
            <color indexed="81"/>
            <rFont val="Tahoma"/>
            <family val="2"/>
          </rPr>
          <t xml:space="preserve">
Guarapas</t>
        </r>
      </text>
    </comment>
    <comment ref="K147" authorId="2" shapeId="0">
      <text>
        <r>
          <rPr>
            <b/>
            <sz val="8"/>
            <color indexed="81"/>
            <rFont val="Tahoma"/>
            <family val="2"/>
          </rPr>
          <t>jvargas:
PROMEDIO FISICO</t>
        </r>
      </text>
    </comment>
  </commentList>
</comments>
</file>

<file path=xl/sharedStrings.xml><?xml version="1.0" encoding="utf-8"?>
<sst xmlns="http://schemas.openxmlformats.org/spreadsheetml/2006/main" count="1395" uniqueCount="583">
  <si>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</si>
  <si>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</si>
  <si>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</si>
  <si>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</si>
  <si>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</si>
  <si>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</si>
  <si>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</si>
  <si>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</si>
  <si>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</si>
  <si>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</si>
  <si>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</si>
  <si>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</si>
  <si>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</si>
  <si>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</si>
  <si>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</si>
  <si>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</si>
  <si>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</si>
  <si>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</si>
  <si>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</si>
  <si>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</si>
  <si>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</si>
  <si>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</si>
  <si>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</si>
  <si>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</si>
  <si>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</si>
  <si>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</si>
  <si>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</si>
  <si>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</si>
  <si>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</si>
  <si>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</si>
  <si>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</si>
  <si>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</si>
  <si>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</si>
  <si>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</si>
  <si>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</si>
  <si>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</si>
  <si>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</si>
  <si>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</si>
  <si>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</si>
  <si>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</si>
  <si>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</si>
  <si>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</si>
  <si>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</si>
  <si>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</si>
  <si>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</si>
  <si>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</si>
  <si>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</si>
  <si>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</si>
  <si>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</si>
  <si>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</si>
  <si>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</si>
  <si>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</si>
  <si>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</si>
  <si>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</si>
  <si>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</si>
  <si>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</si>
  <si>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</si>
  <si>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</si>
  <si>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</si>
  <si>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</si>
  <si>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</si>
  <si>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</si>
  <si>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</si>
  <si>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</si>
  <si>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</si>
  <si>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</si>
  <si>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</si>
  <si>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</si>
  <si>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</si>
  <si>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</si>
  <si>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</si>
  <si>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</si>
  <si>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</si>
  <si>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</si>
  <si>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</si>
  <si>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</si>
  <si>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</si>
  <si>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</si>
  <si>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</si>
  <si>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</si>
  <si>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</si>
  <si>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</si>
  <si>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</si>
  <si>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</si>
  <si>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</si>
  <si>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</si>
  <si>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</si>
  <si>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</si>
  <si>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</si>
  <si>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</si>
  <si>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</si>
  <si>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</si>
  <si>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</si>
  <si>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</si>
  <si>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</si>
  <si>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</si>
  <si>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</si>
  <si>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</si>
  <si>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</si>
  <si>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</si>
  <si>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</si>
  <si>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</si>
  <si>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</si>
  <si>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</si>
  <si>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</si>
  <si>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</si>
  <si>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</si>
  <si>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</si>
  <si>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</si>
  <si>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</si>
  <si>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</si>
  <si>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</si>
  <si>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</si>
  <si>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</si>
  <si>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</si>
  <si>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</si>
  <si>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</si>
  <si>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</si>
  <si>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</si>
  <si>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</si>
  <si>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</si>
  <si>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</si>
  <si>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</si>
  <si>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</si>
  <si>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</si>
  <si>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</si>
  <si>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</si>
  <si>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</si>
  <si>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</si>
  <si>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</si>
  <si>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</si>
  <si>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</si>
  <si>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</si>
  <si>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</si>
  <si>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</si>
  <si>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</si>
  <si>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</si>
  <si>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</si>
  <si>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</si>
  <si>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</si>
  <si>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</si>
  <si>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</si>
  <si>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</si>
  <si>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</si>
  <si>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</si>
  <si>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</si>
  <si>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</si>
  <si>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</si>
  <si>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</si>
  <si>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</si>
  <si>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</si>
  <si>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</si>
  <si>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</si>
  <si>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</si>
  <si>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</si>
  <si>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</si>
  <si>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</si>
  <si>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</si>
  <si>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</si>
  <si>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</si>
  <si>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</si>
  <si>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</si>
  <si>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</si>
  <si>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</si>
  <si>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</si>
  <si>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</si>
  <si>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</si>
  <si>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</si>
  <si>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</si>
  <si>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</si>
  <si>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</si>
  <si>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</si>
  <si>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</si>
  <si>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</si>
  <si>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</si>
  <si>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</si>
  <si>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</si>
  <si>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</si>
  <si>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</si>
  <si>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</si>
  <si>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</si>
  <si>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</si>
  <si>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</si>
  <si>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</si>
  <si>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</si>
  <si>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</si>
  <si>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</si>
  <si>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</si>
  <si>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</si>
  <si>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</si>
  <si>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</si>
  <si>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</si>
  <si>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</si>
  <si>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</si>
  <si>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</si>
  <si>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</si>
  <si>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</si>
  <si>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</si>
  <si>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</si>
  <si>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</si>
  <si>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</si>
  <si>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</si>
  <si>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</si>
  <si>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</si>
  <si>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</si>
  <si>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</si>
  <si>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</si>
  <si>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</si>
  <si>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</si>
  <si>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</si>
  <si>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</si>
  <si>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</si>
  <si>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</si>
  <si>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</si>
  <si>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</si>
  <si>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</si>
  <si>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</si>
  <si>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</si>
  <si>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</si>
  <si>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</si>
  <si>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</si>
  <si>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</si>
  <si>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</si>
  <si>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</si>
  <si>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</si>
  <si>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</si>
  <si>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</si>
  <si>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</si>
  <si>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</si>
  <si>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</si>
  <si>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</si>
  <si>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</si>
  <si>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</si>
  <si>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</si>
  <si>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</si>
  <si>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</si>
  <si>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</si>
  <si>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</si>
  <si>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</si>
  <si>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</si>
  <si>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</si>
  <si>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</si>
  <si>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</si>
  <si>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</si>
  <si>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</si>
  <si>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</si>
  <si>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</si>
  <si>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</si>
  <si>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</si>
  <si>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</si>
  <si>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</si>
  <si>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</si>
  <si>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</si>
  <si>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</si>
  <si>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</si>
  <si>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</si>
  <si>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</si>
  <si>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</si>
  <si>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</si>
  <si>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</si>
  <si>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</si>
  <si>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</si>
  <si>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</si>
  <si>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</si>
  <si>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</si>
  <si>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</si>
  <si>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</si>
  <si>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</si>
  <si>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</si>
  <si>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</si>
  <si>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</si>
  <si>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</si>
  <si>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</si>
  <si>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</si>
  <si>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</si>
  <si>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</si>
  <si>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</si>
  <si>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</si>
  <si>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</si>
  <si>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</si>
  <si>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</si>
  <si>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</si>
  <si>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</si>
  <si>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</si>
  <si>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</si>
  <si>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</si>
  <si>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</si>
  <si>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</si>
  <si>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</si>
  <si>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</si>
  <si>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</si>
  <si>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</si>
  <si>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</si>
  <si>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</si>
  <si>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</si>
  <si>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</si>
  <si>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</si>
  <si>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</si>
  <si>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</si>
  <si>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</si>
  <si>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</si>
  <si>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</si>
  <si>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</si>
  <si>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</si>
  <si>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</si>
  <si>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</si>
  <si>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</si>
  <si>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</si>
  <si>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</si>
  <si>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</si>
  <si>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</si>
  <si>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</si>
  <si>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</si>
  <si>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</si>
  <si>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</si>
  <si>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</si>
  <si>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</si>
  <si>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</si>
  <si>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</si>
  <si>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</si>
  <si>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</si>
  <si>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</si>
  <si>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</si>
  <si>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</si>
  <si>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</si>
  <si>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</si>
  <si>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25100000+25692258</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</si>
  <si>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</si>
  <si>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</si>
  <si>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</si>
  <si>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</si>
  <si>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</si>
  <si>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</si>
  <si>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</si>
  <si>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</si>
  <si>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</si>
  <si>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</si>
  <si>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</si>
  <si>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</si>
  <si>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</si>
  <si>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</si>
  <si>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</si>
  <si>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</si>
  <si>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</si>
  <si>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</si>
  <si>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</si>
  <si>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</si>
  <si>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</si>
  <si>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</si>
  <si>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</si>
  <si>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</si>
  <si>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</si>
  <si>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</si>
  <si>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</si>
  <si>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</si>
  <si>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</si>
  <si>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</si>
  <si>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Proyecto No. 1.1  Ordenamiento y administracion del recurso hídrico y las cuencas Hidrográficas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</si>
  <si>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</si>
  <si>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</si>
  <si>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</si>
  <si>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</si>
  <si>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</si>
  <si>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</si>
  <si>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</si>
  <si>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</si>
  <si>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</si>
  <si>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</si>
  <si>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</si>
  <si>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</si>
  <si>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</si>
  <si>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</si>
  <si>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</si>
  <si>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</si>
  <si>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</si>
  <si>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</si>
  <si>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</si>
  <si>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</si>
  <si>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</si>
  <si>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</si>
  <si>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</si>
  <si>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</si>
  <si>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</si>
  <si>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Proyecto No. 1.2 RECUPERACION DE CUENCAS  HIDROGRAFICAS</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</si>
  <si>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</si>
  <si>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</si>
  <si>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</si>
  <si>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</si>
  <si>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</si>
  <si>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</si>
  <si>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</si>
  <si>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</si>
  <si>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</si>
  <si>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</si>
  <si>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</si>
  <si>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</si>
  <si>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</si>
  <si>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</si>
  <si>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</si>
  <si>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</si>
  <si>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</si>
  <si>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</si>
  <si>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 xml:space="preserve">PROGRAMA 3: ADAPTACIÓN PARA EL CRECIMIENTO VERDE </t>
  </si>
  <si>
    <r>
      <t xml:space="preserve">
PROGRAMAS - PROYECTOS  PLAN DE ACCION 2016-2019
</t>
    </r>
    <r>
      <rPr>
        <b/>
        <sz val="10"/>
        <color indexed="10"/>
        <rFont val="Arial Narrow"/>
        <family val="2"/>
      </rPr>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</si>
  <si>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</si>
  <si>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</si>
  <si>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</si>
  <si>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Promoción e implementación del Pacto Intersectorial por la Madera Ilegal</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</si>
  <si>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</si>
  <si>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</si>
  <si>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</si>
  <si>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</si>
  <si>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</si>
  <si>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</si>
  <si>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</si>
  <si>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</si>
  <si>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</si>
  <si>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</si>
  <si>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</si>
  <si>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</si>
  <si>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</si>
  <si>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</si>
  <si>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</si>
  <si>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</si>
  <si>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</si>
  <si>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</si>
  <si>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</si>
  <si>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</si>
  <si>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</si>
  <si>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</si>
  <si>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</si>
  <si>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</si>
  <si>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</si>
  <si>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</si>
  <si>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</si>
  <si>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</si>
  <si>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</si>
  <si>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</si>
  <si>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</si>
  <si>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</si>
  <si>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</si>
  <si>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</si>
  <si>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</si>
  <si>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</si>
  <si>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</si>
  <si>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</si>
  <si>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</si>
  <si>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</si>
  <si>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</si>
  <si>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</si>
  <si>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</si>
  <si>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</si>
  <si>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</si>
  <si>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</si>
  <si>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</si>
  <si>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</si>
  <si>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</si>
  <si>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</si>
  <si>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</si>
  <si>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</si>
  <si>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</si>
  <si>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</si>
  <si>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</si>
  <si>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</si>
  <si>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</si>
  <si>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</si>
  <si>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</si>
  <si>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CORPORACIÓN AUTÓNOMA REGIONAL DEL ALTO MAGDALENA CAM
MATRIZ DE SEGUIMIENTO DEL PLAN DE ACCIÓN 
AVANCE EN LAS METAS FÍSICAS Y FINANCIERAS DEL PLAN DE ACCIÓN 2016-2019</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</si>
  <si>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</si>
  <si>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</si>
  <si>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</si>
  <si>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Proyecto No.2.2:   CONSERVACION Y RECUPERACION DE ECOSISTEMAS ESTRATEGICOS Y SU BIODIVERSIDAD</t>
  </si>
  <si>
    <t>PROGRAMA No. 3  ADAPTACIÓN PARA EL CRECIMIENTO VERDE</t>
  </si>
  <si>
    <t>Proyecto No.3.1:    CRECIMIENTO VERDE DE SECTORES PRODUCTIVOS</t>
  </si>
  <si>
    <t xml:space="preserve">Proyecto No.3.2: AREAS URBANAS SOSTENIBLES Y RESILIENTES   </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</si>
  <si>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</si>
  <si>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</si>
  <si>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</si>
  <si>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</si>
  <si>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</si>
  <si>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 xml:space="preserve">
P 1: AGUA PARA TODOS </t>
  </si>
  <si>
    <t>P 1.1: ORDENAMIENTO Y ADMINISTRACIÓN DEL RECURSO HIDRICO Y LAS CUENCAS HIDROGRÁFICAS</t>
  </si>
  <si>
    <t>P 1.2: RECUPERACION DE CUENCAS  HIDROGRAFICAS</t>
  </si>
  <si>
    <t>P 1.3:  CONOCIMIENTO Y PLANIFICACIÓN DE ECOSISTEMAS ESTRATÉGICOS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</si>
  <si>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</si>
  <si>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</si>
  <si>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</si>
  <si>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</si>
  <si>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</si>
  <si>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</si>
  <si>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6: EDUCACIÓN CAMINO DE PAZ</t>
  </si>
  <si>
    <t>P6.1: CAM: MODELO DE GESTIÓN CORPORATIVA</t>
  </si>
  <si>
    <t xml:space="preserve">
P6.2:EDUCACIÓN AMBIENTAL: OPITA DE CORAZON  </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</si>
  <si>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</si>
  <si>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</si>
  <si>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</si>
  <si>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</si>
  <si>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</si>
  <si>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</si>
  <si>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</si>
  <si>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</si>
  <si>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</si>
  <si>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</si>
  <si>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</si>
  <si>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</si>
  <si>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</si>
  <si>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</si>
  <si>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</si>
  <si>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</si>
  <si>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</si>
  <si>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</si>
  <si>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</si>
  <si>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</si>
  <si>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</si>
  <si>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</si>
  <si>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</si>
  <si>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</si>
  <si>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</si>
  <si>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</si>
  <si>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</si>
  <si>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</si>
  <si>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</si>
  <si>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</si>
  <si>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</si>
  <si>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</si>
  <si>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</si>
  <si>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</si>
  <si>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</si>
  <si>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</si>
  <si>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</si>
  <si>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</si>
  <si>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</si>
  <si>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</si>
  <si>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</si>
  <si>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Descobtaminación de Fuentes Hídricas</t>
  </si>
  <si>
    <t>Proyecto No. 1.3:   Descontaminación de Fuentes Hídricas</t>
  </si>
  <si>
    <t>PROGRAMA 1 Ordenamiento y administracion del recurso hídrico y las cuencas Hidrográficas</t>
  </si>
  <si>
    <t xml:space="preserve">Proyecto No. 5.2 Gestion de riesgo de desastres </t>
  </si>
  <si>
    <t>N/A</t>
  </si>
  <si>
    <t>Promoción e implementación del Pacto Intersectorial por la Madera legal</t>
  </si>
  <si>
    <t>Estrategia de control a la extracción  legal de los recursos naturales.RED DE CONTROL AMBIENTAL RECAM</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</si>
  <si>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</si>
  <si>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</si>
  <si>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</si>
  <si>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</si>
  <si>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</si>
  <si>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NA</t>
  </si>
  <si>
    <t>PRESUPUESTO APROPIADO PLAN DE ACCION VIGENCIA 2017</t>
  </si>
  <si>
    <t>VALOR TOTAL COMPROMETIDO PLAN DE ACCION VIGENCIA 2017</t>
  </si>
  <si>
    <t>INDICE GLOBAL DE EJECUCION FINANCIERA PLAN DE ACCION 2017</t>
  </si>
  <si>
    <t>A JUNIO 30 DE 2017</t>
  </si>
  <si>
    <t>P 5.2: GESTION DEL RIESGO DE DESASTRES</t>
  </si>
  <si>
    <r>
      <t xml:space="preserve">VIGENCIA EVALUADA (AÑO): </t>
    </r>
    <r>
      <rPr>
        <b/>
        <u/>
        <sz val="11"/>
        <rFont val="Arial"/>
        <family val="2"/>
      </rPr>
      <t xml:space="preserve">2017 </t>
    </r>
    <r>
      <rPr>
        <b/>
        <sz val="11"/>
        <rFont val="Arial"/>
        <family val="2"/>
      </rPr>
      <t xml:space="preserve"> PERIODO EVALUADO: JUNIO DE 2017</t>
    </r>
  </si>
  <si>
    <t>Meta ajustada mediante Acuerdo Número: 010 de 2017</t>
  </si>
  <si>
    <t xml:space="preserve">ANEXO No. 5-1. INFORME DE EJECUCION PRESUPUESTAL DE INGRESOS </t>
  </si>
  <si>
    <t xml:space="preserve">ANEXO No.5-2. INFORME DE EJECUCION PRESUPUESTAL DE GASTOS </t>
  </si>
  <si>
    <t>RECURSOS VIGENCIA:  Junio 30 de 2017</t>
  </si>
  <si>
    <t>APROPIACION DEFINITIVA</t>
  </si>
  <si>
    <t>EJECUCION    (COMPROMISOS)</t>
  </si>
  <si>
    <t>EJECUCION    (PAGOS)</t>
  </si>
  <si>
    <t>Pograma 1</t>
  </si>
  <si>
    <t>1,1 Ordenamiento y Admon RH y Cuencas Hidrograficas</t>
  </si>
  <si>
    <t>1,2 Recuperacion de Cuencas Hidrograficas</t>
  </si>
  <si>
    <t>Implementacion de procesos de restauracion pasiva</t>
  </si>
  <si>
    <t>1,3 descontaminacion de Fuentes Hidricas</t>
  </si>
  <si>
    <t>Programa 2</t>
  </si>
  <si>
    <t>2,1 Conocimiento y Planificacion de Ecosistemas Estrategicos</t>
  </si>
  <si>
    <t>2,2 Conservacion y Recuperacion de Ecosistemas Estrategicos y su Biodiversidad</t>
  </si>
  <si>
    <t>Programa 3</t>
  </si>
  <si>
    <t>3,1 Crecimiento Verde de Sectores Productivos</t>
  </si>
  <si>
    <t>3,1 Crecimiento Verde de Sectores Productivos-vigencias expiradas</t>
  </si>
  <si>
    <t>3,2 Areas  Urbanas Sostenibles y Resilientes</t>
  </si>
  <si>
    <t>Programa 4</t>
  </si>
  <si>
    <t>4,1 Control y vigilancia Ambiental</t>
  </si>
  <si>
    <t>Programa 5</t>
  </si>
  <si>
    <t>5,1 Planificacion Ambiental Territorial</t>
  </si>
  <si>
    <t>5,2 Gestion del Riesgo de Desastres</t>
  </si>
  <si>
    <t>5,2 Gestion del Riesgo de Desastres- vigencias expiradas</t>
  </si>
  <si>
    <t>Programa 6</t>
  </si>
  <si>
    <t>6,1 CAM Modelo de Gestion Corporativa</t>
  </si>
  <si>
    <t>6,2 Educacion Ambiental Opita de Corazon</t>
  </si>
  <si>
    <t>TOTAL PRESUPUESTO  DE INVERSION</t>
  </si>
  <si>
    <t>RECURSOS VIGENCIA :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</si>
</sst>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0%"/>
    <numFmt numFmtId="175" formatCode="#,##0_ ;\-#,##0\ "/>
    <numFmt numFmtId="176" formatCode="#,##0.000"/>
  </numFmts>
  <fonts count="71">
    <font>
      <sz val="10"/>
      <name val="Arial"/>
    </font>
    <font>
      <sz val="11"/>
      <color theme="1"/>
      <name val="Calibri"/>
      <family val="2"/>
      <scheme val="minor"/>
    </font>
    <font>
      <sz val="10"/>
      <name val="Arial"/>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sz val="6"/>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20"/>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sz val="9"/>
      <color rgb="FFFF0000"/>
      <name val="Arial"/>
      <family val="2"/>
    </font>
    <font>
      <b/>
      <sz val="14"/>
      <color theme="1"/>
      <name val="Arial"/>
      <family val="2"/>
    </font>
    <font>
      <sz val="10"/>
      <color theme="1"/>
      <name val="Arial"/>
      <family val="2"/>
    </font>
    <font>
      <sz val="12"/>
      <color theme="1"/>
      <name val="Arial"/>
      <family val="2"/>
    </font>
    <font>
      <b/>
      <sz val="14"/>
      <color rgb="FFFF0000"/>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b/>
      <sz val="11"/>
      <color rgb="FF222222"/>
      <name val="Arial"/>
      <family val="2"/>
    </font>
    <font>
      <sz val="11"/>
      <color rgb="FF222222"/>
      <name val="Arial"/>
      <family val="2"/>
    </font>
    <font>
      <sz val="10"/>
      <color rgb="FFC00000"/>
      <name val="Arial"/>
      <family val="2"/>
    </font>
    <font>
      <b/>
      <sz val="6"/>
      <name val="Arial"/>
      <family val="2"/>
    </font>
    <font>
      <b/>
      <sz val="10"/>
      <name val="Univers"/>
      <family val="2"/>
    </font>
    <font>
      <b/>
      <sz val="8"/>
      <name val="Univers"/>
    </font>
  </fonts>
  <fills count="3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s>
  <borders count="65">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diagonal/>
    </border>
  </borders>
  <cellStyleXfs count="13">
    <xf numFmtId="0" fontId="0" fillId="0" borderId="0"/>
    <xf numFmtId="170" fontId="2" fillId="0" borderId="0" applyFont="0" applyFill="0" applyBorder="0" applyAlignment="0" applyProtection="0"/>
    <xf numFmtId="166" fontId="2" fillId="0" borderId="0" applyFont="0" applyFill="0" applyBorder="0" applyAlignment="0" applyProtection="0"/>
    <xf numFmtId="172" fontId="28" fillId="0" borderId="0" applyFont="0" applyFill="0" applyBorder="0" applyAlignment="0" applyProtection="0"/>
    <xf numFmtId="165" fontId="22" fillId="0" borderId="0" applyFont="0" applyFill="0" applyBorder="0" applyAlignment="0" applyProtection="0"/>
    <xf numFmtId="43" fontId="35" fillId="0" borderId="0" applyFont="0" applyFill="0" applyBorder="0" applyAlignment="0" applyProtection="0"/>
    <xf numFmtId="165" fontId="52" fillId="0" borderId="0" applyFont="0" applyFill="0" applyBorder="0" applyAlignment="0" applyProtection="0"/>
    <xf numFmtId="164" fontId="22" fillId="0" borderId="0" applyFont="0" applyFill="0" applyBorder="0" applyAlignment="0" applyProtection="0"/>
    <xf numFmtId="0" fontId="52" fillId="0" borderId="0"/>
    <xf numFmtId="0" fontId="2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916">
    <xf numFmtId="0" fontId="0" fillId="0" borderId="0" xfId="0"/>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0" borderId="4" xfId="0" applyFont="1" applyBorder="1" applyAlignment="1">
      <alignment wrapText="1"/>
    </xf>
    <xf numFmtId="0" fontId="12" fillId="0" borderId="4" xfId="0" applyFont="1" applyBorder="1" applyAlignment="1">
      <alignment horizontal="justify" wrapText="1"/>
    </xf>
    <xf numFmtId="0" fontId="12" fillId="0" borderId="5" xfId="0" applyFont="1" applyBorder="1" applyAlignment="1">
      <alignment horizontal="justify" wrapText="1"/>
    </xf>
    <xf numFmtId="0" fontId="0" fillId="0" borderId="0" xfId="0" applyBorder="1" applyAlignment="1">
      <alignment horizontal="left"/>
    </xf>
    <xf numFmtId="0" fontId="13" fillId="0" borderId="1" xfId="0" applyFont="1" applyBorder="1" applyAlignment="1">
      <alignment vertical="top" wrapText="1"/>
    </xf>
    <xf numFmtId="0" fontId="13" fillId="0" borderId="1" xfId="0" applyFont="1" applyFill="1" applyBorder="1" applyAlignment="1">
      <alignment vertical="top" wrapText="1"/>
    </xf>
    <xf numFmtId="0" fontId="7" fillId="0" borderId="2" xfId="0" applyFont="1" applyFill="1" applyBorder="1" applyAlignment="1">
      <alignment horizontal="justify" wrapText="1"/>
    </xf>
    <xf numFmtId="0" fontId="7" fillId="0" borderId="2" xfId="0" applyFont="1" applyBorder="1" applyAlignment="1">
      <alignment horizontal="justify" wrapText="1"/>
    </xf>
    <xf numFmtId="0" fontId="6" fillId="0" borderId="0" xfId="0" applyFont="1" applyFill="1" applyBorder="1" applyAlignment="1">
      <alignment horizontal="center" vertical="center"/>
    </xf>
    <xf numFmtId="0" fontId="18" fillId="2" borderId="6" xfId="0" applyFont="1" applyFill="1" applyBorder="1" applyAlignment="1">
      <alignment horizontal="center" vertical="center"/>
    </xf>
    <xf numFmtId="0" fontId="14" fillId="2" borderId="7" xfId="0" quotePrefix="1" applyFont="1" applyFill="1" applyBorder="1" applyAlignment="1">
      <alignment horizontal="center"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21" fillId="0" borderId="12"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68" fontId="19" fillId="0" borderId="0" xfId="2" applyNumberFormat="1" applyFont="1" applyFill="1" applyAlignment="1">
      <alignment vertical="center" wrapText="1"/>
    </xf>
    <xf numFmtId="0" fontId="19" fillId="2" borderId="0" xfId="0" applyFont="1" applyFill="1" applyAlignment="1">
      <alignment vertical="center" wrapText="1"/>
    </xf>
    <xf numFmtId="0" fontId="6" fillId="0" borderId="13" xfId="0"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14" fillId="2" borderId="14" xfId="0" quotePrefix="1" applyFont="1" applyFill="1" applyBorder="1" applyAlignment="1">
      <alignment horizontal="center" vertical="center" wrapText="1"/>
    </xf>
    <xf numFmtId="3" fontId="4" fillId="4" borderId="10" xfId="0" applyNumberFormat="1" applyFont="1" applyFill="1" applyBorder="1" applyAlignment="1">
      <alignment vertical="center" wrapText="1"/>
    </xf>
    <xf numFmtId="3" fontId="5" fillId="4" borderId="10" xfId="0" applyNumberFormat="1" applyFont="1" applyFill="1" applyBorder="1" applyAlignment="1">
      <alignment horizontal="center" vertical="center" wrapText="1"/>
    </xf>
    <xf numFmtId="0" fontId="24" fillId="2" borderId="10" xfId="0" applyFont="1" applyFill="1" applyBorder="1" applyAlignment="1">
      <alignment horizontal="justify" vertical="center" wrapText="1"/>
    </xf>
    <xf numFmtId="0" fontId="25"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5" fillId="0" borderId="16" xfId="0" applyFont="1" applyFill="1" applyBorder="1" applyAlignment="1">
      <alignment horizontal="center" vertical="center" wrapText="1"/>
    </xf>
    <xf numFmtId="0" fontId="24" fillId="2" borderId="17" xfId="0" applyFont="1" applyFill="1" applyBorder="1" applyAlignment="1">
      <alignment horizontal="justify" vertical="center" wrapText="1"/>
    </xf>
    <xf numFmtId="0" fontId="24" fillId="0" borderId="17" xfId="0" applyFont="1" applyFill="1" applyBorder="1" applyAlignment="1">
      <alignment horizontal="center" vertical="center" wrapText="1"/>
    </xf>
    <xf numFmtId="0" fontId="25" fillId="0" borderId="15" xfId="0" applyFont="1" applyFill="1" applyBorder="1" applyAlignment="1">
      <alignment horizontal="center" vertical="center" textRotation="90" wrapText="1"/>
    </xf>
    <xf numFmtId="3" fontId="26"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2" fillId="0" borderId="0" xfId="0" applyFont="1"/>
    <xf numFmtId="0" fontId="19" fillId="14" borderId="0" xfId="0" applyFont="1" applyFill="1" applyAlignment="1">
      <alignment vertical="center" wrapText="1"/>
    </xf>
    <xf numFmtId="0" fontId="19" fillId="0" borderId="18" xfId="0" applyFont="1" applyFill="1" applyBorder="1" applyAlignment="1">
      <alignment vertical="center" wrapText="1"/>
    </xf>
    <xf numFmtId="3" fontId="26" fillId="0" borderId="10" xfId="0" applyNumberFormat="1" applyFont="1" applyFill="1" applyBorder="1" applyAlignment="1">
      <alignment horizontal="right" vertical="center" wrapText="1"/>
    </xf>
    <xf numFmtId="0" fontId="22" fillId="0" borderId="0" xfId="9" applyFont="1" applyBorder="1" applyAlignment="1">
      <alignment vertical="center" wrapText="1"/>
    </xf>
    <xf numFmtId="0" fontId="22" fillId="0" borderId="0" xfId="9" applyFont="1" applyFill="1" applyAlignment="1">
      <alignment vertical="center" wrapText="1"/>
    </xf>
    <xf numFmtId="0" fontId="22" fillId="0" borderId="0" xfId="9" applyFont="1" applyFill="1" applyAlignment="1">
      <alignment horizontal="center" vertical="center" wrapText="1"/>
    </xf>
    <xf numFmtId="171" fontId="22" fillId="0" borderId="0" xfId="9" applyNumberFormat="1" applyFont="1" applyFill="1" applyAlignment="1">
      <alignment vertical="center" wrapText="1"/>
    </xf>
    <xf numFmtId="3" fontId="22" fillId="0" borderId="0" xfId="9" applyNumberFormat="1" applyFont="1" applyFill="1" applyAlignment="1">
      <alignment vertical="center" wrapText="1"/>
    </xf>
    <xf numFmtId="171" fontId="22" fillId="0" borderId="0" xfId="4" applyNumberFormat="1" applyFont="1" applyFill="1" applyAlignment="1">
      <alignment vertical="center" wrapText="1"/>
    </xf>
    <xf numFmtId="0" fontId="22" fillId="15" borderId="0" xfId="9" applyFont="1" applyFill="1" applyAlignment="1">
      <alignment vertical="center" wrapText="1"/>
    </xf>
    <xf numFmtId="0" fontId="22" fillId="16" borderId="0" xfId="9" applyFont="1" applyFill="1" applyAlignment="1">
      <alignment vertical="center" wrapText="1"/>
    </xf>
    <xf numFmtId="0" fontId="53" fillId="0" borderId="12" xfId="0" applyFont="1" applyFill="1" applyBorder="1" applyAlignment="1">
      <alignment horizontal="center" vertical="center" wrapText="1"/>
    </xf>
    <xf numFmtId="0" fontId="5" fillId="0" borderId="0" xfId="0" applyFont="1" applyAlignment="1">
      <alignment wrapText="1"/>
    </xf>
    <xf numFmtId="169" fontId="54" fillId="0" borderId="10" xfId="0" applyNumberFormat="1" applyFont="1" applyFill="1" applyBorder="1" applyAlignment="1">
      <alignment horizontal="center" vertical="center" wrapText="1"/>
    </xf>
    <xf numFmtId="3" fontId="26" fillId="0" borderId="10" xfId="9" applyNumberFormat="1" applyFont="1" applyFill="1" applyBorder="1" applyAlignment="1">
      <alignment horizontal="right" vertical="center" wrapText="1"/>
    </xf>
    <xf numFmtId="0" fontId="54" fillId="0" borderId="10" xfId="0" applyFont="1" applyFill="1" applyBorder="1" applyAlignment="1">
      <alignment horizontal="center" vertical="center"/>
    </xf>
    <xf numFmtId="0" fontId="19" fillId="0" borderId="18" xfId="0" applyFont="1" applyFill="1" applyBorder="1" applyAlignment="1">
      <alignment vertical="center"/>
    </xf>
    <xf numFmtId="3" fontId="5" fillId="0" borderId="12" xfId="0" applyNumberFormat="1" applyFont="1" applyFill="1" applyBorder="1" applyAlignment="1">
      <alignment horizontal="right" vertical="center" wrapText="1"/>
    </xf>
    <xf numFmtId="3" fontId="4" fillId="2" borderId="17" xfId="0" applyNumberFormat="1" applyFont="1" applyFill="1" applyBorder="1" applyAlignment="1">
      <alignment horizontal="center" vertical="center" wrapText="1"/>
    </xf>
    <xf numFmtId="0" fontId="0" fillId="0" borderId="0" xfId="0" applyBorder="1"/>
    <xf numFmtId="0" fontId="32" fillId="0" borderId="10" xfId="0" applyFont="1" applyBorder="1" applyProtection="1"/>
    <xf numFmtId="0" fontId="33" fillId="0" borderId="10" xfId="0" applyFont="1" applyBorder="1" applyAlignment="1" applyProtection="1">
      <alignment horizontal="center" vertical="top"/>
    </xf>
    <xf numFmtId="1" fontId="34" fillId="6" borderId="10" xfId="0" applyNumberFormat="1" applyFont="1" applyFill="1" applyBorder="1" applyProtection="1"/>
    <xf numFmtId="0" fontId="33" fillId="6" borderId="10" xfId="0" applyFont="1" applyFill="1" applyBorder="1" applyProtection="1"/>
    <xf numFmtId="1" fontId="34" fillId="7" borderId="10" xfId="0" applyNumberFormat="1" applyFont="1" applyFill="1" applyBorder="1" applyProtection="1"/>
    <xf numFmtId="0" fontId="33" fillId="7" borderId="10" xfId="0" applyFont="1" applyFill="1" applyBorder="1" applyProtection="1"/>
    <xf numFmtId="1" fontId="34" fillId="2" borderId="10" xfId="0" applyNumberFormat="1" applyFont="1" applyFill="1" applyBorder="1" applyProtection="1"/>
    <xf numFmtId="0" fontId="33" fillId="2" borderId="10" xfId="0" applyFont="1" applyFill="1" applyBorder="1" applyProtection="1"/>
    <xf numFmtId="1" fontId="34" fillId="0" borderId="10" xfId="0" applyNumberFormat="1" applyFont="1" applyBorder="1" applyProtection="1"/>
    <xf numFmtId="0" fontId="32" fillId="0" borderId="10" xfId="0" applyFont="1" applyFill="1" applyBorder="1" applyProtection="1"/>
    <xf numFmtId="0" fontId="34" fillId="0" borderId="10" xfId="0" applyFont="1" applyFill="1" applyBorder="1" applyProtection="1"/>
    <xf numFmtId="0" fontId="33" fillId="0" borderId="10" xfId="0" applyFont="1" applyBorder="1" applyProtection="1"/>
    <xf numFmtId="1" fontId="32" fillId="0" borderId="10" xfId="0" applyNumberFormat="1" applyFont="1" applyBorder="1" applyProtection="1"/>
    <xf numFmtId="1" fontId="33" fillId="6" borderId="10" xfId="0" applyNumberFormat="1" applyFont="1" applyFill="1" applyBorder="1" applyProtection="1"/>
    <xf numFmtId="1" fontId="34" fillId="8" borderId="10" xfId="0" applyNumberFormat="1" applyFont="1" applyFill="1" applyBorder="1" applyProtection="1"/>
    <xf numFmtId="1" fontId="33" fillId="8" borderId="10" xfId="0" applyNumberFormat="1" applyFont="1" applyFill="1" applyBorder="1" applyProtection="1"/>
    <xf numFmtId="0" fontId="0" fillId="0" borderId="0" xfId="0" applyProtection="1"/>
    <xf numFmtId="3" fontId="0" fillId="0" borderId="0" xfId="0" applyNumberFormat="1" applyProtection="1"/>
    <xf numFmtId="0" fontId="36" fillId="0" borderId="0" xfId="0" applyFont="1" applyProtection="1"/>
    <xf numFmtId="4" fontId="22" fillId="0" borderId="0" xfId="0" applyNumberFormat="1" applyFont="1" applyProtection="1"/>
    <xf numFmtId="0" fontId="21" fillId="0" borderId="0" xfId="0" applyFont="1" applyAlignment="1" applyProtection="1">
      <alignment horizontal="center"/>
    </xf>
    <xf numFmtId="3" fontId="33" fillId="6" borderId="10" xfId="5" applyNumberFormat="1" applyFont="1" applyFill="1" applyBorder="1" applyProtection="1"/>
    <xf numFmtId="3" fontId="33" fillId="7" borderId="10" xfId="5" applyNumberFormat="1" applyFont="1" applyFill="1" applyBorder="1" applyProtection="1"/>
    <xf numFmtId="3" fontId="33" fillId="2" borderId="10" xfId="5" applyNumberFormat="1" applyFont="1" applyFill="1" applyBorder="1" applyProtection="1"/>
    <xf numFmtId="3" fontId="32" fillId="0" borderId="10" xfId="5" applyNumberFormat="1" applyFont="1" applyFill="1" applyBorder="1" applyProtection="1"/>
    <xf numFmtId="3" fontId="34" fillId="0" borderId="10" xfId="5" applyNumberFormat="1" applyFont="1" applyFill="1" applyBorder="1" applyProtection="1"/>
    <xf numFmtId="3" fontId="33" fillId="0" borderId="10" xfId="5" applyNumberFormat="1" applyFont="1" applyBorder="1" applyProtection="1"/>
    <xf numFmtId="3" fontId="34" fillId="0" borderId="10" xfId="5" applyNumberFormat="1" applyFont="1" applyBorder="1" applyProtection="1"/>
    <xf numFmtId="3" fontId="34" fillId="8" borderId="10" xfId="5" applyNumberFormat="1" applyFont="1" applyFill="1" applyBorder="1" applyProtection="1"/>
    <xf numFmtId="3" fontId="33" fillId="8" borderId="10" xfId="5" applyNumberFormat="1" applyFont="1" applyFill="1" applyBorder="1" applyProtection="1"/>
    <xf numFmtId="3" fontId="22" fillId="0" borderId="0" xfId="0" applyNumberFormat="1" applyFont="1" applyProtection="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xf>
    <xf numFmtId="0" fontId="21" fillId="0" borderId="0" xfId="0" applyFont="1" applyBorder="1" applyAlignment="1" applyProtection="1">
      <alignment vertical="center"/>
    </xf>
    <xf numFmtId="0" fontId="0" fillId="0" borderId="0" xfId="0" applyBorder="1" applyAlignment="1" applyProtection="1">
      <alignment vertical="center"/>
    </xf>
    <xf numFmtId="0" fontId="13" fillId="0" borderId="10"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34" fillId="0" borderId="15" xfId="0" applyFont="1" applyFill="1" applyBorder="1" applyAlignment="1" applyProtection="1">
      <alignment vertical="center"/>
    </xf>
    <xf numFmtId="4" fontId="34" fillId="0" borderId="10" xfId="0" applyNumberFormat="1" applyFont="1" applyFill="1" applyBorder="1" applyAlignment="1" applyProtection="1">
      <alignment vertical="center"/>
    </xf>
    <xf numFmtId="4" fontId="34" fillId="0" borderId="12" xfId="0" applyNumberFormat="1" applyFont="1" applyFill="1" applyBorder="1" applyAlignment="1" applyProtection="1">
      <alignment vertical="center"/>
    </xf>
    <xf numFmtId="4" fontId="0" fillId="0" borderId="0" xfId="0" applyNumberFormat="1" applyAlignment="1">
      <alignment vertical="center"/>
    </xf>
    <xf numFmtId="0" fontId="32" fillId="0" borderId="15" xfId="0" applyFont="1" applyFill="1" applyBorder="1" applyAlignment="1" applyProtection="1">
      <alignment vertical="center"/>
    </xf>
    <xf numFmtId="4" fontId="32" fillId="0" borderId="10" xfId="0" applyNumberFormat="1" applyFont="1" applyFill="1" applyBorder="1" applyAlignment="1" applyProtection="1">
      <alignment vertical="center"/>
    </xf>
    <xf numFmtId="4" fontId="32" fillId="0" borderId="12" xfId="0" applyNumberFormat="1" applyFont="1" applyFill="1" applyBorder="1" applyAlignment="1" applyProtection="1">
      <alignment vertical="center"/>
    </xf>
    <xf numFmtId="4" fontId="22" fillId="0" borderId="0" xfId="0" applyNumberFormat="1" applyFont="1" applyAlignment="1">
      <alignment vertical="center"/>
    </xf>
    <xf numFmtId="4" fontId="32" fillId="0" borderId="19" xfId="0" applyNumberFormat="1" applyFont="1" applyBorder="1" applyAlignment="1" applyProtection="1">
      <alignment vertical="center"/>
    </xf>
    <xf numFmtId="4" fontId="32" fillId="0" borderId="20" xfId="0" applyNumberFormat="1" applyFont="1" applyBorder="1" applyAlignment="1" applyProtection="1">
      <alignment vertical="center"/>
    </xf>
    <xf numFmtId="4" fontId="34" fillId="0" borderId="20" xfId="0" applyNumberFormat="1" applyFont="1" applyFill="1" applyBorder="1" applyAlignment="1" applyProtection="1">
      <alignment vertical="center"/>
    </xf>
    <xf numFmtId="4" fontId="32" fillId="0" borderId="21" xfId="0" applyNumberFormat="1" applyFont="1" applyFill="1" applyBorder="1" applyAlignment="1" applyProtection="1">
      <alignment vertical="center"/>
    </xf>
    <xf numFmtId="0" fontId="34" fillId="0" borderId="6" xfId="0" applyFont="1" applyFill="1" applyBorder="1" applyAlignment="1" applyProtection="1">
      <alignment vertical="center"/>
    </xf>
    <xf numFmtId="4" fontId="34" fillId="0" borderId="7" xfId="0" applyNumberFormat="1" applyFont="1" applyFill="1" applyBorder="1" applyAlignment="1" applyProtection="1">
      <alignment vertical="center"/>
    </xf>
    <xf numFmtId="4" fontId="34" fillId="0" borderId="14" xfId="0" applyNumberFormat="1" applyFont="1" applyFill="1" applyBorder="1" applyAlignment="1" applyProtection="1">
      <alignment vertical="center"/>
    </xf>
    <xf numFmtId="0" fontId="34" fillId="8" borderId="15" xfId="0" applyFont="1" applyFill="1" applyBorder="1" applyAlignment="1" applyProtection="1">
      <alignment vertical="center" wrapText="1"/>
      <protection locked="0"/>
    </xf>
    <xf numFmtId="4" fontId="34" fillId="0" borderId="10" xfId="0" applyNumberFormat="1" applyFont="1" applyFill="1" applyBorder="1" applyAlignment="1" applyProtection="1">
      <alignment vertical="center" wrapText="1"/>
      <protection locked="0"/>
    </xf>
    <xf numFmtId="0" fontId="20" fillId="17" borderId="22" xfId="0" applyFont="1" applyFill="1" applyBorder="1" applyAlignment="1">
      <alignment horizontal="justify" vertical="center" wrapText="1"/>
    </xf>
    <xf numFmtId="3" fontId="38" fillId="0" borderId="15" xfId="0" applyNumberFormat="1" applyFont="1" applyBorder="1" applyAlignment="1">
      <alignment wrapText="1"/>
    </xf>
    <xf numFmtId="4" fontId="32" fillId="0" borderId="10" xfId="0" applyNumberFormat="1" applyFont="1" applyFill="1" applyBorder="1" applyAlignment="1" applyProtection="1">
      <alignment vertical="center" wrapText="1"/>
      <protection locked="0"/>
    </xf>
    <xf numFmtId="4" fontId="55" fillId="0" borderId="10" xfId="0" applyNumberFormat="1" applyFont="1" applyFill="1" applyBorder="1" applyAlignment="1" applyProtection="1">
      <alignment vertical="center" wrapText="1"/>
      <protection locked="0"/>
    </xf>
    <xf numFmtId="4" fontId="34" fillId="0" borderId="12" xfId="0" applyNumberFormat="1" applyFont="1" applyFill="1" applyBorder="1" applyAlignment="1" applyProtection="1">
      <alignment vertical="center" wrapText="1"/>
      <protection locked="0"/>
    </xf>
    <xf numFmtId="4" fontId="39" fillId="0" borderId="10" xfId="0" applyNumberFormat="1" applyFont="1" applyFill="1" applyBorder="1" applyAlignment="1" applyProtection="1">
      <alignment vertical="center" wrapText="1"/>
      <protection locked="0"/>
    </xf>
    <xf numFmtId="4" fontId="39" fillId="0" borderId="12" xfId="0" applyNumberFormat="1" applyFont="1" applyFill="1" applyBorder="1" applyAlignment="1" applyProtection="1">
      <alignment vertical="center" wrapText="1"/>
      <protection locked="0"/>
    </xf>
    <xf numFmtId="0" fontId="38" fillId="0" borderId="15" xfId="0" applyFont="1" applyBorder="1" applyAlignment="1">
      <alignment vertical="center" wrapText="1"/>
    </xf>
    <xf numFmtId="3" fontId="38" fillId="0" borderId="15" xfId="0" applyNumberFormat="1" applyFont="1" applyBorder="1" applyAlignment="1">
      <alignment horizontal="justify"/>
    </xf>
    <xf numFmtId="0" fontId="34" fillId="8" borderId="15" xfId="0" applyFont="1" applyFill="1" applyBorder="1" applyAlignment="1" applyProtection="1">
      <alignment vertical="center"/>
    </xf>
    <xf numFmtId="4" fontId="40" fillId="8" borderId="15" xfId="0" applyNumberFormat="1" applyFont="1" applyFill="1" applyBorder="1" applyAlignment="1" applyProtection="1">
      <alignment vertical="center"/>
    </xf>
    <xf numFmtId="4" fontId="40" fillId="0" borderId="10" xfId="0" applyNumberFormat="1" applyFont="1" applyBorder="1" applyAlignment="1" applyProtection="1">
      <alignment vertical="center"/>
    </xf>
    <xf numFmtId="0" fontId="34" fillId="8" borderId="16" xfId="0" applyFont="1" applyFill="1" applyBorder="1" applyAlignment="1" applyProtection="1">
      <alignment vertical="center"/>
    </xf>
    <xf numFmtId="4" fontId="34" fillId="0" borderId="17" xfId="0" applyNumberFormat="1" applyFont="1" applyFill="1" applyBorder="1" applyAlignment="1" applyProtection="1">
      <alignment vertical="center"/>
    </xf>
    <xf numFmtId="4" fontId="34" fillId="0" borderId="23" xfId="0" applyNumberFormat="1" applyFont="1" applyFill="1" applyBorder="1" applyAlignment="1" applyProtection="1">
      <alignment vertical="center"/>
    </xf>
    <xf numFmtId="0" fontId="41" fillId="8" borderId="0" xfId="0" applyFont="1" applyFill="1" applyBorder="1" applyAlignment="1" applyProtection="1">
      <alignment horizontal="centerContinuous" vertical="center" wrapText="1"/>
    </xf>
    <xf numFmtId="0" fontId="42" fillId="0" borderId="0" xfId="0" applyFont="1" applyFill="1" applyBorder="1" applyAlignment="1" applyProtection="1">
      <alignment horizontal="centerContinuous" vertical="center" wrapText="1"/>
    </xf>
    <xf numFmtId="4" fontId="42" fillId="0" borderId="0" xfId="0" applyNumberFormat="1" applyFont="1" applyFill="1" applyBorder="1" applyAlignment="1" applyProtection="1">
      <alignment horizontal="centerContinuous" vertical="center" wrapText="1"/>
    </xf>
    <xf numFmtId="1" fontId="34"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2" fillId="0" borderId="0" xfId="0" applyNumberFormat="1" applyFont="1" applyAlignment="1" applyProtection="1">
      <alignment vertical="center"/>
    </xf>
    <xf numFmtId="0" fontId="21" fillId="8" borderId="0" xfId="0" applyFont="1" applyFill="1" applyAlignment="1">
      <alignment vertical="center"/>
    </xf>
    <xf numFmtId="0" fontId="22" fillId="8" borderId="0" xfId="0" applyFont="1" applyFill="1" applyAlignment="1">
      <alignment vertical="center"/>
    </xf>
    <xf numFmtId="0" fontId="0" fillId="8" borderId="0" xfId="0" applyFill="1" applyAlignment="1">
      <alignment vertical="center"/>
    </xf>
    <xf numFmtId="3" fontId="5" fillId="10" borderId="10" xfId="0" applyNumberFormat="1" applyFont="1" applyFill="1" applyBorder="1"/>
    <xf numFmtId="3" fontId="5" fillId="2" borderId="10" xfId="0" applyNumberFormat="1" applyFont="1" applyFill="1" applyBorder="1"/>
    <xf numFmtId="3" fontId="5" fillId="4" borderId="10" xfId="0" applyNumberFormat="1" applyFont="1" applyFill="1" applyBorder="1"/>
    <xf numFmtId="3" fontId="5" fillId="4" borderId="10" xfId="0" applyNumberFormat="1" applyFont="1" applyFill="1" applyBorder="1" applyAlignment="1">
      <alignment vertical="center" wrapText="1"/>
    </xf>
    <xf numFmtId="0" fontId="26" fillId="0" borderId="0" xfId="0" applyFont="1" applyFill="1" applyAlignment="1">
      <alignment horizontal="center" vertical="center" wrapText="1"/>
    </xf>
    <xf numFmtId="3" fontId="24" fillId="0" borderId="0" xfId="0" applyNumberFormat="1" applyFont="1" applyFill="1" applyAlignment="1">
      <alignment vertical="center" wrapText="1"/>
    </xf>
    <xf numFmtId="3" fontId="26" fillId="0" borderId="0" xfId="0" applyNumberFormat="1" applyFont="1" applyFill="1" applyAlignment="1">
      <alignment vertical="center" wrapText="1"/>
    </xf>
    <xf numFmtId="3" fontId="4" fillId="10" borderId="1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0" fontId="26" fillId="0" borderId="0" xfId="0" applyFont="1" applyFill="1" applyAlignment="1">
      <alignment vertical="center" wrapText="1"/>
    </xf>
    <xf numFmtId="3" fontId="5" fillId="10" borderId="10" xfId="0" applyNumberFormat="1" applyFont="1" applyFill="1" applyBorder="1" applyAlignment="1">
      <alignment vertical="center" wrapText="1"/>
    </xf>
    <xf numFmtId="3" fontId="5" fillId="2" borderId="10" xfId="0" applyNumberFormat="1" applyFont="1" applyFill="1" applyBorder="1" applyAlignment="1">
      <alignment vertical="center" wrapText="1"/>
    </xf>
    <xf numFmtId="3" fontId="4" fillId="0" borderId="0" xfId="0" applyNumberFormat="1" applyFont="1" applyFill="1" applyAlignment="1">
      <alignment vertical="center" wrapText="1"/>
    </xf>
    <xf numFmtId="3" fontId="4" fillId="11" borderId="10" xfId="0" applyNumberFormat="1" applyFont="1" applyFill="1" applyBorder="1" applyAlignment="1">
      <alignment vertical="center" wrapText="1"/>
    </xf>
    <xf numFmtId="3" fontId="43" fillId="10" borderId="10" xfId="0" applyNumberFormat="1" applyFont="1" applyFill="1" applyBorder="1" applyAlignment="1">
      <alignment vertical="center" wrapText="1"/>
    </xf>
    <xf numFmtId="3" fontId="4" fillId="0" borderId="24" xfId="0" applyNumberFormat="1" applyFont="1" applyFill="1" applyBorder="1" applyAlignment="1">
      <alignment horizontal="right" vertical="center" wrapText="1"/>
    </xf>
    <xf numFmtId="3" fontId="5" fillId="11" borderId="10" xfId="0" applyNumberFormat="1" applyFont="1" applyFill="1" applyBorder="1" applyAlignment="1">
      <alignment vertical="center" wrapText="1"/>
    </xf>
    <xf numFmtId="3" fontId="4" fillId="2" borderId="10" xfId="0" applyNumberFormat="1" applyFont="1" applyFill="1" applyBorder="1" applyAlignment="1">
      <alignment vertical="center" wrapText="1"/>
    </xf>
    <xf numFmtId="3" fontId="5" fillId="12" borderId="1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3" fontId="4" fillId="11" borderId="0" xfId="0" applyNumberFormat="1" applyFont="1" applyFill="1" applyBorder="1" applyAlignment="1">
      <alignment vertical="center" wrapText="1"/>
    </xf>
    <xf numFmtId="3" fontId="4" fillId="0" borderId="13" xfId="0" applyNumberFormat="1" applyFont="1" applyFill="1" applyBorder="1" applyAlignment="1">
      <alignment horizontal="right" vertical="center" wrapText="1"/>
    </xf>
    <xf numFmtId="0" fontId="5" fillId="8"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8" borderId="0" xfId="0" applyNumberFormat="1" applyFont="1" applyFill="1" applyAlignment="1">
      <alignment horizontal="right" vertical="center"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1" fillId="14" borderId="10" xfId="0" applyFont="1" applyFill="1" applyBorder="1" applyAlignment="1">
      <alignment horizontal="center" vertical="center"/>
    </xf>
    <xf numFmtId="0" fontId="0" fillId="0" borderId="10" xfId="0" applyBorder="1" applyAlignment="1">
      <alignment horizontal="center" vertical="center" wrapText="1"/>
    </xf>
    <xf numFmtId="0" fontId="21" fillId="14" borderId="10" xfId="0" applyFont="1" applyFill="1" applyBorder="1" applyAlignment="1">
      <alignment horizontal="center" vertical="center" wrapText="1"/>
    </xf>
    <xf numFmtId="0" fontId="25" fillId="0" borderId="0" xfId="0" applyFont="1"/>
    <xf numFmtId="3" fontId="25" fillId="0" borderId="0" xfId="0" applyNumberFormat="1" applyFont="1"/>
    <xf numFmtId="0" fontId="4" fillId="0" borderId="25" xfId="0" applyFont="1" applyFill="1" applyBorder="1" applyAlignment="1">
      <alignment horizontal="center" vertical="top" wrapText="1"/>
    </xf>
    <xf numFmtId="0" fontId="12" fillId="0" borderId="4" xfId="0" applyFont="1" applyBorder="1" applyAlignment="1">
      <alignment horizontal="justify" vertical="top" wrapText="1"/>
    </xf>
    <xf numFmtId="0" fontId="11" fillId="18" borderId="4" xfId="0" applyFont="1" applyFill="1" applyBorder="1" applyAlignment="1">
      <alignment wrapText="1"/>
    </xf>
    <xf numFmtId="0" fontId="12" fillId="18" borderId="4" xfId="0" applyFont="1" applyFill="1" applyBorder="1" applyAlignment="1">
      <alignment horizontal="justify" vertical="top" wrapText="1"/>
    </xf>
    <xf numFmtId="0" fontId="12" fillId="0" borderId="4" xfId="0" applyFont="1" applyBorder="1" applyAlignment="1">
      <alignment horizontal="justify"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9" fillId="0" borderId="0" xfId="0" applyFont="1" applyFill="1" applyAlignment="1">
      <alignment vertical="top" wrapText="1"/>
    </xf>
    <xf numFmtId="0" fontId="56" fillId="0" borderId="18" xfId="0" applyFont="1" applyFill="1" applyBorder="1" applyAlignment="1">
      <alignment vertical="center" wrapText="1"/>
    </xf>
    <xf numFmtId="0" fontId="56" fillId="0" borderId="0" xfId="0" applyFont="1" applyFill="1" applyAlignment="1">
      <alignment vertical="center" wrapText="1"/>
    </xf>
    <xf numFmtId="0" fontId="0" fillId="18" borderId="10" xfId="0" applyFill="1" applyBorder="1" applyAlignment="1">
      <alignment horizontal="center" vertical="center"/>
    </xf>
    <xf numFmtId="0" fontId="22" fillId="0" borderId="0" xfId="0" applyFont="1" applyAlignment="1">
      <alignment horizontal="center" vertical="center"/>
    </xf>
    <xf numFmtId="171" fontId="26" fillId="0" borderId="0" xfId="4" applyNumberFormat="1" applyFont="1" applyBorder="1" applyAlignment="1">
      <alignment vertical="center" wrapText="1"/>
    </xf>
    <xf numFmtId="0" fontId="29" fillId="13" borderId="17" xfId="9" applyFont="1" applyFill="1" applyBorder="1" applyAlignment="1">
      <alignment horizontal="center" vertical="center" wrapText="1"/>
    </xf>
    <xf numFmtId="0" fontId="29" fillId="14" borderId="26" xfId="9" applyFont="1" applyFill="1" applyBorder="1" applyAlignment="1">
      <alignment horizontal="center" vertical="center" wrapText="1"/>
    </xf>
    <xf numFmtId="0" fontId="26" fillId="0" borderId="18" xfId="9" applyFont="1" applyFill="1" applyBorder="1" applyAlignment="1">
      <alignment vertical="center" wrapText="1"/>
    </xf>
    <xf numFmtId="0" fontId="46" fillId="0" borderId="10" xfId="9" applyFont="1" applyFill="1" applyBorder="1" applyAlignment="1">
      <alignment horizontal="center" vertical="center" wrapText="1"/>
    </xf>
    <xf numFmtId="3" fontId="26" fillId="0" borderId="27" xfId="9" applyNumberFormat="1" applyFont="1" applyFill="1" applyBorder="1" applyAlignment="1">
      <alignment horizontal="right" vertical="center" wrapText="1"/>
    </xf>
    <xf numFmtId="0" fontId="26" fillId="0" borderId="10" xfId="9" applyFont="1" applyFill="1" applyBorder="1" applyAlignment="1">
      <alignment horizontal="center" vertical="center" wrapText="1"/>
    </xf>
    <xf numFmtId="0" fontId="26" fillId="0" borderId="10" xfId="9" applyFont="1" applyFill="1" applyBorder="1" applyAlignment="1">
      <alignment vertical="center" wrapText="1"/>
    </xf>
    <xf numFmtId="0" fontId="26" fillId="0" borderId="26" xfId="9" applyFont="1" applyFill="1" applyBorder="1" applyAlignment="1">
      <alignment horizontal="center" vertical="center" wrapText="1"/>
    </xf>
    <xf numFmtId="0" fontId="26" fillId="4" borderId="26" xfId="9" applyFont="1" applyFill="1" applyBorder="1" applyAlignment="1">
      <alignment horizontal="justify" vertical="center" wrapText="1"/>
    </xf>
    <xf numFmtId="0" fontId="26" fillId="4" borderId="26" xfId="9" applyFont="1" applyFill="1" applyBorder="1" applyAlignment="1">
      <alignment horizontal="center" vertical="center" wrapText="1"/>
    </xf>
    <xf numFmtId="3" fontId="26" fillId="4" borderId="26" xfId="9" applyNumberFormat="1" applyFont="1" applyFill="1" applyBorder="1" applyAlignment="1">
      <alignment horizontal="center" vertical="center" wrapText="1"/>
    </xf>
    <xf numFmtId="3" fontId="29" fillId="19" borderId="10" xfId="9" applyNumberFormat="1" applyFont="1" applyFill="1" applyBorder="1" applyAlignment="1">
      <alignment horizontal="right" vertical="center" wrapText="1"/>
    </xf>
    <xf numFmtId="3" fontId="26" fillId="19" borderId="10" xfId="9" applyNumberFormat="1" applyFont="1" applyFill="1" applyBorder="1" applyAlignment="1">
      <alignment horizontal="center" vertical="center" wrapText="1"/>
    </xf>
    <xf numFmtId="0" fontId="46" fillId="0" borderId="10" xfId="9" applyFont="1" applyBorder="1" applyAlignment="1">
      <alignment horizontal="center" vertical="center" wrapText="1"/>
    </xf>
    <xf numFmtId="0" fontId="26" fillId="20" borderId="10" xfId="9" applyFont="1" applyFill="1" applyBorder="1" applyAlignment="1">
      <alignment horizontal="center" vertical="center" wrapText="1"/>
    </xf>
    <xf numFmtId="0" fontId="26" fillId="4" borderId="19" xfId="9" applyFont="1" applyFill="1" applyBorder="1" applyAlignment="1">
      <alignment horizontal="justify" vertical="center" wrapText="1"/>
    </xf>
    <xf numFmtId="0" fontId="26" fillId="4" borderId="10" xfId="9" applyFont="1" applyFill="1" applyBorder="1" applyAlignment="1">
      <alignment horizontal="justify" vertical="center" wrapText="1"/>
    </xf>
    <xf numFmtId="0" fontId="26" fillId="4" borderId="20" xfId="9" applyFont="1" applyFill="1" applyBorder="1" applyAlignment="1">
      <alignment horizontal="center" vertical="center" wrapText="1"/>
    </xf>
    <xf numFmtId="0" fontId="26" fillId="0" borderId="25" xfId="9" applyFont="1" applyFill="1" applyBorder="1" applyAlignment="1">
      <alignment vertical="center" wrapText="1"/>
    </xf>
    <xf numFmtId="0" fontId="29" fillId="5" borderId="15" xfId="9" applyFont="1" applyFill="1" applyBorder="1" applyAlignment="1">
      <alignment horizontal="center" vertical="center" wrapText="1"/>
    </xf>
    <xf numFmtId="0" fontId="29" fillId="5" borderId="10" xfId="9" applyFont="1" applyFill="1" applyBorder="1" applyAlignment="1">
      <alignment horizontal="center" vertical="center" wrapText="1"/>
    </xf>
    <xf numFmtId="3" fontId="29" fillId="14" borderId="10" xfId="9" applyNumberFormat="1" applyFont="1" applyFill="1" applyBorder="1" applyAlignment="1">
      <alignment horizontal="center" vertical="center" wrapText="1"/>
    </xf>
    <xf numFmtId="3" fontId="29" fillId="14" borderId="10" xfId="9" applyNumberFormat="1" applyFont="1" applyFill="1" applyBorder="1" applyAlignment="1">
      <alignment horizontal="right" vertical="center" wrapText="1"/>
    </xf>
    <xf numFmtId="0" fontId="26" fillId="4" borderId="20" xfId="9" applyFont="1" applyFill="1" applyBorder="1" applyAlignment="1">
      <alignment horizontal="justify" vertical="center" wrapText="1"/>
    </xf>
    <xf numFmtId="3" fontId="26" fillId="19" borderId="20" xfId="9" applyNumberFormat="1" applyFont="1" applyFill="1" applyBorder="1" applyAlignment="1">
      <alignment horizontal="center" vertical="center" wrapText="1"/>
    </xf>
    <xf numFmtId="0" fontId="26" fillId="4" borderId="24" xfId="9" applyFont="1" applyFill="1" applyBorder="1" applyAlignment="1">
      <alignment horizontal="justify" vertical="center" wrapText="1"/>
    </xf>
    <xf numFmtId="0" fontId="26" fillId="4" borderId="28" xfId="9" applyFont="1" applyFill="1" applyBorder="1" applyAlignment="1">
      <alignment horizontal="center" vertical="center" wrapText="1"/>
    </xf>
    <xf numFmtId="0" fontId="26" fillId="19" borderId="26" xfId="9" applyFont="1" applyFill="1" applyBorder="1" applyAlignment="1">
      <alignment horizontal="center" vertical="center" wrapText="1"/>
    </xf>
    <xf numFmtId="3" fontId="29" fillId="19" borderId="20" xfId="9" applyNumberFormat="1" applyFont="1" applyFill="1" applyBorder="1" applyAlignment="1">
      <alignment horizontal="right" vertical="center" wrapText="1"/>
    </xf>
    <xf numFmtId="3" fontId="26" fillId="20" borderId="10" xfId="9" applyNumberFormat="1" applyFont="1" applyFill="1" applyBorder="1" applyAlignment="1">
      <alignment horizontal="right" vertical="center" wrapText="1"/>
    </xf>
    <xf numFmtId="0" fontId="26" fillId="19" borderId="20" xfId="9" applyFont="1" applyFill="1" applyBorder="1" applyAlignment="1">
      <alignment horizontal="center" vertical="center" wrapText="1"/>
    </xf>
    <xf numFmtId="0" fontId="26" fillId="14" borderId="26" xfId="9" applyFont="1" applyFill="1" applyBorder="1" applyAlignment="1">
      <alignment vertical="center" wrapText="1"/>
    </xf>
    <xf numFmtId="0" fontId="26" fillId="14" borderId="10" xfId="9" applyFont="1" applyFill="1" applyBorder="1" applyAlignment="1">
      <alignment vertical="center" wrapText="1"/>
    </xf>
    <xf numFmtId="3" fontId="29" fillId="14" borderId="10" xfId="9" applyNumberFormat="1" applyFont="1" applyFill="1" applyBorder="1" applyAlignment="1">
      <alignment vertical="center" wrapText="1"/>
    </xf>
    <xf numFmtId="0" fontId="26" fillId="4" borderId="20" xfId="9" applyFont="1" applyFill="1" applyBorder="1" applyAlignment="1">
      <alignment vertical="center" wrapText="1"/>
    </xf>
    <xf numFmtId="0" fontId="26" fillId="4" borderId="10" xfId="9" applyFont="1" applyFill="1" applyBorder="1" applyAlignment="1">
      <alignment vertical="center" wrapText="1"/>
    </xf>
    <xf numFmtId="3" fontId="29" fillId="19" borderId="10" xfId="9" applyNumberFormat="1" applyFont="1" applyFill="1" applyBorder="1" applyAlignment="1">
      <alignment vertical="center" wrapText="1"/>
    </xf>
    <xf numFmtId="0" fontId="26" fillId="19" borderId="10" xfId="9" applyFont="1" applyFill="1" applyBorder="1" applyAlignment="1">
      <alignment vertical="center" wrapText="1"/>
    </xf>
    <xf numFmtId="3" fontId="26" fillId="0" borderId="10" xfId="9" applyNumberFormat="1" applyFont="1" applyFill="1" applyBorder="1" applyAlignment="1">
      <alignment horizontal="center" vertical="center" wrapText="1"/>
    </xf>
    <xf numFmtId="171" fontId="29" fillId="19" borderId="10" xfId="4" applyNumberFormat="1" applyFont="1" applyFill="1" applyBorder="1" applyAlignment="1">
      <alignment horizontal="justify" vertical="center" wrapText="1"/>
    </xf>
    <xf numFmtId="0" fontId="26" fillId="0" borderId="26" xfId="9" applyFont="1" applyFill="1" applyBorder="1" applyAlignment="1">
      <alignment vertical="center" wrapText="1"/>
    </xf>
    <xf numFmtId="0" fontId="26" fillId="0" borderId="27" xfId="9" applyFont="1" applyFill="1" applyBorder="1" applyAlignment="1">
      <alignment vertical="center" wrapText="1"/>
    </xf>
    <xf numFmtId="0" fontId="26" fillId="4" borderId="0" xfId="9" applyFont="1" applyFill="1" applyBorder="1" applyAlignment="1">
      <alignment vertical="center" wrapText="1"/>
    </xf>
    <xf numFmtId="0" fontId="26" fillId="19" borderId="0" xfId="9" applyFont="1" applyFill="1" applyBorder="1" applyAlignment="1">
      <alignment vertical="center" wrapText="1"/>
    </xf>
    <xf numFmtId="0" fontId="29" fillId="14" borderId="10" xfId="9" applyFont="1" applyFill="1" applyBorder="1" applyAlignment="1">
      <alignment horizontal="center" vertical="center" wrapText="1"/>
    </xf>
    <xf numFmtId="0" fontId="26" fillId="19" borderId="10" xfId="9" applyFont="1" applyFill="1" applyBorder="1" applyAlignment="1">
      <alignment horizontal="justify" vertical="center" wrapText="1"/>
    </xf>
    <xf numFmtId="3" fontId="26" fillId="0" borderId="20" xfId="9" applyNumberFormat="1" applyFont="1" applyFill="1" applyBorder="1" applyAlignment="1">
      <alignment horizontal="right" vertical="center" wrapText="1"/>
    </xf>
    <xf numFmtId="3" fontId="26" fillId="0" borderId="20" xfId="9" applyNumberFormat="1" applyFont="1" applyFill="1" applyBorder="1" applyAlignment="1">
      <alignment horizontal="center" vertical="center" wrapText="1"/>
    </xf>
    <xf numFmtId="3" fontId="29" fillId="13" borderId="17" xfId="9" applyNumberFormat="1" applyFont="1" applyFill="1" applyBorder="1" applyAlignment="1">
      <alignment horizontal="center" vertical="center" wrapText="1"/>
    </xf>
    <xf numFmtId="0" fontId="26" fillId="20" borderId="25" xfId="9" applyFont="1" applyFill="1" applyBorder="1" applyAlignment="1">
      <alignment vertical="center" wrapText="1"/>
    </xf>
    <xf numFmtId="171" fontId="29" fillId="13" borderId="23" xfId="4" applyNumberFormat="1" applyFont="1" applyFill="1" applyBorder="1" applyAlignment="1">
      <alignment horizontal="center" vertical="center" wrapText="1"/>
    </xf>
    <xf numFmtId="171" fontId="26" fillId="0" borderId="12" xfId="4" applyNumberFormat="1" applyFont="1" applyFill="1" applyBorder="1" applyAlignment="1">
      <alignment vertical="center" wrapText="1"/>
    </xf>
    <xf numFmtId="171" fontId="29" fillId="19" borderId="29" xfId="4" applyNumberFormat="1" applyFont="1" applyFill="1" applyBorder="1" applyAlignment="1">
      <alignment horizontal="right" vertical="center" wrapText="1"/>
    </xf>
    <xf numFmtId="171" fontId="54" fillId="0" borderId="0" xfId="4" applyNumberFormat="1" applyFont="1" applyBorder="1" applyAlignment="1">
      <alignment vertical="center" wrapText="1"/>
    </xf>
    <xf numFmtId="171" fontId="57" fillId="13" borderId="17" xfId="4" applyNumberFormat="1" applyFont="1" applyFill="1" applyBorder="1" applyAlignment="1">
      <alignment horizontal="center" vertical="center" wrapText="1"/>
    </xf>
    <xf numFmtId="3" fontId="57" fillId="19" borderId="20" xfId="9" applyNumberFormat="1" applyFont="1" applyFill="1" applyBorder="1" applyAlignment="1">
      <alignment horizontal="right" vertical="center" wrapText="1"/>
    </xf>
    <xf numFmtId="171" fontId="57" fillId="19" borderId="26" xfId="4" applyNumberFormat="1" applyFont="1" applyFill="1" applyBorder="1" applyAlignment="1">
      <alignment horizontal="right" vertical="center" wrapText="1"/>
    </xf>
    <xf numFmtId="171" fontId="58" fillId="0" borderId="0" xfId="4" applyNumberFormat="1" applyFont="1" applyFill="1" applyAlignment="1">
      <alignment vertical="center" wrapText="1"/>
    </xf>
    <xf numFmtId="0" fontId="26" fillId="19" borderId="20" xfId="9" applyFont="1" applyFill="1" applyBorder="1" applyAlignment="1">
      <alignment vertical="center" wrapText="1"/>
    </xf>
    <xf numFmtId="3" fontId="29" fillId="19" borderId="20" xfId="9" applyNumberFormat="1" applyFont="1" applyFill="1" applyBorder="1" applyAlignment="1">
      <alignment horizontal="center" vertical="center" wrapText="1"/>
    </xf>
    <xf numFmtId="3"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71" fontId="26" fillId="0" borderId="12" xfId="0" applyNumberFormat="1" applyFont="1" applyFill="1" applyBorder="1" applyAlignment="1">
      <alignment horizontal="right" vertical="center" wrapText="1"/>
    </xf>
    <xf numFmtId="171" fontId="54" fillId="0" borderId="12" xfId="0" applyNumberFormat="1" applyFont="1" applyFill="1" applyBorder="1" applyAlignment="1">
      <alignment horizontal="right" vertical="center" wrapText="1"/>
    </xf>
    <xf numFmtId="0" fontId="22" fillId="0" borderId="30" xfId="9" applyFont="1" applyFill="1" applyBorder="1" applyAlignment="1">
      <alignment vertical="center" wrapText="1"/>
    </xf>
    <xf numFmtId="0" fontId="22" fillId="0" borderId="31" xfId="9" applyFont="1" applyFill="1" applyBorder="1" applyAlignment="1">
      <alignment vertical="center" wrapText="1"/>
    </xf>
    <xf numFmtId="3" fontId="21" fillId="0" borderId="31" xfId="9" applyNumberFormat="1" applyFont="1" applyFill="1" applyBorder="1" applyAlignment="1">
      <alignment vertical="center" wrapText="1"/>
    </xf>
    <xf numFmtId="171" fontId="22" fillId="0" borderId="31" xfId="4" applyNumberFormat="1" applyFont="1" applyFill="1" applyBorder="1" applyAlignment="1">
      <alignment vertical="center" wrapText="1"/>
    </xf>
    <xf numFmtId="3" fontId="22" fillId="0" borderId="31" xfId="9" applyNumberFormat="1" applyFont="1" applyFill="1" applyBorder="1" applyAlignment="1">
      <alignment vertical="center" wrapText="1"/>
    </xf>
    <xf numFmtId="171" fontId="58" fillId="0" borderId="31" xfId="4" applyNumberFormat="1" applyFont="1" applyFill="1" applyBorder="1" applyAlignment="1">
      <alignment vertical="center" wrapText="1"/>
    </xf>
    <xf numFmtId="171" fontId="22" fillId="0" borderId="32" xfId="4" applyNumberFormat="1" applyFont="1" applyFill="1" applyBorder="1" applyAlignment="1">
      <alignment vertical="center" wrapText="1"/>
    </xf>
    <xf numFmtId="0" fontId="48" fillId="0" borderId="0" xfId="9" applyFont="1" applyBorder="1" applyAlignment="1">
      <alignment vertical="center" wrapText="1"/>
    </xf>
    <xf numFmtId="0" fontId="26" fillId="21" borderId="33" xfId="9" applyFont="1" applyFill="1" applyBorder="1" applyAlignment="1">
      <alignment horizontal="justify" vertical="center" wrapText="1"/>
    </xf>
    <xf numFmtId="0" fontId="59" fillId="0" borderId="10" xfId="0" applyFont="1" applyFill="1" applyBorder="1" applyAlignment="1">
      <alignment horizontal="center" vertical="center"/>
    </xf>
    <xf numFmtId="0" fontId="26" fillId="20" borderId="15" xfId="9" applyFont="1" applyFill="1" applyBorder="1" applyAlignment="1">
      <alignment horizontal="justify" vertical="center" wrapText="1"/>
    </xf>
    <xf numFmtId="0" fontId="46" fillId="20" borderId="10" xfId="9" applyFont="1" applyFill="1" applyBorder="1" applyAlignment="1">
      <alignment horizontal="center" vertical="center" wrapText="1"/>
    </xf>
    <xf numFmtId="0" fontId="46" fillId="20" borderId="20" xfId="9" applyFont="1" applyFill="1" applyBorder="1" applyAlignment="1">
      <alignment horizontal="center" vertical="center" wrapText="1"/>
    </xf>
    <xf numFmtId="3" fontId="26" fillId="0" borderId="27" xfId="9" applyNumberFormat="1" applyFont="1" applyFill="1" applyBorder="1" applyAlignment="1">
      <alignment horizontal="center" vertical="center" wrapText="1"/>
    </xf>
    <xf numFmtId="0" fontId="29" fillId="5" borderId="15" xfId="9" applyFont="1" applyFill="1" applyBorder="1" applyAlignment="1" applyProtection="1">
      <alignment horizontal="center" vertical="center" wrapText="1"/>
      <protection locked="0"/>
    </xf>
    <xf numFmtId="0" fontId="26" fillId="21" borderId="15" xfId="9" applyFont="1" applyFill="1" applyBorder="1" applyAlignment="1">
      <alignment horizontal="justify" vertical="center" wrapText="1"/>
    </xf>
    <xf numFmtId="0" fontId="54" fillId="20" borderId="10" xfId="0" applyFont="1" applyFill="1" applyBorder="1" applyAlignment="1">
      <alignment horizontal="center" vertical="center"/>
    </xf>
    <xf numFmtId="0" fontId="26" fillId="0" borderId="25" xfId="9" applyFont="1" applyFill="1" applyBorder="1" applyAlignment="1">
      <alignment horizontal="center" vertical="center" wrapText="1"/>
    </xf>
    <xf numFmtId="3" fontId="29" fillId="19" borderId="20" xfId="9" applyNumberFormat="1" applyFont="1" applyFill="1" applyBorder="1" applyAlignment="1">
      <alignment vertical="center" wrapText="1"/>
    </xf>
    <xf numFmtId="171" fontId="57" fillId="19" borderId="28" xfId="4" applyNumberFormat="1" applyFont="1" applyFill="1" applyBorder="1" applyAlignment="1">
      <alignment horizontal="right" vertical="center" wrapText="1"/>
    </xf>
    <xf numFmtId="171" fontId="57" fillId="19" borderId="10" xfId="4" applyNumberFormat="1" applyFont="1" applyFill="1" applyBorder="1" applyAlignment="1">
      <alignment horizontal="right" vertical="center" wrapText="1"/>
    </xf>
    <xf numFmtId="0" fontId="29" fillId="13" borderId="17" xfId="9" applyFont="1" applyFill="1" applyBorder="1" applyAlignment="1" applyProtection="1">
      <alignment horizontal="center" vertical="center" wrapText="1"/>
      <protection locked="0"/>
    </xf>
    <xf numFmtId="0" fontId="29" fillId="22" borderId="17" xfId="9" applyFont="1" applyFill="1" applyBorder="1" applyAlignment="1" applyProtection="1">
      <alignment horizontal="center" vertical="center" wrapText="1"/>
      <protection locked="0"/>
    </xf>
    <xf numFmtId="0" fontId="29" fillId="5" borderId="33" xfId="9" applyFont="1" applyFill="1" applyBorder="1" applyAlignment="1">
      <alignment horizontal="center" vertical="center" wrapText="1"/>
    </xf>
    <xf numFmtId="3" fontId="29" fillId="14" borderId="26" xfId="9" applyNumberFormat="1" applyFont="1" applyFill="1" applyBorder="1" applyAlignment="1">
      <alignment vertical="center" wrapText="1"/>
    </xf>
    <xf numFmtId="171" fontId="29" fillId="14" borderId="26" xfId="9" applyNumberFormat="1" applyFont="1" applyFill="1" applyBorder="1" applyAlignment="1">
      <alignment vertical="center" wrapText="1"/>
    </xf>
    <xf numFmtId="3" fontId="26" fillId="0" borderId="0" xfId="9" applyNumberFormat="1" applyFont="1" applyFill="1" applyBorder="1" applyAlignment="1">
      <alignment horizontal="right" vertical="center" wrapText="1"/>
    </xf>
    <xf numFmtId="169" fontId="54" fillId="0" borderId="0" xfId="0" applyNumberFormat="1" applyFont="1" applyFill="1" applyBorder="1" applyAlignment="1">
      <alignment horizontal="center" vertical="center" wrapText="1"/>
    </xf>
    <xf numFmtId="171" fontId="26" fillId="0" borderId="0" xfId="4" applyNumberFormat="1" applyFont="1" applyFill="1" applyBorder="1" applyAlignment="1">
      <alignment vertical="center" wrapText="1"/>
    </xf>
    <xf numFmtId="0" fontId="26" fillId="18" borderId="26" xfId="9" applyFont="1" applyFill="1" applyBorder="1" applyAlignment="1">
      <alignment horizontal="center" vertical="center" wrapText="1"/>
    </xf>
    <xf numFmtId="3" fontId="26" fillId="18" borderId="10" xfId="9" applyNumberFormat="1" applyFont="1" applyFill="1" applyBorder="1" applyAlignment="1">
      <alignment horizontal="right" vertical="center" wrapText="1"/>
    </xf>
    <xf numFmtId="0" fontId="26" fillId="18" borderId="10" xfId="9" applyFont="1" applyFill="1" applyBorder="1" applyAlignment="1">
      <alignment horizontal="center" vertical="center" wrapText="1"/>
    </xf>
    <xf numFmtId="0" fontId="54" fillId="18" borderId="10" xfId="0" applyFont="1" applyFill="1" applyBorder="1" applyAlignment="1">
      <alignment horizontal="center" vertical="center"/>
    </xf>
    <xf numFmtId="0" fontId="46" fillId="18" borderId="10" xfId="9" applyFont="1" applyFill="1" applyBorder="1" applyAlignment="1">
      <alignment horizontal="center" vertical="center" wrapText="1"/>
    </xf>
    <xf numFmtId="3" fontId="26" fillId="18" borderId="26" xfId="9" applyNumberFormat="1" applyFont="1" applyFill="1" applyBorder="1" applyAlignment="1">
      <alignment horizontal="center" vertical="center" wrapText="1"/>
    </xf>
    <xf numFmtId="3" fontId="46" fillId="18" borderId="10" xfId="9" applyNumberFormat="1" applyFont="1" applyFill="1" applyBorder="1" applyAlignment="1">
      <alignment horizontal="center" vertical="center" wrapText="1"/>
    </xf>
    <xf numFmtId="3" fontId="26" fillId="18" borderId="10" xfId="9" applyNumberFormat="1" applyFont="1" applyFill="1" applyBorder="1" applyAlignment="1">
      <alignment horizontal="center" vertical="center" wrapText="1"/>
    </xf>
    <xf numFmtId="3" fontId="29" fillId="18" borderId="26" xfId="9" applyNumberFormat="1" applyFont="1" applyFill="1" applyBorder="1" applyAlignment="1">
      <alignment horizontal="center" vertical="center" wrapText="1"/>
    </xf>
    <xf numFmtId="3" fontId="26" fillId="18" borderId="20" xfId="9" applyNumberFormat="1" applyFont="1" applyFill="1" applyBorder="1" applyAlignment="1">
      <alignment horizontal="center" vertical="center" wrapText="1"/>
    </xf>
    <xf numFmtId="0" fontId="26" fillId="18" borderId="26" xfId="9" applyFont="1" applyFill="1" applyBorder="1" applyAlignment="1">
      <alignment vertical="center" wrapText="1"/>
    </xf>
    <xf numFmtId="0" fontId="26" fillId="18" borderId="10" xfId="9" applyFont="1" applyFill="1" applyBorder="1" applyAlignment="1">
      <alignment vertical="center" wrapText="1"/>
    </xf>
    <xf numFmtId="0" fontId="26" fillId="18" borderId="0" xfId="9" applyFont="1" applyFill="1" applyBorder="1" applyAlignment="1">
      <alignment vertical="center" wrapText="1"/>
    </xf>
    <xf numFmtId="3" fontId="54" fillId="18" borderId="10" xfId="0" applyNumberFormat="1" applyFont="1" applyFill="1" applyBorder="1" applyAlignment="1">
      <alignment horizontal="center" vertical="center"/>
    </xf>
    <xf numFmtId="0" fontId="29" fillId="13" borderId="34" xfId="9" applyFont="1" applyFill="1" applyBorder="1" applyAlignment="1">
      <alignment vertical="center" wrapText="1"/>
    </xf>
    <xf numFmtId="0" fontId="29" fillId="13" borderId="35" xfId="9" applyFont="1" applyFill="1" applyBorder="1" applyAlignment="1">
      <alignment vertical="center" wrapText="1"/>
    </xf>
    <xf numFmtId="3" fontId="29" fillId="18" borderId="10" xfId="9" applyNumberFormat="1" applyFont="1" applyFill="1" applyBorder="1" applyAlignment="1">
      <alignment horizontal="right" vertical="center" wrapText="1"/>
    </xf>
    <xf numFmtId="3" fontId="26" fillId="18" borderId="27" xfId="9" applyNumberFormat="1" applyFont="1" applyFill="1" applyBorder="1" applyAlignment="1">
      <alignment horizontal="center" vertical="center" wrapText="1"/>
    </xf>
    <xf numFmtId="0" fontId="26" fillId="0" borderId="18" xfId="9" applyFont="1" applyFill="1" applyBorder="1" applyAlignment="1">
      <alignment horizontal="center" vertical="center" wrapText="1"/>
    </xf>
    <xf numFmtId="3" fontId="26" fillId="20" borderId="27" xfId="9" applyNumberFormat="1" applyFont="1" applyFill="1" applyBorder="1" applyAlignment="1">
      <alignment horizontal="center" vertical="center" wrapText="1"/>
    </xf>
    <xf numFmtId="3" fontId="29" fillId="18" borderId="20" xfId="9" applyNumberFormat="1" applyFont="1" applyFill="1" applyBorder="1" applyAlignment="1">
      <alignment horizontal="center" vertical="center" wrapText="1"/>
    </xf>
    <xf numFmtId="169" fontId="46" fillId="18" borderId="10" xfId="9"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3" fontId="29" fillId="18" borderId="10" xfId="9" applyNumberFormat="1" applyFont="1" applyFill="1" applyBorder="1" applyAlignment="1">
      <alignment horizontal="center" vertical="center" wrapText="1"/>
    </xf>
    <xf numFmtId="0" fontId="26" fillId="0" borderId="27" xfId="9"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25" fillId="0" borderId="15" xfId="9" applyFont="1" applyFill="1" applyBorder="1" applyAlignment="1">
      <alignment horizontal="justify" vertical="center" wrapText="1"/>
    </xf>
    <xf numFmtId="0" fontId="26" fillId="0" borderId="36" xfId="9" applyFont="1" applyFill="1" applyBorder="1" applyAlignment="1">
      <alignment vertical="center" wrapText="1"/>
    </xf>
    <xf numFmtId="0" fontId="46" fillId="0" borderId="28" xfId="9" applyFont="1" applyFill="1" applyBorder="1" applyAlignment="1">
      <alignment horizontal="center" vertical="center" wrapText="1"/>
    </xf>
    <xf numFmtId="3" fontId="26" fillId="0" borderId="24" xfId="9" applyNumberFormat="1" applyFont="1" applyFill="1" applyBorder="1" applyAlignment="1">
      <alignment horizontal="center" vertical="center" wrapText="1"/>
    </xf>
    <xf numFmtId="169" fontId="54" fillId="0" borderId="20" xfId="0" applyNumberFormat="1" applyFont="1" applyFill="1" applyBorder="1" applyAlignment="1">
      <alignment horizontal="center" vertical="center" wrapText="1"/>
    </xf>
    <xf numFmtId="171" fontId="26" fillId="0" borderId="21" xfId="4" applyNumberFormat="1" applyFont="1" applyFill="1" applyBorder="1" applyAlignment="1">
      <alignment vertical="center" wrapText="1"/>
    </xf>
    <xf numFmtId="3" fontId="26" fillId="0" borderId="10" xfId="9" applyNumberFormat="1" applyFont="1" applyFill="1" applyBorder="1" applyAlignment="1">
      <alignment vertical="center" wrapText="1"/>
    </xf>
    <xf numFmtId="3" fontId="26" fillId="0" borderId="26" xfId="9" applyNumberFormat="1" applyFont="1" applyFill="1" applyBorder="1" applyAlignment="1">
      <alignment vertical="center" wrapText="1"/>
    </xf>
    <xf numFmtId="3" fontId="26" fillId="0" borderId="26" xfId="9" applyNumberFormat="1" applyFont="1" applyFill="1" applyBorder="1" applyAlignment="1">
      <alignment horizontal="right" vertical="center" wrapText="1"/>
    </xf>
    <xf numFmtId="3" fontId="26" fillId="20" borderId="26" xfId="9" applyNumberFormat="1" applyFont="1" applyFill="1" applyBorder="1" applyAlignment="1">
      <alignment horizontal="right" vertical="center" wrapText="1"/>
    </xf>
    <xf numFmtId="3" fontId="54" fillId="0" borderId="26" xfId="0" applyNumberFormat="1" applyFont="1" applyFill="1" applyBorder="1" applyAlignment="1">
      <alignment horizontal="center" vertical="center" wrapText="1"/>
    </xf>
    <xf numFmtId="169" fontId="54" fillId="0" borderId="26" xfId="0" applyNumberFormat="1" applyFont="1" applyFill="1" applyBorder="1" applyAlignment="1">
      <alignment horizontal="center" vertical="center" wrapText="1"/>
    </xf>
    <xf numFmtId="171" fontId="26" fillId="0" borderId="29" xfId="4" applyNumberFormat="1" applyFont="1" applyFill="1" applyBorder="1" applyAlignment="1">
      <alignment vertical="center" wrapText="1"/>
    </xf>
    <xf numFmtId="3" fontId="26" fillId="0" borderId="37" xfId="9" applyNumberFormat="1" applyFont="1" applyFill="1" applyBorder="1" applyAlignment="1">
      <alignment horizontal="center" vertical="center" wrapText="1"/>
    </xf>
    <xf numFmtId="3" fontId="29" fillId="14" borderId="35" xfId="9" applyNumberFormat="1" applyFont="1" applyFill="1" applyBorder="1" applyAlignment="1">
      <alignment horizontal="right" vertical="center" wrapText="1"/>
    </xf>
    <xf numFmtId="0" fontId="29" fillId="4" borderId="38" xfId="9" applyFont="1" applyFill="1" applyBorder="1" applyAlignment="1">
      <alignment horizontal="justify" vertical="center" wrapText="1"/>
    </xf>
    <xf numFmtId="0" fontId="29" fillId="4" borderId="15" xfId="9" applyFont="1" applyFill="1" applyBorder="1" applyAlignment="1">
      <alignment horizontal="justify" vertical="center" wrapText="1"/>
    </xf>
    <xf numFmtId="3" fontId="26" fillId="18" borderId="24" xfId="9" applyNumberFormat="1" applyFont="1" applyFill="1" applyBorder="1" applyAlignment="1">
      <alignment horizontal="center" vertical="center" wrapText="1"/>
    </xf>
    <xf numFmtId="0" fontId="29" fillId="0" borderId="15" xfId="9" applyFont="1" applyFill="1" applyBorder="1" applyAlignment="1">
      <alignment horizontal="justify" vertical="center" wrapText="1"/>
    </xf>
    <xf numFmtId="0" fontId="29" fillId="20" borderId="15" xfId="9" applyFont="1" applyFill="1" applyBorder="1" applyAlignment="1">
      <alignment horizontal="justify" vertical="center" wrapText="1"/>
    </xf>
    <xf numFmtId="0" fontId="29" fillId="4" borderId="19" xfId="9" applyFont="1" applyFill="1" applyBorder="1" applyAlignment="1">
      <alignment horizontal="justify" vertical="center" wrapText="1"/>
    </xf>
    <xf numFmtId="0" fontId="25" fillId="4" borderId="19" xfId="9" applyFont="1" applyFill="1" applyBorder="1" applyAlignment="1">
      <alignment horizontal="justify" vertical="center" wrapText="1"/>
    </xf>
    <xf numFmtId="0" fontId="29" fillId="19" borderId="15" xfId="9" applyFont="1" applyFill="1" applyBorder="1" applyAlignment="1">
      <alignment horizontal="justify" vertical="center" wrapText="1"/>
    </xf>
    <xf numFmtId="3" fontId="26" fillId="0" borderId="26" xfId="9" applyNumberFormat="1" applyFont="1" applyFill="1" applyBorder="1" applyAlignment="1">
      <alignment horizontal="center" vertical="center" wrapText="1"/>
    </xf>
    <xf numFmtId="3" fontId="26" fillId="0" borderId="24" xfId="9" applyNumberFormat="1" applyFont="1" applyFill="1" applyBorder="1" applyAlignment="1">
      <alignment horizontal="right" vertical="center" wrapText="1"/>
    </xf>
    <xf numFmtId="0" fontId="29" fillId="5" borderId="39" xfId="9" applyFont="1" applyFill="1" applyBorder="1" applyAlignment="1">
      <alignment horizontal="center" vertical="center" wrapText="1"/>
    </xf>
    <xf numFmtId="3" fontId="26" fillId="0" borderId="18" xfId="9" applyNumberFormat="1" applyFont="1" applyFill="1" applyBorder="1" applyAlignment="1">
      <alignment horizontal="center" vertical="center" wrapText="1"/>
    </xf>
    <xf numFmtId="3" fontId="29" fillId="19" borderId="10" xfId="9" applyNumberFormat="1" applyFont="1" applyFill="1" applyBorder="1" applyAlignment="1">
      <alignment horizontal="center" vertical="center" wrapText="1"/>
    </xf>
    <xf numFmtId="3" fontId="26" fillId="0" borderId="40" xfId="9" applyNumberFormat="1" applyFont="1" applyFill="1" applyBorder="1" applyAlignment="1">
      <alignment horizontal="center" vertical="center" wrapText="1"/>
    </xf>
    <xf numFmtId="171" fontId="29" fillId="14" borderId="26" xfId="9" applyNumberFormat="1" applyFont="1" applyFill="1" applyBorder="1" applyAlignment="1">
      <alignment horizontal="center" vertical="center" wrapText="1"/>
    </xf>
    <xf numFmtId="3" fontId="29" fillId="14" borderId="35" xfId="9" applyNumberFormat="1" applyFont="1" applyFill="1" applyBorder="1" applyAlignment="1">
      <alignment horizontal="center" vertical="center" wrapText="1"/>
    </xf>
    <xf numFmtId="0" fontId="22" fillId="0" borderId="31" xfId="9" applyFont="1" applyFill="1" applyBorder="1" applyAlignment="1">
      <alignment horizontal="center" vertical="center" wrapText="1"/>
    </xf>
    <xf numFmtId="0" fontId="29" fillId="4" borderId="26" xfId="9" applyFont="1" applyFill="1" applyBorder="1" applyAlignment="1">
      <alignment horizontal="justify" vertical="center" wrapText="1"/>
    </xf>
    <xf numFmtId="3" fontId="26" fillId="4" borderId="26" xfId="9" applyNumberFormat="1" applyFont="1" applyFill="1" applyBorder="1" applyAlignment="1">
      <alignment horizontal="left" vertical="center" wrapText="1"/>
    </xf>
    <xf numFmtId="3" fontId="29" fillId="19" borderId="26" xfId="9" applyNumberFormat="1" applyFont="1" applyFill="1" applyBorder="1" applyAlignment="1">
      <alignment horizontal="right" vertical="center" wrapText="1"/>
    </xf>
    <xf numFmtId="3" fontId="29" fillId="19" borderId="26" xfId="9" applyNumberFormat="1" applyFont="1" applyFill="1" applyBorder="1" applyAlignment="1">
      <alignment horizontal="center" vertical="center" wrapText="1"/>
    </xf>
    <xf numFmtId="0" fontId="29" fillId="14" borderId="41" xfId="9" applyFont="1" applyFill="1" applyBorder="1" applyAlignment="1">
      <alignment horizontal="center" vertical="center" wrapText="1"/>
    </xf>
    <xf numFmtId="168" fontId="25" fillId="5" borderId="41" xfId="2" applyNumberFormat="1" applyFont="1" applyFill="1" applyBorder="1" applyAlignment="1">
      <alignment horizontal="center" vertical="center" wrapText="1"/>
    </xf>
    <xf numFmtId="3" fontId="29" fillId="14" borderId="41" xfId="9" applyNumberFormat="1" applyFont="1" applyFill="1" applyBorder="1" applyAlignment="1">
      <alignment vertical="center" wrapText="1"/>
    </xf>
    <xf numFmtId="3" fontId="29" fillId="14" borderId="41" xfId="9" applyNumberFormat="1" applyFont="1" applyFill="1" applyBorder="1" applyAlignment="1">
      <alignment horizontal="center" vertical="center" wrapText="1"/>
    </xf>
    <xf numFmtId="3" fontId="29" fillId="14" borderId="42" xfId="9" applyNumberFormat="1" applyFont="1" applyFill="1" applyBorder="1" applyAlignment="1">
      <alignment vertical="center" wrapText="1"/>
    </xf>
    <xf numFmtId="3" fontId="29" fillId="19" borderId="29" xfId="9" applyNumberFormat="1" applyFont="1" applyFill="1" applyBorder="1" applyAlignment="1">
      <alignment horizontal="right" vertical="center" wrapText="1"/>
    </xf>
    <xf numFmtId="0" fontId="26" fillId="20" borderId="15" xfId="0" applyFont="1" applyFill="1" applyBorder="1" applyAlignment="1">
      <alignment horizontal="justify" vertical="center" wrapText="1"/>
    </xf>
    <xf numFmtId="0" fontId="26" fillId="23" borderId="15" xfId="0" applyFont="1" applyFill="1" applyBorder="1" applyAlignment="1">
      <alignment horizontal="justify" vertical="center" wrapText="1"/>
    </xf>
    <xf numFmtId="0" fontId="26" fillId="24" borderId="15" xfId="0" applyFont="1" applyFill="1" applyBorder="1" applyAlignment="1">
      <alignment horizontal="justify" vertical="center" wrapText="1"/>
    </xf>
    <xf numFmtId="0" fontId="26" fillId="21" borderId="15" xfId="0" applyFont="1" applyFill="1" applyBorder="1" applyAlignment="1">
      <alignment horizontal="justify" vertical="center" wrapText="1"/>
    </xf>
    <xf numFmtId="3" fontId="29" fillId="19" borderId="12" xfId="9" applyNumberFormat="1" applyFont="1" applyFill="1" applyBorder="1" applyAlignment="1">
      <alignment horizontal="right" vertical="center" wrapText="1"/>
    </xf>
    <xf numFmtId="0" fontId="25" fillId="0" borderId="15" xfId="9" applyFont="1" applyFill="1" applyBorder="1" applyAlignment="1">
      <alignment vertical="center" wrapText="1"/>
    </xf>
    <xf numFmtId="3" fontId="29" fillId="14" borderId="12" xfId="9" applyNumberFormat="1" applyFont="1" applyFill="1" applyBorder="1" applyAlignment="1">
      <alignment horizontal="right" vertical="center" wrapText="1"/>
    </xf>
    <xf numFmtId="0" fontId="29" fillId="20" borderId="15" xfId="0" applyFont="1" applyFill="1" applyBorder="1" applyAlignment="1">
      <alignment horizontal="justify" vertical="center" wrapText="1"/>
    </xf>
    <xf numFmtId="3" fontId="29" fillId="19" borderId="21" xfId="9" applyNumberFormat="1" applyFont="1" applyFill="1" applyBorder="1" applyAlignment="1">
      <alignment horizontal="right" vertical="center" wrapText="1"/>
    </xf>
    <xf numFmtId="171" fontId="29" fillId="14" borderId="29" xfId="9" applyNumberFormat="1" applyFont="1" applyFill="1" applyBorder="1" applyAlignment="1">
      <alignment vertical="center" wrapText="1"/>
    </xf>
    <xf numFmtId="3" fontId="29" fillId="19" borderId="12" xfId="9" applyNumberFormat="1" applyFont="1" applyFill="1" applyBorder="1" applyAlignment="1">
      <alignment vertical="center" wrapText="1"/>
    </xf>
    <xf numFmtId="3" fontId="26" fillId="0" borderId="12" xfId="9" applyNumberFormat="1" applyFont="1" applyFill="1" applyBorder="1" applyAlignment="1">
      <alignment horizontal="right" vertical="center" wrapText="1"/>
    </xf>
    <xf numFmtId="0" fontId="26" fillId="0" borderId="15"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5" fillId="20" borderId="15" xfId="0" applyFont="1" applyFill="1" applyBorder="1" applyAlignment="1">
      <alignment horizontal="justify" vertical="center" wrapText="1"/>
    </xf>
    <xf numFmtId="3" fontId="29" fillId="14" borderId="12" xfId="9" applyNumberFormat="1" applyFont="1" applyFill="1" applyBorder="1" applyAlignment="1">
      <alignment vertical="center" wrapText="1"/>
    </xf>
    <xf numFmtId="171" fontId="26" fillId="21" borderId="15" xfId="2" applyNumberFormat="1" applyFont="1" applyFill="1" applyBorder="1" applyAlignment="1">
      <alignment horizontal="justify" vertical="center" wrapText="1"/>
    </xf>
    <xf numFmtId="3" fontId="29" fillId="19" borderId="21" xfId="9" applyNumberFormat="1" applyFont="1" applyFill="1" applyBorder="1" applyAlignment="1">
      <alignment vertical="center" wrapText="1"/>
    </xf>
    <xf numFmtId="0" fontId="24" fillId="21" borderId="15" xfId="0" applyFont="1" applyFill="1" applyBorder="1" applyAlignment="1">
      <alignment horizontal="justify" vertical="center"/>
    </xf>
    <xf numFmtId="0" fontId="26" fillId="20" borderId="16" xfId="0" applyFont="1" applyFill="1" applyBorder="1" applyAlignment="1">
      <alignment horizontal="justify" vertical="center" wrapText="1"/>
    </xf>
    <xf numFmtId="3" fontId="29" fillId="14" borderId="43" xfId="9" applyNumberFormat="1" applyFont="1" applyFill="1" applyBorder="1" applyAlignment="1">
      <alignment horizontal="right" vertical="center" wrapText="1"/>
    </xf>
    <xf numFmtId="3" fontId="4" fillId="25" borderId="10" xfId="0" applyNumberFormat="1" applyFont="1" applyFill="1" applyBorder="1" applyAlignment="1">
      <alignment vertical="center" wrapText="1"/>
    </xf>
    <xf numFmtId="4" fontId="4" fillId="25" borderId="10" xfId="0" applyNumberFormat="1" applyFont="1" applyFill="1" applyBorder="1" applyAlignment="1">
      <alignment horizontal="center" vertical="center" wrapText="1"/>
    </xf>
    <xf numFmtId="3" fontId="4" fillId="25" borderId="10" xfId="0" applyNumberFormat="1" applyFont="1" applyFill="1" applyBorder="1" applyAlignment="1">
      <alignment horizontal="center" vertical="center" wrapText="1"/>
    </xf>
    <xf numFmtId="3" fontId="5" fillId="25" borderId="10" xfId="0" applyNumberFormat="1" applyFont="1" applyFill="1" applyBorder="1" applyAlignment="1">
      <alignment horizontal="right" vertical="center" wrapText="1"/>
    </xf>
    <xf numFmtId="3" fontId="5" fillId="25" borderId="10" xfId="0" applyNumberFormat="1" applyFont="1" applyFill="1" applyBorder="1" applyAlignment="1">
      <alignment horizontal="center" vertical="center" wrapText="1"/>
    </xf>
    <xf numFmtId="0" fontId="4" fillId="25" borderId="15" xfId="0" applyFont="1" applyFill="1" applyBorder="1" applyAlignment="1">
      <alignment horizontal="center" vertical="center" wrapText="1"/>
    </xf>
    <xf numFmtId="0" fontId="21" fillId="0" borderId="20"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14" borderId="7" xfId="0" applyFont="1" applyFill="1" applyBorder="1" applyAlignment="1">
      <alignment horizontal="center" vertical="top" wrapText="1"/>
    </xf>
    <xf numFmtId="0" fontId="21" fillId="0" borderId="20" xfId="0" applyFont="1" applyFill="1" applyBorder="1" applyAlignment="1">
      <alignment horizontal="center" vertical="center" wrapText="1"/>
    </xf>
    <xf numFmtId="0" fontId="19" fillId="2" borderId="0" xfId="0" applyFont="1" applyFill="1" applyAlignment="1">
      <alignment horizontal="center" vertical="center" wrapText="1"/>
    </xf>
    <xf numFmtId="3" fontId="26" fillId="26" borderId="10" xfId="9" applyNumberFormat="1" applyFont="1" applyFill="1" applyBorder="1" applyAlignment="1">
      <alignment horizontal="right" vertical="center" wrapText="1"/>
    </xf>
    <xf numFmtId="3" fontId="29" fillId="26" borderId="41" xfId="9" applyNumberFormat="1" applyFont="1" applyFill="1" applyBorder="1" applyAlignment="1">
      <alignment vertical="center" wrapText="1"/>
    </xf>
    <xf numFmtId="3" fontId="26" fillId="26" borderId="26" xfId="9" applyNumberFormat="1" applyFont="1" applyFill="1" applyBorder="1" applyAlignment="1">
      <alignment vertical="center" wrapText="1"/>
    </xf>
    <xf numFmtId="3" fontId="26" fillId="26" borderId="10" xfId="9" applyNumberFormat="1" applyFont="1" applyFill="1" applyBorder="1" applyAlignment="1">
      <alignment vertical="center" wrapText="1"/>
    </xf>
    <xf numFmtId="3" fontId="26" fillId="26" borderId="27" xfId="9" applyNumberFormat="1" applyFont="1" applyFill="1" applyBorder="1" applyAlignment="1">
      <alignment vertical="center" wrapText="1"/>
    </xf>
    <xf numFmtId="3" fontId="26" fillId="26" borderId="18" xfId="9" applyNumberFormat="1" applyFont="1" applyFill="1" applyBorder="1" applyAlignment="1">
      <alignment vertical="center" wrapText="1"/>
    </xf>
    <xf numFmtId="3" fontId="29" fillId="26" borderId="10" xfId="9" applyNumberFormat="1" applyFont="1" applyFill="1" applyBorder="1" applyAlignment="1">
      <alignment horizontal="right" vertical="center" wrapText="1"/>
    </xf>
    <xf numFmtId="3" fontId="26" fillId="26" borderId="20" xfId="9" applyNumberFormat="1" applyFont="1" applyFill="1" applyBorder="1" applyAlignment="1">
      <alignment horizontal="right" vertical="center" wrapText="1"/>
    </xf>
    <xf numFmtId="3" fontId="29" fillId="26" borderId="20" xfId="9" applyNumberFormat="1" applyFont="1" applyFill="1" applyBorder="1" applyAlignment="1">
      <alignment horizontal="right" vertical="center" wrapText="1"/>
    </xf>
    <xf numFmtId="0" fontId="26" fillId="26" borderId="10" xfId="9" applyFont="1" applyFill="1" applyBorder="1" applyAlignment="1">
      <alignment vertical="center" wrapText="1"/>
    </xf>
    <xf numFmtId="0" fontId="26" fillId="26" borderId="26" xfId="9" applyFont="1" applyFill="1" applyBorder="1" applyAlignment="1">
      <alignment vertical="center" wrapText="1"/>
    </xf>
    <xf numFmtId="171" fontId="29" fillId="26" borderId="26" xfId="9" applyNumberFormat="1" applyFont="1" applyFill="1" applyBorder="1" applyAlignment="1">
      <alignment vertical="center" wrapText="1"/>
    </xf>
    <xf numFmtId="3" fontId="29" fillId="26" borderId="10" xfId="9" applyNumberFormat="1" applyFont="1" applyFill="1" applyBorder="1" applyAlignment="1">
      <alignment vertical="center" wrapText="1"/>
    </xf>
    <xf numFmtId="0" fontId="54" fillId="26" borderId="10" xfId="8" applyFont="1" applyFill="1" applyBorder="1" applyAlignment="1">
      <alignment horizontal="right" vertical="center"/>
    </xf>
    <xf numFmtId="3" fontId="29" fillId="26" borderId="0" xfId="9" applyNumberFormat="1" applyFont="1" applyFill="1" applyBorder="1" applyAlignment="1">
      <alignment vertical="center" wrapText="1"/>
    </xf>
    <xf numFmtId="3" fontId="26" fillId="26" borderId="20" xfId="9" applyNumberFormat="1" applyFont="1" applyFill="1" applyBorder="1" applyAlignment="1">
      <alignment horizontal="center" vertical="center" wrapText="1"/>
    </xf>
    <xf numFmtId="3" fontId="26" fillId="26" borderId="10" xfId="9" applyNumberFormat="1" applyFont="1" applyFill="1" applyBorder="1" applyAlignment="1">
      <alignment horizontal="center" vertical="center" wrapText="1"/>
    </xf>
    <xf numFmtId="3" fontId="29" fillId="26" borderId="35" xfId="9" applyNumberFormat="1" applyFont="1" applyFill="1" applyBorder="1" applyAlignment="1">
      <alignment horizontal="right" vertical="center" wrapText="1"/>
    </xf>
    <xf numFmtId="0" fontId="22" fillId="26" borderId="31" xfId="9" applyFont="1" applyFill="1" applyBorder="1" applyAlignment="1">
      <alignment vertical="center" wrapText="1"/>
    </xf>
    <xf numFmtId="0" fontId="22" fillId="26" borderId="0" xfId="9" applyFont="1" applyFill="1" applyAlignment="1">
      <alignment vertical="center" wrapText="1"/>
    </xf>
    <xf numFmtId="3" fontId="5" fillId="27" borderId="10" xfId="0" applyNumberFormat="1" applyFont="1" applyFill="1" applyBorder="1" applyAlignment="1">
      <alignment vertical="center" wrapText="1"/>
    </xf>
    <xf numFmtId="0" fontId="24" fillId="0" borderId="0" xfId="0" applyFont="1" applyFill="1" applyAlignment="1">
      <alignment vertical="center" wrapText="1"/>
    </xf>
    <xf numFmtId="3" fontId="26" fillId="26" borderId="26" xfId="9" applyNumberFormat="1" applyFont="1" applyFill="1" applyBorder="1" applyAlignment="1">
      <alignment horizontal="right" vertical="center" wrapText="1"/>
    </xf>
    <xf numFmtId="0" fontId="29" fillId="28" borderId="17" xfId="9" applyFont="1" applyFill="1" applyBorder="1" applyAlignment="1">
      <alignment horizontal="center" vertical="center" wrapText="1"/>
    </xf>
    <xf numFmtId="169" fontId="26" fillId="0" borderId="44" xfId="9" applyNumberFormat="1" applyFont="1" applyFill="1" applyBorder="1" applyAlignment="1">
      <alignment horizontal="center" vertical="center" wrapText="1"/>
    </xf>
    <xf numFmtId="169" fontId="26" fillId="0" borderId="18" xfId="9" applyNumberFormat="1" applyFont="1" applyFill="1" applyBorder="1" applyAlignment="1">
      <alignment horizontal="center" vertical="center" wrapText="1"/>
    </xf>
    <xf numFmtId="169" fontId="26" fillId="0" borderId="10" xfId="9" applyNumberFormat="1" applyFont="1" applyFill="1" applyBorder="1" applyAlignment="1">
      <alignment horizontal="center" vertical="center" wrapText="1"/>
    </xf>
    <xf numFmtId="169" fontId="29" fillId="19" borderId="26" xfId="9" applyNumberFormat="1" applyFont="1" applyFill="1" applyBorder="1" applyAlignment="1">
      <alignment horizontal="center" vertical="center" wrapText="1"/>
    </xf>
    <xf numFmtId="169" fontId="22" fillId="0" borderId="0" xfId="9" applyNumberFormat="1" applyFont="1" applyFill="1" applyAlignment="1">
      <alignment horizontal="center" vertical="center" wrapText="1"/>
    </xf>
    <xf numFmtId="3" fontId="29" fillId="0" borderId="0" xfId="2" applyNumberFormat="1" applyFont="1" applyFill="1" applyAlignment="1">
      <alignment vertical="center" wrapText="1"/>
    </xf>
    <xf numFmtId="168" fontId="24" fillId="0" borderId="0" xfId="2" applyNumberFormat="1" applyFont="1" applyFill="1" applyAlignment="1">
      <alignment vertical="center" wrapText="1"/>
    </xf>
    <xf numFmtId="3" fontId="22" fillId="26" borderId="0" xfId="9" applyNumberFormat="1" applyFont="1" applyFill="1" applyAlignment="1">
      <alignment vertical="center" wrapText="1"/>
    </xf>
    <xf numFmtId="3" fontId="22" fillId="0" borderId="0" xfId="9" applyNumberFormat="1" applyFont="1" applyFill="1" applyAlignment="1">
      <alignment horizontal="center" vertical="center" wrapText="1"/>
    </xf>
    <xf numFmtId="1" fontId="26" fillId="26" borderId="26" xfId="9" applyNumberFormat="1" applyFont="1" applyFill="1" applyBorder="1" applyAlignment="1">
      <alignment horizontal="right" vertical="center" wrapText="1"/>
    </xf>
    <xf numFmtId="173" fontId="26" fillId="26" borderId="10" xfId="9" applyNumberFormat="1" applyFont="1" applyFill="1" applyBorder="1" applyAlignment="1">
      <alignment vertical="center" wrapText="1"/>
    </xf>
    <xf numFmtId="169" fontId="26" fillId="0" borderId="27" xfId="9" applyNumberFormat="1" applyFont="1" applyFill="1" applyBorder="1" applyAlignment="1">
      <alignment horizontal="center" vertical="center" wrapText="1"/>
    </xf>
    <xf numFmtId="4" fontId="26" fillId="26" borderId="10" xfId="9" applyNumberFormat="1" applyFont="1" applyFill="1" applyBorder="1" applyAlignment="1">
      <alignment horizontal="right" vertical="center" wrapText="1"/>
    </xf>
    <xf numFmtId="3" fontId="26" fillId="0" borderId="12" xfId="4" applyNumberFormat="1" applyFont="1" applyFill="1" applyBorder="1" applyAlignment="1">
      <alignment vertical="center" wrapText="1"/>
    </xf>
    <xf numFmtId="171" fontId="46" fillId="0" borderId="26" xfId="9" applyNumberFormat="1" applyFont="1" applyFill="1" applyBorder="1" applyAlignment="1">
      <alignment horizontal="right" vertical="center" wrapText="1"/>
    </xf>
    <xf numFmtId="175" fontId="29" fillId="4" borderId="26" xfId="2" applyNumberFormat="1" applyFont="1" applyFill="1" applyBorder="1" applyAlignment="1">
      <alignment horizontal="right" vertical="center" wrapText="1"/>
    </xf>
    <xf numFmtId="3" fontId="26" fillId="0" borderId="27" xfId="9" applyNumberFormat="1" applyFont="1" applyFill="1" applyBorder="1" applyAlignment="1">
      <alignment vertical="center" wrapText="1"/>
    </xf>
    <xf numFmtId="0" fontId="4" fillId="0" borderId="18"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22" borderId="7" xfId="0" applyFont="1" applyFill="1" applyBorder="1" applyAlignment="1">
      <alignment horizontal="center" vertical="center" wrapText="1"/>
    </xf>
    <xf numFmtId="0" fontId="4" fillId="22" borderId="17" xfId="0" applyFont="1" applyFill="1" applyBorder="1" applyAlignment="1">
      <alignment horizontal="center" vertical="center" wrapText="1"/>
    </xf>
    <xf numFmtId="3" fontId="4" fillId="11" borderId="18" xfId="0" applyNumberFormat="1" applyFont="1" applyFill="1" applyBorder="1" applyAlignment="1">
      <alignment vertical="center" wrapText="1"/>
    </xf>
    <xf numFmtId="3" fontId="5" fillId="27" borderId="18" xfId="0" applyNumberFormat="1" applyFont="1" applyFill="1" applyBorder="1" applyAlignment="1">
      <alignment vertical="center" wrapText="1"/>
    </xf>
    <xf numFmtId="3" fontId="5" fillId="4" borderId="18"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3" fontId="60" fillId="19" borderId="10" xfId="9" applyNumberFormat="1" applyFont="1" applyFill="1" applyBorder="1" applyAlignment="1">
      <alignment horizontal="right" vertical="center" wrapText="1"/>
    </xf>
    <xf numFmtId="3" fontId="61" fillId="0" borderId="10" xfId="9" applyNumberFormat="1" applyFont="1" applyFill="1" applyBorder="1" applyAlignment="1">
      <alignment horizontal="right" vertical="center" wrapText="1"/>
    </xf>
    <xf numFmtId="3" fontId="61" fillId="26" borderId="10" xfId="9" applyNumberFormat="1" applyFont="1" applyFill="1" applyBorder="1" applyAlignment="1">
      <alignment horizontal="right" vertical="center" wrapText="1"/>
    </xf>
    <xf numFmtId="173" fontId="26" fillId="26" borderId="10" xfId="9" applyNumberFormat="1" applyFont="1" applyFill="1" applyBorder="1" applyAlignment="1">
      <alignment horizontal="right" vertical="center" wrapText="1"/>
    </xf>
    <xf numFmtId="165" fontId="4" fillId="14" borderId="7" xfId="2" applyNumberFormat="1" applyFont="1" applyFill="1" applyBorder="1" applyAlignment="1">
      <alignment vertical="center" wrapText="1"/>
    </xf>
    <xf numFmtId="3" fontId="4" fillId="14" borderId="7" xfId="0" applyNumberFormat="1" applyFont="1" applyFill="1" applyBorder="1" applyAlignment="1">
      <alignment horizontal="center" vertical="center" wrapText="1"/>
    </xf>
    <xf numFmtId="168" fontId="4" fillId="14" borderId="7" xfId="2" applyNumberFormat="1" applyFont="1" applyFill="1" applyBorder="1" applyAlignment="1">
      <alignment vertical="center" wrapText="1"/>
    </xf>
    <xf numFmtId="0" fontId="4" fillId="14" borderId="6" xfId="0" applyFont="1" applyFill="1" applyBorder="1" applyAlignment="1">
      <alignment horizontal="center" vertical="top" wrapText="1"/>
    </xf>
    <xf numFmtId="0" fontId="5" fillId="25" borderId="15" xfId="9" applyFont="1" applyFill="1" applyBorder="1" applyAlignment="1">
      <alignment horizontal="justify" vertical="center" wrapText="1"/>
    </xf>
    <xf numFmtId="0" fontId="5" fillId="21" borderId="15" xfId="9" applyFont="1" applyFill="1" applyBorder="1" applyAlignment="1">
      <alignment horizontal="justify" vertical="center" wrapText="1"/>
    </xf>
    <xf numFmtId="0" fontId="5" fillId="0" borderId="10" xfId="9" applyFont="1" applyFill="1" applyBorder="1" applyAlignment="1">
      <alignment horizontal="center" vertical="center" wrapText="1"/>
    </xf>
    <xf numFmtId="3" fontId="5" fillId="0" borderId="10" xfId="9" applyNumberFormat="1" applyFont="1" applyFill="1" applyBorder="1" applyAlignment="1">
      <alignment vertical="center" wrapText="1"/>
    </xf>
    <xf numFmtId="3" fontId="5" fillId="0" borderId="10" xfId="9" applyNumberFormat="1" applyFont="1" applyFill="1" applyBorder="1" applyAlignment="1">
      <alignment horizontal="center" vertical="center" wrapText="1"/>
    </xf>
    <xf numFmtId="3" fontId="5" fillId="0" borderId="10" xfId="0" applyNumberFormat="1" applyFont="1" applyFill="1" applyBorder="1" applyAlignment="1">
      <alignment vertical="top"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center" vertical="center" wrapText="1"/>
    </xf>
    <xf numFmtId="0" fontId="5" fillId="20" borderId="15" xfId="0" applyFont="1" applyFill="1" applyBorder="1" applyAlignment="1">
      <alignment horizontal="justify" vertical="center" wrapText="1"/>
    </xf>
    <xf numFmtId="0" fontId="62" fillId="0" borderId="10" xfId="0" applyFont="1" applyFill="1" applyBorder="1" applyAlignment="1">
      <alignment horizontal="center" vertical="center"/>
    </xf>
    <xf numFmtId="0" fontId="5" fillId="23" borderId="15" xfId="0" applyFont="1" applyFill="1" applyBorder="1" applyAlignment="1">
      <alignment horizontal="justify" vertical="center" wrapText="1"/>
    </xf>
    <xf numFmtId="0" fontId="5" fillId="24" borderId="15" xfId="0" applyFont="1" applyFill="1" applyBorder="1" applyAlignment="1">
      <alignment horizontal="justify" vertical="center" wrapText="1"/>
    </xf>
    <xf numFmtId="0" fontId="5" fillId="21" borderId="15" xfId="0" applyFont="1" applyFill="1" applyBorder="1" applyAlignment="1">
      <alignment horizontal="justify" vertical="center" wrapText="1"/>
    </xf>
    <xf numFmtId="0" fontId="50" fillId="0" borderId="10" xfId="9" applyFont="1" applyFill="1" applyBorder="1" applyAlignment="1">
      <alignment horizontal="center" vertical="center" wrapText="1"/>
    </xf>
    <xf numFmtId="3" fontId="5" fillId="0" borderId="10" xfId="0" applyNumberFormat="1" applyFont="1" applyFill="1" applyBorder="1" applyAlignment="1">
      <alignment horizontal="center" vertical="top" wrapText="1"/>
    </xf>
    <xf numFmtId="0" fontId="4" fillId="0" borderId="15" xfId="9" applyFont="1" applyFill="1" applyBorder="1" applyAlignment="1">
      <alignment horizontal="justify" vertical="center" wrapText="1"/>
    </xf>
    <xf numFmtId="3" fontId="4" fillId="25" borderId="10" xfId="9" applyNumberFormat="1" applyFont="1" applyFill="1" applyBorder="1" applyAlignment="1">
      <alignment horizontal="right" vertical="center" wrapText="1"/>
    </xf>
    <xf numFmtId="3" fontId="5" fillId="25" borderId="10" xfId="9" applyNumberFormat="1" applyFont="1" applyFill="1" applyBorder="1" applyAlignment="1">
      <alignment horizontal="center" vertical="center" wrapText="1"/>
    </xf>
    <xf numFmtId="168" fontId="4" fillId="25" borderId="10" xfId="2" applyNumberFormat="1" applyFont="1" applyFill="1" applyBorder="1" applyAlignment="1">
      <alignment vertical="center" wrapText="1"/>
    </xf>
    <xf numFmtId="3" fontId="4" fillId="25" borderId="10" xfId="0" applyNumberFormat="1" applyFont="1" applyFill="1" applyBorder="1" applyAlignment="1">
      <alignment horizontal="right" vertical="center" wrapText="1"/>
    </xf>
    <xf numFmtId="0" fontId="5" fillId="20" borderId="15" xfId="9" applyFont="1" applyFill="1" applyBorder="1" applyAlignment="1">
      <alignment horizontal="justify" vertical="center" wrapText="1"/>
    </xf>
    <xf numFmtId="0" fontId="50" fillId="0" borderId="10" xfId="9" applyFont="1" applyBorder="1" applyAlignment="1">
      <alignment horizontal="center" vertical="center" wrapText="1"/>
    </xf>
    <xf numFmtId="0" fontId="4" fillId="20" borderId="15" xfId="9" applyFont="1" applyFill="1" applyBorder="1" applyAlignment="1">
      <alignment horizontal="justify" vertical="center" wrapText="1"/>
    </xf>
    <xf numFmtId="0" fontId="5" fillId="20" borderId="10" xfId="9" applyFont="1" applyFill="1" applyBorder="1" applyAlignment="1">
      <alignment horizontal="center" vertical="center" wrapText="1"/>
    </xf>
    <xf numFmtId="0" fontId="50" fillId="20" borderId="10" xfId="9" applyFont="1" applyFill="1" applyBorder="1" applyAlignment="1">
      <alignment horizontal="center" vertical="center" wrapText="1"/>
    </xf>
    <xf numFmtId="0" fontId="4" fillId="0" borderId="15" xfId="9" applyFont="1" applyFill="1" applyBorder="1" applyAlignment="1">
      <alignment vertical="center" wrapText="1"/>
    </xf>
    <xf numFmtId="0" fontId="50" fillId="25" borderId="10" xfId="0" applyFont="1" applyFill="1" applyBorder="1" applyAlignment="1">
      <alignment horizontal="center" vertical="center" wrapText="1"/>
    </xf>
    <xf numFmtId="3" fontId="50" fillId="25" borderId="10" xfId="0" applyNumberFormat="1" applyFont="1" applyFill="1" applyBorder="1" applyAlignment="1">
      <alignment horizontal="center" vertical="center" wrapText="1"/>
    </xf>
    <xf numFmtId="168" fontId="4" fillId="25" borderId="10" xfId="2" applyNumberFormat="1" applyFont="1" applyFill="1" applyBorder="1" applyAlignment="1">
      <alignment horizontal="center" vertical="center" wrapText="1"/>
    </xf>
    <xf numFmtId="3" fontId="4" fillId="25" borderId="10" xfId="9" applyNumberFormat="1" applyFont="1" applyFill="1" applyBorder="1" applyAlignment="1">
      <alignment horizontal="center" vertical="center" wrapText="1"/>
    </xf>
    <xf numFmtId="0" fontId="4" fillId="14" borderId="15" xfId="0" applyFont="1" applyFill="1" applyBorder="1" applyAlignment="1">
      <alignment horizontal="center" vertical="center" wrapText="1"/>
    </xf>
    <xf numFmtId="3" fontId="5" fillId="14" borderId="10" xfId="0" applyNumberFormat="1" applyFont="1" applyFill="1" applyBorder="1" applyAlignment="1">
      <alignment horizontal="center" vertical="center" wrapText="1"/>
    </xf>
    <xf numFmtId="3" fontId="4" fillId="14" borderId="10" xfId="9" applyNumberFormat="1" applyFont="1" applyFill="1" applyBorder="1" applyAlignment="1">
      <alignment horizontal="right" vertical="center" wrapText="1"/>
    </xf>
    <xf numFmtId="3" fontId="5" fillId="14" borderId="10" xfId="9" applyNumberFormat="1" applyFont="1" applyFill="1" applyBorder="1" applyAlignment="1">
      <alignment horizontal="center" vertical="center" wrapText="1"/>
    </xf>
    <xf numFmtId="3" fontId="5" fillId="14" borderId="10" xfId="0" applyNumberFormat="1" applyFont="1" applyFill="1" applyBorder="1" applyAlignment="1">
      <alignment horizontal="right" vertical="center" wrapText="1"/>
    </xf>
    <xf numFmtId="3" fontId="4" fillId="14" borderId="10" xfId="9" applyNumberFormat="1" applyFont="1" applyFill="1" applyBorder="1" applyAlignment="1">
      <alignment horizontal="center" vertical="center" wrapText="1"/>
    </xf>
    <xf numFmtId="3" fontId="4" fillId="14" borderId="10" xfId="0" applyNumberFormat="1" applyFont="1" applyFill="1" applyBorder="1" applyAlignment="1">
      <alignment horizontal="center" vertical="center" wrapText="1"/>
    </xf>
    <xf numFmtId="168" fontId="4" fillId="14" borderId="10" xfId="2" applyNumberFormat="1" applyFont="1" applyFill="1" applyBorder="1" applyAlignment="1">
      <alignment horizontal="center" vertical="center" wrapText="1"/>
    </xf>
    <xf numFmtId="0" fontId="4" fillId="25" borderId="10" xfId="0" applyFont="1" applyFill="1" applyBorder="1" applyAlignment="1">
      <alignment horizontal="center" vertical="center" wrapText="1"/>
    </xf>
    <xf numFmtId="3" fontId="50" fillId="0" borderId="10" xfId="9" applyNumberFormat="1" applyFont="1" applyFill="1" applyBorder="1" applyAlignment="1">
      <alignment horizontal="center" vertical="center" wrapText="1"/>
    </xf>
    <xf numFmtId="0" fontId="4" fillId="20" borderId="15" xfId="0" applyFont="1" applyFill="1" applyBorder="1" applyAlignment="1">
      <alignment horizontal="justify" vertical="center" wrapText="1"/>
    </xf>
    <xf numFmtId="0" fontId="62" fillId="20" borderId="10" xfId="0" applyFont="1" applyFill="1" applyBorder="1" applyAlignment="1">
      <alignment horizontal="center" vertical="center"/>
    </xf>
    <xf numFmtId="169" fontId="5" fillId="0" borderId="10" xfId="0" applyNumberFormat="1" applyFont="1" applyFill="1" applyBorder="1" applyAlignment="1">
      <alignment horizontal="center" vertical="center" wrapText="1"/>
    </xf>
    <xf numFmtId="168" fontId="5" fillId="0" borderId="0" xfId="2" applyNumberFormat="1" applyFont="1" applyFill="1" applyAlignment="1">
      <alignment horizontal="center" vertical="center" wrapText="1"/>
    </xf>
    <xf numFmtId="171" fontId="4" fillId="14" borderId="10" xfId="9" applyNumberFormat="1" applyFont="1" applyFill="1" applyBorder="1" applyAlignment="1">
      <alignment vertical="center" wrapText="1"/>
    </xf>
    <xf numFmtId="171" fontId="4" fillId="14" borderId="10" xfId="0" applyNumberFormat="1" applyFont="1" applyFill="1" applyBorder="1" applyAlignment="1">
      <alignment vertical="center" wrapText="1"/>
    </xf>
    <xf numFmtId="0" fontId="4" fillId="25" borderId="10" xfId="0" applyFont="1" applyFill="1" applyBorder="1" applyAlignment="1">
      <alignment horizontal="justify" vertical="center" wrapText="1"/>
    </xf>
    <xf numFmtId="3" fontId="4" fillId="25" borderId="10" xfId="9" applyNumberFormat="1" applyFont="1" applyFill="1" applyBorder="1" applyAlignment="1">
      <alignment vertical="center" wrapText="1"/>
    </xf>
    <xf numFmtId="0" fontId="5" fillId="25" borderId="10" xfId="9" applyFont="1" applyFill="1" applyBorder="1" applyAlignment="1">
      <alignment vertical="center" wrapText="1"/>
    </xf>
    <xf numFmtId="0" fontId="5" fillId="0"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171" fontId="4" fillId="25" borderId="10" xfId="0" applyNumberFormat="1" applyFont="1" applyFill="1" applyBorder="1" applyAlignment="1">
      <alignment vertical="center" wrapText="1"/>
    </xf>
    <xf numFmtId="3" fontId="4" fillId="14" borderId="10" xfId="9" applyNumberFormat="1" applyFont="1" applyFill="1" applyBorder="1" applyAlignment="1">
      <alignment vertical="center" wrapText="1"/>
    </xf>
    <xf numFmtId="3" fontId="4" fillId="14" borderId="10" xfId="0" applyNumberFormat="1" applyFont="1" applyFill="1" applyBorder="1" applyAlignment="1">
      <alignment vertical="center" wrapText="1"/>
    </xf>
    <xf numFmtId="0" fontId="5" fillId="0" borderId="10" xfId="0" applyFont="1" applyFill="1" applyBorder="1" applyAlignment="1">
      <alignment horizontal="center" vertical="top" wrapText="1"/>
    </xf>
    <xf numFmtId="0" fontId="62" fillId="20" borderId="10" xfId="0" applyFont="1" applyFill="1" applyBorder="1" applyAlignment="1">
      <alignment horizontal="center" vertical="center" wrapText="1"/>
    </xf>
    <xf numFmtId="3" fontId="4" fillId="14" borderId="15" xfId="0" applyNumberFormat="1" applyFont="1" applyFill="1" applyBorder="1" applyAlignment="1">
      <alignment horizontal="center" vertical="center" wrapText="1"/>
    </xf>
    <xf numFmtId="3" fontId="4" fillId="14" borderId="10" xfId="0" applyNumberFormat="1" applyFont="1" applyFill="1" applyBorder="1" applyAlignment="1">
      <alignment horizontal="right" vertical="center" wrapText="1"/>
    </xf>
    <xf numFmtId="0" fontId="5" fillId="21" borderId="15" xfId="0" applyFont="1" applyFill="1" applyBorder="1" applyAlignment="1">
      <alignment horizontal="justify" vertical="center"/>
    </xf>
    <xf numFmtId="0" fontId="4" fillId="25" borderId="15" xfId="9" applyFont="1" applyFill="1" applyBorder="1" applyAlignment="1">
      <alignment horizontal="justify" vertical="center" wrapText="1"/>
    </xf>
    <xf numFmtId="0" fontId="50" fillId="14" borderId="10" xfId="0" applyFont="1" applyFill="1" applyBorder="1" applyAlignment="1">
      <alignment horizontal="center" vertical="center" wrapText="1"/>
    </xf>
    <xf numFmtId="3" fontId="49" fillId="29" borderId="17" xfId="0" applyNumberFormat="1" applyFont="1" applyFill="1" applyBorder="1" applyAlignment="1">
      <alignment horizontal="right" vertical="center" wrapText="1"/>
    </xf>
    <xf numFmtId="167" fontId="4" fillId="29" borderId="17" xfId="0" applyNumberFormat="1" applyFont="1" applyFill="1" applyBorder="1" applyAlignment="1">
      <alignment horizontal="center" vertical="center" wrapText="1"/>
    </xf>
    <xf numFmtId="3" fontId="4" fillId="29" borderId="17" xfId="0" applyNumberFormat="1" applyFont="1" applyFill="1" applyBorder="1" applyAlignment="1">
      <alignment horizontal="center" vertical="center" wrapText="1"/>
    </xf>
    <xf numFmtId="3" fontId="4" fillId="29" borderId="17" xfId="0" applyNumberFormat="1" applyFont="1" applyFill="1" applyBorder="1" applyAlignment="1">
      <alignment horizontal="right" vertical="center" wrapText="1"/>
    </xf>
    <xf numFmtId="166" fontId="51" fillId="0" borderId="0" xfId="2" applyFont="1" applyFill="1" applyAlignment="1">
      <alignment vertical="center" wrapText="1"/>
    </xf>
    <xf numFmtId="0" fontId="51" fillId="0" borderId="0" xfId="0" applyFont="1" applyFill="1" applyAlignment="1">
      <alignment vertical="center" wrapText="1"/>
    </xf>
    <xf numFmtId="0" fontId="5" fillId="21" borderId="33" xfId="9" applyFont="1" applyFill="1" applyBorder="1" applyAlignment="1">
      <alignment horizontal="justify" vertical="center" wrapText="1"/>
    </xf>
    <xf numFmtId="3" fontId="5" fillId="0" borderId="26" xfId="9" applyNumberFormat="1" applyFont="1" applyFill="1" applyBorder="1" applyAlignment="1">
      <alignment vertical="center" wrapText="1"/>
    </xf>
    <xf numFmtId="3" fontId="5" fillId="0" borderId="24" xfId="9" applyNumberFormat="1" applyFont="1" applyFill="1" applyBorder="1" applyAlignment="1">
      <alignment horizontal="right" vertical="center" wrapText="1"/>
    </xf>
    <xf numFmtId="0" fontId="5" fillId="20" borderId="10" xfId="0" applyFont="1" applyFill="1" applyBorder="1" applyAlignment="1">
      <alignment horizontal="justify" vertical="center" wrapText="1"/>
    </xf>
    <xf numFmtId="0" fontId="5" fillId="23" borderId="10" xfId="0" applyFont="1" applyFill="1" applyBorder="1" applyAlignment="1">
      <alignment horizontal="justify" vertical="center" wrapText="1"/>
    </xf>
    <xf numFmtId="0" fontId="5" fillId="24" borderId="10" xfId="0" applyFont="1" applyFill="1" applyBorder="1" applyAlignment="1">
      <alignment horizontal="justify" vertical="center" wrapText="1"/>
    </xf>
    <xf numFmtId="0" fontId="5" fillId="21" borderId="10" xfId="0" applyFont="1" applyFill="1" applyBorder="1" applyAlignment="1">
      <alignment horizontal="justify" vertical="center" wrapText="1"/>
    </xf>
    <xf numFmtId="0" fontId="5" fillId="21" borderId="10" xfId="9" applyFont="1" applyFill="1" applyBorder="1" applyAlignment="1">
      <alignment horizontal="justify" vertical="center" wrapText="1"/>
    </xf>
    <xf numFmtId="0" fontId="5" fillId="0" borderId="15" xfId="9" applyFont="1" applyFill="1" applyBorder="1" applyAlignment="1">
      <alignment horizontal="justify" vertical="center" wrapText="1"/>
    </xf>
    <xf numFmtId="4" fontId="5" fillId="0" borderId="10" xfId="0" applyNumberFormat="1" applyFont="1" applyFill="1" applyBorder="1" applyAlignment="1">
      <alignment horizontal="right" vertical="center" wrapText="1"/>
    </xf>
    <xf numFmtId="169"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right" vertical="center" wrapText="1"/>
    </xf>
    <xf numFmtId="3" fontId="5" fillId="0" borderId="10" xfId="9" applyNumberFormat="1" applyFont="1" applyFill="1" applyBorder="1" applyAlignment="1">
      <alignment horizontal="right" vertical="center" wrapText="1"/>
    </xf>
    <xf numFmtId="0" fontId="4" fillId="0" borderId="10" xfId="9" applyFont="1" applyFill="1" applyBorder="1" applyAlignment="1">
      <alignment vertical="center" wrapText="1"/>
    </xf>
    <xf numFmtId="3" fontId="4" fillId="0" borderId="10" xfId="9" applyNumberFormat="1" applyFont="1" applyFill="1" applyBorder="1" applyAlignment="1">
      <alignment horizontal="center" vertical="center" wrapText="1"/>
    </xf>
    <xf numFmtId="3" fontId="4" fillId="0" borderId="18" xfId="9" applyNumberFormat="1" applyFont="1" applyFill="1" applyBorder="1" applyAlignment="1">
      <alignment horizontal="center" vertical="center" wrapText="1"/>
    </xf>
    <xf numFmtId="0" fontId="5" fillId="13" borderId="45" xfId="0" applyFont="1" applyFill="1" applyBorder="1" applyAlignment="1">
      <alignment vertical="center" wrapText="1"/>
    </xf>
    <xf numFmtId="3" fontId="5" fillId="0" borderId="0" xfId="0" applyNumberFormat="1" applyFont="1"/>
    <xf numFmtId="0" fontId="5" fillId="0" borderId="0" xfId="0" applyFont="1"/>
    <xf numFmtId="0" fontId="4" fillId="13" borderId="10" xfId="0" applyFont="1" applyFill="1" applyBorder="1" applyAlignment="1">
      <alignment horizontal="center" vertical="center" wrapText="1"/>
    </xf>
    <xf numFmtId="0" fontId="5" fillId="13" borderId="4" xfId="0" applyFont="1" applyFill="1" applyBorder="1" applyAlignment="1">
      <alignment vertical="center" wrapText="1"/>
    </xf>
    <xf numFmtId="0" fontId="5" fillId="13" borderId="5" xfId="0" applyFont="1" applyFill="1" applyBorder="1" applyAlignment="1">
      <alignment vertical="center" wrapText="1"/>
    </xf>
    <xf numFmtId="0" fontId="5" fillId="0" borderId="15" xfId="0" applyFont="1" applyBorder="1"/>
    <xf numFmtId="0" fontId="5" fillId="8" borderId="19" xfId="0" applyFont="1" applyFill="1" applyBorder="1" applyAlignment="1">
      <alignment vertical="center" wrapText="1"/>
    </xf>
    <xf numFmtId="3" fontId="5" fillId="8" borderId="0" xfId="0" applyNumberFormat="1" applyFont="1" applyFill="1" applyAlignment="1">
      <alignment vertical="center" wrapText="1"/>
    </xf>
    <xf numFmtId="0" fontId="5" fillId="8" borderId="0" xfId="0" applyFont="1" applyFill="1" applyAlignment="1">
      <alignment vertical="center" wrapText="1"/>
    </xf>
    <xf numFmtId="0" fontId="5" fillId="0" borderId="0" xfId="0" applyFont="1" applyFill="1" applyAlignment="1">
      <alignment horizontal="center" vertical="center" wrapText="1"/>
    </xf>
    <xf numFmtId="3" fontId="4" fillId="13" borderId="17" xfId="0" applyNumberFormat="1" applyFont="1" applyFill="1" applyBorder="1" applyAlignment="1">
      <alignment horizontal="center" vertical="center" wrapText="1"/>
    </xf>
    <xf numFmtId="3" fontId="4" fillId="22" borderId="17" xfId="0" applyNumberFormat="1" applyFont="1" applyFill="1" applyBorder="1" applyAlignment="1">
      <alignment horizontal="center" vertical="center" wrapText="1"/>
    </xf>
    <xf numFmtId="4" fontId="4" fillId="22" borderId="17" xfId="0" applyNumberFormat="1" applyFont="1" applyFill="1" applyBorder="1" applyAlignment="1">
      <alignment horizontal="center" vertical="center" wrapText="1"/>
    </xf>
    <xf numFmtId="4" fontId="4" fillId="13" borderId="23" xfId="0" applyNumberFormat="1" applyFont="1" applyFill="1" applyBorder="1" applyAlignment="1">
      <alignment horizontal="center" vertical="center" wrapText="1"/>
    </xf>
    <xf numFmtId="3" fontId="5" fillId="0" borderId="0" xfId="0" applyNumberFormat="1" applyFont="1" applyFill="1" applyAlignment="1">
      <alignment vertical="center" wrapText="1"/>
    </xf>
    <xf numFmtId="0" fontId="4" fillId="0" borderId="26" xfId="0" applyFont="1" applyFill="1" applyBorder="1" applyAlignment="1">
      <alignment horizontal="center" vertical="top" wrapText="1"/>
    </xf>
    <xf numFmtId="0" fontId="4" fillId="0" borderId="24" xfId="0" applyFont="1" applyFill="1" applyBorder="1" applyAlignment="1">
      <alignment horizontal="center" vertical="top" wrapText="1"/>
    </xf>
    <xf numFmtId="3" fontId="5" fillId="11" borderId="0" xfId="0" applyNumberFormat="1" applyFont="1" applyFill="1" applyAlignment="1">
      <alignment vertical="center" wrapText="1"/>
    </xf>
    <xf numFmtId="0" fontId="4" fillId="0" borderId="10" xfId="0" applyFont="1" applyFill="1" applyBorder="1" applyAlignment="1">
      <alignment horizontal="center" vertical="top" wrapText="1"/>
    </xf>
    <xf numFmtId="3" fontId="5" fillId="12" borderId="0" xfId="0" applyNumberFormat="1" applyFont="1" applyFill="1" applyAlignment="1">
      <alignment vertical="center" wrapText="1"/>
    </xf>
    <xf numFmtId="3" fontId="5" fillId="18" borderId="10" xfId="0" applyNumberFormat="1" applyFont="1" applyFill="1" applyBorder="1" applyAlignment="1">
      <alignment vertical="center" wrapText="1"/>
    </xf>
    <xf numFmtId="0" fontId="4" fillId="22" borderId="10" xfId="0" applyFont="1" applyFill="1" applyBorder="1" applyAlignment="1">
      <alignment horizontal="center" vertical="center" wrapText="1"/>
    </xf>
    <xf numFmtId="0" fontId="4" fillId="13" borderId="20" xfId="0" applyFont="1" applyFill="1" applyBorder="1" applyAlignment="1">
      <alignment horizontal="center" vertical="center" wrapText="1"/>
    </xf>
    <xf numFmtId="4" fontId="4" fillId="13" borderId="10" xfId="0" applyNumberFormat="1" applyFont="1" applyFill="1" applyBorder="1" applyAlignment="1">
      <alignment horizontal="center" vertical="center" wrapText="1"/>
    </xf>
    <xf numFmtId="4" fontId="4" fillId="13" borderId="12" xfId="0" applyNumberFormat="1" applyFont="1" applyFill="1" applyBorder="1" applyAlignment="1">
      <alignment horizontal="center" vertical="center" wrapText="1"/>
    </xf>
    <xf numFmtId="3" fontId="4" fillId="13" borderId="10" xfId="0" applyNumberFormat="1" applyFont="1" applyFill="1" applyBorder="1" applyAlignment="1">
      <alignment horizontal="center" vertical="center" wrapText="1"/>
    </xf>
    <xf numFmtId="4" fontId="4" fillId="22" borderId="10" xfId="0" applyNumberFormat="1" applyFont="1" applyFill="1" applyBorder="1" applyAlignment="1">
      <alignment horizontal="center" vertical="center" wrapText="1"/>
    </xf>
    <xf numFmtId="3" fontId="5" fillId="0" borderId="27" xfId="9"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5" fillId="0" borderId="18" xfId="9" applyNumberFormat="1" applyFont="1" applyFill="1" applyBorder="1" applyAlignment="1">
      <alignment horizontal="right" vertical="center" wrapText="1"/>
    </xf>
    <xf numFmtId="0" fontId="4" fillId="20" borderId="27" xfId="0" applyFont="1" applyFill="1" applyBorder="1" applyAlignment="1">
      <alignment horizontal="justify" vertical="center" wrapText="1"/>
    </xf>
    <xf numFmtId="3" fontId="5" fillId="0" borderId="20" xfId="9" applyNumberFormat="1" applyFont="1" applyFill="1" applyBorder="1" applyAlignment="1">
      <alignment horizontal="right" vertical="center" wrapText="1"/>
    </xf>
    <xf numFmtId="3" fontId="5" fillId="0" borderId="24" xfId="9" applyNumberFormat="1" applyFont="1" applyFill="1" applyBorder="1" applyAlignment="1">
      <alignment horizontal="center" vertical="center" wrapText="1"/>
    </xf>
    <xf numFmtId="3" fontId="5" fillId="0" borderId="26" xfId="9" applyNumberFormat="1" applyFont="1" applyFill="1" applyBorder="1" applyAlignment="1">
      <alignment horizontal="right" vertical="center" wrapText="1"/>
    </xf>
    <xf numFmtId="0" fontId="4" fillId="20" borderId="10" xfId="0" applyFont="1" applyFill="1" applyBorder="1" applyAlignment="1">
      <alignment horizontal="justify" vertical="center" wrapText="1"/>
    </xf>
    <xf numFmtId="3" fontId="63"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right" vertical="center" wrapText="1"/>
    </xf>
    <xf numFmtId="9" fontId="64" fillId="0" borderId="10" xfId="0" applyNumberFormat="1" applyFont="1" applyFill="1" applyBorder="1" applyAlignment="1">
      <alignment horizontal="right" vertical="center" wrapText="1"/>
    </xf>
    <xf numFmtId="0" fontId="4" fillId="22" borderId="2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5" fillId="0" borderId="10" xfId="0" applyFont="1" applyFill="1" applyBorder="1"/>
    <xf numFmtId="0" fontId="5" fillId="0" borderId="26" xfId="0" applyFont="1" applyFill="1" applyBorder="1"/>
    <xf numFmtId="0" fontId="5" fillId="0" borderId="20" xfId="0" applyFont="1" applyFill="1" applyBorder="1"/>
    <xf numFmtId="0" fontId="5" fillId="20" borderId="10" xfId="9" applyFont="1" applyFill="1" applyBorder="1" applyAlignment="1">
      <alignment horizontal="justify" vertical="center" wrapText="1"/>
    </xf>
    <xf numFmtId="0" fontId="4" fillId="0" borderId="10" xfId="9" applyFont="1" applyFill="1" applyBorder="1" applyAlignment="1">
      <alignment horizontal="justify" vertical="center" wrapText="1"/>
    </xf>
    <xf numFmtId="174" fontId="4" fillId="0" borderId="10" xfId="0" applyNumberFormat="1" applyFont="1" applyFill="1" applyBorder="1" applyAlignment="1">
      <alignment horizontal="right" vertical="center" wrapText="1"/>
    </xf>
    <xf numFmtId="174" fontId="64" fillId="0" borderId="10" xfId="0" applyNumberFormat="1" applyFont="1" applyFill="1" applyBorder="1" applyAlignment="1">
      <alignment horizontal="right" vertical="center" wrapText="1"/>
    </xf>
    <xf numFmtId="3" fontId="4" fillId="22" borderId="10" xfId="0" applyNumberFormat="1" applyFont="1" applyFill="1" applyBorder="1" applyAlignment="1">
      <alignment horizontal="center" vertical="center" wrapText="1"/>
    </xf>
    <xf numFmtId="3" fontId="4" fillId="13" borderId="12" xfId="0" applyNumberFormat="1" applyFont="1" applyFill="1" applyBorder="1" applyAlignment="1">
      <alignment horizontal="center" vertical="center" wrapText="1"/>
    </xf>
    <xf numFmtId="0" fontId="4" fillId="20" borderId="10" xfId="9" applyFont="1" applyFill="1" applyBorder="1" applyAlignment="1">
      <alignment horizontal="justify" vertical="center" wrapText="1"/>
    </xf>
    <xf numFmtId="171" fontId="5" fillId="21" borderId="10" xfId="2" applyNumberFormat="1" applyFont="1" applyFill="1" applyBorder="1" applyAlignment="1">
      <alignment horizontal="justify" vertical="center" wrapText="1"/>
    </xf>
    <xf numFmtId="0" fontId="4" fillId="22" borderId="26" xfId="0" applyFont="1" applyFill="1" applyBorder="1" applyAlignment="1">
      <alignment horizontal="center" vertical="center" wrapText="1"/>
    </xf>
    <xf numFmtId="0" fontId="4" fillId="27" borderId="10" xfId="0" applyFont="1" applyFill="1" applyBorder="1" applyAlignment="1">
      <alignment horizontal="center" vertical="top" wrapText="1"/>
    </xf>
    <xf numFmtId="3" fontId="5" fillId="27" borderId="0" xfId="0" applyNumberFormat="1" applyFont="1" applyFill="1" applyAlignment="1">
      <alignment vertical="center" wrapText="1"/>
    </xf>
    <xf numFmtId="0" fontId="5" fillId="27" borderId="0" xfId="0" applyFont="1" applyFill="1" applyAlignment="1">
      <alignment vertical="center" wrapText="1"/>
    </xf>
    <xf numFmtId="3" fontId="4" fillId="0" borderId="10" xfId="9" applyNumberFormat="1" applyFont="1" applyFill="1" applyBorder="1" applyAlignment="1">
      <alignment horizontal="right" vertical="center" wrapText="1"/>
    </xf>
    <xf numFmtId="0" fontId="4" fillId="22" borderId="10" xfId="0" applyFont="1" applyFill="1" applyBorder="1" applyAlignment="1">
      <alignment horizontal="left" vertical="center" wrapText="1"/>
    </xf>
    <xf numFmtId="3" fontId="4" fillId="0" borderId="0" xfId="0" applyNumberFormat="1" applyFont="1" applyFill="1" applyBorder="1" applyAlignment="1">
      <alignment vertical="center" wrapText="1"/>
    </xf>
    <xf numFmtId="0" fontId="4" fillId="0" borderId="28" xfId="0" applyFont="1" applyFill="1" applyBorder="1" applyAlignment="1">
      <alignment horizontal="center" vertical="top" wrapText="1"/>
    </xf>
    <xf numFmtId="0" fontId="5" fillId="20" borderId="17" xfId="0" applyFont="1" applyFill="1" applyBorder="1" applyAlignment="1">
      <alignment horizontal="justify" vertical="center" wrapText="1"/>
    </xf>
    <xf numFmtId="3" fontId="4" fillId="20" borderId="7" xfId="0" applyNumberFormat="1" applyFont="1" applyFill="1" applyBorder="1" applyAlignment="1">
      <alignment horizontal="right" vertical="center" wrapText="1"/>
    </xf>
    <xf numFmtId="3" fontId="4" fillId="20" borderId="10" xfId="0" applyNumberFormat="1" applyFont="1" applyFill="1" applyBorder="1" applyAlignment="1">
      <alignment horizontal="right" vertical="center" wrapText="1"/>
    </xf>
    <xf numFmtId="9" fontId="4" fillId="20" borderId="17" xfId="0" applyNumberFormat="1" applyFont="1" applyFill="1" applyBorder="1" applyAlignment="1">
      <alignment horizontal="right" vertical="center" wrapText="1"/>
    </xf>
    <xf numFmtId="0" fontId="65" fillId="0" borderId="0" xfId="0" applyFont="1" applyAlignment="1">
      <alignment wrapText="1"/>
    </xf>
    <xf numFmtId="0" fontId="66" fillId="0" borderId="0" xfId="0" applyFont="1" applyAlignment="1">
      <alignment wrapText="1"/>
    </xf>
    <xf numFmtId="0" fontId="5" fillId="0" borderId="10" xfId="0" applyFont="1" applyFill="1" applyBorder="1" applyAlignment="1">
      <alignment vertical="center" wrapText="1"/>
    </xf>
    <xf numFmtId="9" fontId="4" fillId="0" borderId="18" xfId="10" applyFont="1" applyFill="1" applyBorder="1" applyAlignment="1">
      <alignment horizontal="right" vertical="center" wrapText="1"/>
    </xf>
    <xf numFmtId="0" fontId="5" fillId="0" borderId="0" xfId="0" applyFont="1" applyFill="1"/>
    <xf numFmtId="3" fontId="29" fillId="14" borderId="26" xfId="9" applyNumberFormat="1" applyFont="1" applyFill="1" applyBorder="1" applyAlignment="1">
      <alignment horizontal="right" vertical="center" wrapText="1"/>
    </xf>
    <xf numFmtId="3" fontId="29" fillId="14" borderId="20" xfId="9" applyNumberFormat="1" applyFont="1" applyFill="1" applyBorder="1" applyAlignment="1">
      <alignment horizontal="right" vertical="center" wrapText="1"/>
    </xf>
    <xf numFmtId="3" fontId="29" fillId="14" borderId="0" xfId="9" applyNumberFormat="1" applyFont="1" applyFill="1" applyBorder="1" applyAlignment="1">
      <alignment vertical="center" wrapText="1"/>
    </xf>
    <xf numFmtId="0" fontId="24" fillId="0" borderId="0" xfId="9" applyFont="1" applyBorder="1" applyAlignment="1">
      <alignment vertical="center" wrapText="1"/>
    </xf>
    <xf numFmtId="0" fontId="24" fillId="0" borderId="0" xfId="9" applyFont="1" applyFill="1" applyAlignment="1">
      <alignment vertical="center" wrapText="1"/>
    </xf>
    <xf numFmtId="0" fontId="24" fillId="0" borderId="0" xfId="9" applyFont="1" applyFill="1" applyAlignment="1">
      <alignment horizontal="center" vertical="center" wrapText="1"/>
    </xf>
    <xf numFmtId="3" fontId="24" fillId="0" borderId="0" xfId="9" applyNumberFormat="1" applyFont="1" applyFill="1" applyAlignment="1">
      <alignment vertical="center" wrapText="1"/>
    </xf>
    <xf numFmtId="37" fontId="24" fillId="0" borderId="0" xfId="9" applyNumberFormat="1" applyFont="1" applyFill="1" applyAlignment="1">
      <alignment vertical="center" wrapText="1"/>
    </xf>
    <xf numFmtId="3" fontId="24" fillId="0" borderId="0" xfId="9" applyNumberFormat="1" applyFont="1" applyFill="1" applyBorder="1" applyAlignment="1">
      <alignment horizontal="right" vertical="center" wrapText="1"/>
    </xf>
    <xf numFmtId="171" fontId="24" fillId="0" borderId="0" xfId="9" applyNumberFormat="1" applyFont="1" applyFill="1" applyAlignment="1">
      <alignment vertical="center" wrapText="1"/>
    </xf>
    <xf numFmtId="3" fontId="54" fillId="0" borderId="10" xfId="0" applyNumberFormat="1" applyFont="1" applyFill="1" applyBorder="1" applyAlignment="1">
      <alignment horizontal="right" vertical="center" wrapText="1"/>
    </xf>
    <xf numFmtId="3" fontId="54" fillId="0" borderId="26" xfId="0" applyNumberFormat="1" applyFont="1" applyFill="1" applyBorder="1" applyAlignment="1">
      <alignment horizontal="right" vertical="center" wrapText="1"/>
    </xf>
    <xf numFmtId="168" fontId="24" fillId="0" borderId="0" xfId="9" applyNumberFormat="1" applyFont="1" applyFill="1" applyAlignment="1">
      <alignment vertical="center" wrapText="1"/>
    </xf>
    <xf numFmtId="3" fontId="29" fillId="26" borderId="26" xfId="9" applyNumberFormat="1" applyFont="1" applyFill="1" applyBorder="1" applyAlignment="1">
      <alignment horizontal="right" vertical="center" wrapText="1"/>
    </xf>
    <xf numFmtId="0" fontId="26" fillId="26" borderId="10" xfId="9" applyFont="1" applyFill="1" applyBorder="1" applyAlignment="1">
      <alignment horizontal="right" vertical="center" wrapText="1"/>
    </xf>
    <xf numFmtId="169" fontId="5" fillId="0" borderId="44" xfId="9" applyNumberFormat="1" applyFont="1" applyFill="1" applyBorder="1" applyAlignment="1">
      <alignment horizontal="right" vertical="center" wrapText="1"/>
    </xf>
    <xf numFmtId="3" fontId="5" fillId="0" borderId="21" xfId="0" applyNumberFormat="1" applyFont="1" applyFill="1" applyBorder="1" applyAlignment="1">
      <alignment horizontal="right" vertical="center" wrapText="1"/>
    </xf>
    <xf numFmtId="0" fontId="26" fillId="0" borderId="15" xfId="9" applyFont="1" applyFill="1" applyBorder="1" applyAlignment="1">
      <alignment horizontal="justify" vertical="center" wrapText="1"/>
    </xf>
    <xf numFmtId="2" fontId="24" fillId="0" borderId="0" xfId="9" applyNumberFormat="1" applyFont="1" applyFill="1" applyAlignment="1">
      <alignment vertical="center" wrapText="1"/>
    </xf>
    <xf numFmtId="2" fontId="26" fillId="26" borderId="10" xfId="9" applyNumberFormat="1" applyFont="1" applyFill="1" applyBorder="1" applyAlignment="1">
      <alignment horizontal="right" vertical="center" wrapText="1"/>
    </xf>
    <xf numFmtId="4" fontId="24" fillId="0" borderId="0" xfId="9" applyNumberFormat="1" applyFont="1" applyFill="1" applyAlignment="1">
      <alignment vertical="center" wrapText="1"/>
    </xf>
    <xf numFmtId="4" fontId="5" fillId="0" borderId="10" xfId="9" applyNumberFormat="1" applyFont="1" applyFill="1" applyBorder="1" applyAlignment="1">
      <alignment horizontal="center" vertical="center" wrapText="1"/>
    </xf>
    <xf numFmtId="2" fontId="5" fillId="0" borderId="10" xfId="9" applyNumberFormat="1" applyFont="1" applyFill="1" applyBorder="1" applyAlignment="1">
      <alignment horizontal="center" vertical="center" wrapText="1"/>
    </xf>
    <xf numFmtId="4" fontId="5" fillId="0" borderId="10" xfId="9" applyNumberFormat="1" applyFont="1" applyFill="1" applyBorder="1" applyAlignment="1">
      <alignment horizontal="right" vertical="center" wrapText="1"/>
    </xf>
    <xf numFmtId="0" fontId="29" fillId="30" borderId="15" xfId="9" applyFont="1" applyFill="1" applyBorder="1" applyAlignment="1">
      <alignment horizontal="justify" vertical="center" wrapText="1"/>
    </xf>
    <xf numFmtId="0" fontId="46" fillId="30" borderId="10" xfId="9" applyFont="1" applyFill="1" applyBorder="1" applyAlignment="1">
      <alignment horizontal="center" vertical="center" wrapText="1"/>
    </xf>
    <xf numFmtId="3" fontId="26" fillId="30" borderId="27" xfId="9" applyNumberFormat="1" applyFont="1" applyFill="1" applyBorder="1" applyAlignment="1">
      <alignment horizontal="right" vertical="center" wrapText="1"/>
    </xf>
    <xf numFmtId="3" fontId="26" fillId="30" borderId="27" xfId="9" applyNumberFormat="1" applyFont="1" applyFill="1" applyBorder="1" applyAlignment="1">
      <alignment horizontal="center" vertical="center" wrapText="1"/>
    </xf>
    <xf numFmtId="3" fontId="26" fillId="31" borderId="26" xfId="9" applyNumberFormat="1" applyFont="1" applyFill="1" applyBorder="1" applyAlignment="1">
      <alignment horizontal="right" vertical="center" wrapText="1"/>
    </xf>
    <xf numFmtId="3" fontId="26" fillId="31" borderId="10" xfId="9" applyNumberFormat="1" applyFont="1" applyFill="1" applyBorder="1" applyAlignment="1">
      <alignment horizontal="right" vertical="center" wrapText="1"/>
    </xf>
    <xf numFmtId="3" fontId="26" fillId="31" borderId="27" xfId="9" applyNumberFormat="1" applyFont="1" applyFill="1" applyBorder="1" applyAlignment="1">
      <alignment horizontal="right" vertical="center" wrapText="1"/>
    </xf>
    <xf numFmtId="3" fontId="26" fillId="31" borderId="20" xfId="9" applyNumberFormat="1" applyFont="1" applyFill="1" applyBorder="1" applyAlignment="1">
      <alignment horizontal="right" vertical="center" wrapText="1"/>
    </xf>
    <xf numFmtId="0" fontId="22" fillId="31" borderId="0" xfId="9" applyFont="1" applyFill="1" applyAlignment="1">
      <alignment vertical="center" wrapText="1"/>
    </xf>
    <xf numFmtId="4" fontId="26" fillId="26" borderId="20" xfId="9" applyNumberFormat="1" applyFont="1" applyFill="1" applyBorder="1" applyAlignment="1">
      <alignment horizontal="right" vertical="center" wrapText="1"/>
    </xf>
    <xf numFmtId="3" fontId="59" fillId="0" borderId="10" xfId="0" applyNumberFormat="1" applyFont="1" applyFill="1" applyBorder="1" applyAlignment="1">
      <alignment horizontal="center" vertical="center"/>
    </xf>
    <xf numFmtId="4" fontId="5" fillId="0" borderId="26" xfId="9" applyNumberFormat="1" applyFont="1" applyFill="1" applyBorder="1" applyAlignment="1">
      <alignment vertical="center" wrapText="1"/>
    </xf>
    <xf numFmtId="4" fontId="5" fillId="0" borderId="10" xfId="9" applyNumberFormat="1" applyFont="1" applyFill="1" applyBorder="1" applyAlignment="1">
      <alignment vertical="center" wrapText="1"/>
    </xf>
    <xf numFmtId="167" fontId="5" fillId="0" borderId="10" xfId="9" applyNumberFormat="1" applyFont="1" applyFill="1" applyBorder="1" applyAlignment="1">
      <alignment horizontal="center" vertical="center" wrapText="1"/>
    </xf>
    <xf numFmtId="0" fontId="5" fillId="0" borderId="0" xfId="0" applyFont="1" applyFill="1" applyBorder="1" applyAlignment="1">
      <alignment vertical="top" wrapText="1"/>
    </xf>
    <xf numFmtId="4" fontId="4" fillId="14" borderId="7" xfId="0" applyNumberFormat="1" applyFont="1" applyFill="1" applyBorder="1" applyAlignment="1">
      <alignment horizontal="center" vertical="center" wrapText="1"/>
    </xf>
    <xf numFmtId="4" fontId="5" fillId="25" borderId="10" xfId="9"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67" fontId="4" fillId="14" borderId="7" xfId="0" applyNumberFormat="1" applyFont="1" applyFill="1" applyBorder="1" applyAlignment="1">
      <alignment horizontal="center" vertical="center" wrapText="1"/>
    </xf>
    <xf numFmtId="3" fontId="5" fillId="0" borderId="0" xfId="0" applyNumberFormat="1" applyFont="1" applyFill="1" applyBorder="1" applyAlignment="1">
      <alignment vertical="top" wrapText="1"/>
    </xf>
    <xf numFmtId="3" fontId="4" fillId="0" borderId="10" xfId="0" applyNumberFormat="1" applyFont="1" applyFill="1" applyBorder="1" applyAlignment="1">
      <alignment horizontal="center" vertical="center" wrapText="1"/>
    </xf>
    <xf numFmtId="167" fontId="5" fillId="0" borderId="10" xfId="9" applyNumberFormat="1" applyFont="1" applyFill="1" applyBorder="1" applyAlignment="1">
      <alignment vertical="center" wrapText="1"/>
    </xf>
    <xf numFmtId="168"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166" fontId="19" fillId="0" borderId="10" xfId="2" applyFont="1" applyFill="1" applyBorder="1" applyAlignment="1">
      <alignment vertical="center" wrapText="1"/>
    </xf>
    <xf numFmtId="3" fontId="24" fillId="0" borderId="10" xfId="0" applyNumberFormat="1" applyFont="1" applyFill="1" applyBorder="1" applyAlignment="1">
      <alignment horizontal="right" vertical="center" wrapText="1"/>
    </xf>
    <xf numFmtId="3" fontId="21" fillId="0" borderId="10" xfId="0" applyNumberFormat="1" applyFont="1" applyFill="1" applyBorder="1" applyAlignment="1">
      <alignment vertical="center" wrapText="1"/>
    </xf>
    <xf numFmtId="0" fontId="22" fillId="32" borderId="0" xfId="9" applyFill="1"/>
    <xf numFmtId="0" fontId="22" fillId="0" borderId="0" xfId="9"/>
    <xf numFmtId="0" fontId="21" fillId="0" borderId="0" xfId="9" applyFont="1" applyAlignment="1" applyProtection="1">
      <alignment horizontal="center"/>
    </xf>
    <xf numFmtId="0" fontId="22" fillId="0" borderId="0" xfId="9" applyFont="1"/>
    <xf numFmtId="0" fontId="21" fillId="0" borderId="31" xfId="9" applyFont="1" applyBorder="1" applyAlignment="1" applyProtection="1"/>
    <xf numFmtId="0" fontId="22" fillId="0" borderId="0" xfId="9" applyFont="1" applyProtection="1"/>
    <xf numFmtId="0" fontId="32" fillId="0" borderId="10" xfId="11" applyFont="1" applyBorder="1" applyProtection="1"/>
    <xf numFmtId="0" fontId="33" fillId="0" borderId="10" xfId="11" applyFont="1" applyBorder="1" applyAlignment="1" applyProtection="1">
      <alignment horizontal="center" vertical="top"/>
    </xf>
    <xf numFmtId="0" fontId="22" fillId="0" borderId="0" xfId="9" applyFont="1" applyAlignment="1">
      <alignment vertical="center"/>
    </xf>
    <xf numFmtId="1" fontId="34" fillId="6" borderId="10" xfId="11" applyNumberFormat="1" applyFont="1" applyFill="1" applyBorder="1" applyProtection="1"/>
    <xf numFmtId="0" fontId="33" fillId="6" borderId="10" xfId="11" applyFont="1" applyFill="1" applyBorder="1" applyProtection="1"/>
    <xf numFmtId="3" fontId="33" fillId="6" borderId="10" xfId="12" applyNumberFormat="1" applyFont="1" applyFill="1" applyBorder="1" applyProtection="1"/>
    <xf numFmtId="1" fontId="34" fillId="7" borderId="10" xfId="11" applyNumberFormat="1" applyFont="1" applyFill="1" applyBorder="1" applyProtection="1"/>
    <xf numFmtId="0" fontId="33" fillId="7" borderId="10" xfId="11" applyFont="1" applyFill="1" applyBorder="1" applyProtection="1"/>
    <xf numFmtId="3" fontId="33" fillId="7" borderId="10" xfId="12" applyNumberFormat="1" applyFont="1" applyFill="1" applyBorder="1" applyProtection="1"/>
    <xf numFmtId="1" fontId="34" fillId="2" borderId="10" xfId="11" applyNumberFormat="1" applyFont="1" applyFill="1" applyBorder="1" applyProtection="1"/>
    <xf numFmtId="0" fontId="33" fillId="2" borderId="10" xfId="11" applyFont="1" applyFill="1" applyBorder="1" applyProtection="1"/>
    <xf numFmtId="3" fontId="33" fillId="2" borderId="10" xfId="12" applyNumberFormat="1" applyFont="1" applyFill="1" applyBorder="1" applyProtection="1"/>
    <xf numFmtId="1" fontId="34" fillId="0" borderId="10" xfId="11" applyNumberFormat="1" applyFont="1" applyBorder="1" applyProtection="1"/>
    <xf numFmtId="0" fontId="32" fillId="0" borderId="10" xfId="11" applyFont="1" applyFill="1" applyBorder="1" applyProtection="1"/>
    <xf numFmtId="3" fontId="32" fillId="0" borderId="10" xfId="12" applyNumberFormat="1" applyFont="1" applyFill="1" applyBorder="1" applyProtection="1"/>
    <xf numFmtId="0" fontId="16" fillId="0" borderId="0" xfId="9" applyFont="1"/>
    <xf numFmtId="0" fontId="34" fillId="0" borderId="10" xfId="11" applyFont="1" applyFill="1" applyBorder="1" applyProtection="1"/>
    <xf numFmtId="3" fontId="34" fillId="0" borderId="10" xfId="12" applyNumberFormat="1" applyFont="1" applyFill="1" applyBorder="1" applyProtection="1"/>
    <xf numFmtId="0" fontId="19" fillId="0" borderId="0" xfId="9" applyFont="1"/>
    <xf numFmtId="0" fontId="33" fillId="0" borderId="10" xfId="11" applyFont="1" applyBorder="1" applyProtection="1"/>
    <xf numFmtId="3" fontId="33" fillId="0" borderId="10" xfId="12" applyNumberFormat="1" applyFont="1" applyBorder="1" applyProtection="1"/>
    <xf numFmtId="1" fontId="32" fillId="0" borderId="10" xfId="11" applyNumberFormat="1" applyFont="1" applyBorder="1" applyProtection="1"/>
    <xf numFmtId="3" fontId="34" fillId="0" borderId="10" xfId="12" applyNumberFormat="1" applyFont="1" applyBorder="1" applyProtection="1"/>
    <xf numFmtId="1" fontId="33" fillId="6" borderId="10" xfId="11" applyNumberFormat="1" applyFont="1" applyFill="1" applyBorder="1" applyProtection="1"/>
    <xf numFmtId="1" fontId="34" fillId="8" borderId="10" xfId="11" applyNumberFormat="1" applyFont="1" applyFill="1" applyBorder="1" applyProtection="1"/>
    <xf numFmtId="1" fontId="33" fillId="8" borderId="10" xfId="11" applyNumberFormat="1" applyFont="1" applyFill="1" applyBorder="1" applyProtection="1"/>
    <xf numFmtId="3" fontId="34" fillId="8" borderId="10" xfId="12" applyNumberFormat="1" applyFont="1" applyFill="1" applyBorder="1" applyProtection="1"/>
    <xf numFmtId="3" fontId="33" fillId="8" borderId="10" xfId="12" applyNumberFormat="1" applyFont="1" applyFill="1" applyBorder="1" applyProtection="1"/>
    <xf numFmtId="0" fontId="21" fillId="32" borderId="0" xfId="9" applyFont="1" applyFill="1" applyBorder="1" applyAlignment="1">
      <alignment horizontal="center" vertical="center"/>
    </xf>
    <xf numFmtId="0" fontId="22" fillId="0" borderId="0" xfId="9" applyAlignment="1">
      <alignment vertical="center"/>
    </xf>
    <xf numFmtId="0" fontId="21" fillId="0" borderId="30" xfId="11" applyFont="1" applyBorder="1" applyAlignment="1" applyProtection="1">
      <alignment vertical="center"/>
    </xf>
    <xf numFmtId="0" fontId="68" fillId="0" borderId="19" xfId="11" applyFont="1" applyBorder="1" applyAlignment="1" applyProtection="1">
      <alignment horizontal="center" vertical="center" wrapText="1"/>
    </xf>
    <xf numFmtId="0" fontId="68" fillId="0" borderId="20" xfId="11" applyFont="1" applyBorder="1" applyAlignment="1" applyProtection="1">
      <alignment horizontal="center" vertical="center" wrapText="1"/>
    </xf>
    <xf numFmtId="0" fontId="68" fillId="0" borderId="21" xfId="11" applyFont="1" applyBorder="1" applyAlignment="1" applyProtection="1">
      <alignment horizontal="center" vertical="center" wrapText="1"/>
    </xf>
    <xf numFmtId="3" fontId="69" fillId="0" borderId="51" xfId="11" applyNumberFormat="1" applyFont="1" applyFill="1" applyBorder="1" applyAlignment="1" applyProtection="1">
      <alignment vertical="center"/>
    </xf>
    <xf numFmtId="3" fontId="69" fillId="0" borderId="39" xfId="11" applyNumberFormat="1" applyFont="1" applyFill="1" applyBorder="1" applyAlignment="1" applyProtection="1">
      <alignment vertical="center"/>
    </xf>
    <xf numFmtId="3" fontId="69" fillId="0" borderId="41" xfId="11" applyNumberFormat="1" applyFont="1" applyFill="1" applyBorder="1" applyAlignment="1" applyProtection="1">
      <alignment vertical="center"/>
    </xf>
    <xf numFmtId="3" fontId="69" fillId="0" borderId="42" xfId="11" applyNumberFormat="1" applyFont="1" applyFill="1" applyBorder="1" applyAlignment="1" applyProtection="1">
      <alignment vertical="center"/>
    </xf>
    <xf numFmtId="3" fontId="32" fillId="0" borderId="15" xfId="11" applyNumberFormat="1" applyFont="1" applyFill="1" applyBorder="1" applyAlignment="1" applyProtection="1">
      <alignment vertical="center"/>
    </xf>
    <xf numFmtId="3" fontId="69" fillId="0" borderId="57" xfId="11" applyNumberFormat="1" applyFont="1" applyFill="1" applyBorder="1" applyAlignment="1" applyProtection="1">
      <alignment vertical="center"/>
    </xf>
    <xf numFmtId="3" fontId="69" fillId="0" borderId="6" xfId="11" applyNumberFormat="1" applyFont="1" applyFill="1" applyBorder="1" applyAlignment="1" applyProtection="1">
      <alignment vertical="center"/>
    </xf>
    <xf numFmtId="3" fontId="69" fillId="0" borderId="7" xfId="11" applyNumberFormat="1" applyFont="1" applyFill="1" applyBorder="1" applyAlignment="1" applyProtection="1">
      <alignment vertical="center"/>
    </xf>
    <xf numFmtId="3" fontId="69" fillId="0" borderId="14" xfId="11" applyNumberFormat="1" applyFont="1" applyFill="1" applyBorder="1" applyAlignment="1" applyProtection="1">
      <alignment vertical="center"/>
    </xf>
    <xf numFmtId="3" fontId="32" fillId="0" borderId="62" xfId="11" applyNumberFormat="1" applyFont="1" applyFill="1" applyBorder="1" applyAlignment="1" applyProtection="1">
      <alignment vertical="center"/>
    </xf>
    <xf numFmtId="3" fontId="32" fillId="0" borderId="10" xfId="11" applyNumberFormat="1" applyFont="1" applyFill="1" applyBorder="1" applyAlignment="1" applyProtection="1">
      <alignment vertical="center"/>
    </xf>
    <xf numFmtId="3" fontId="32" fillId="0" borderId="12" xfId="11" applyNumberFormat="1" applyFont="1" applyFill="1" applyBorder="1" applyAlignment="1" applyProtection="1">
      <alignment vertical="center"/>
    </xf>
    <xf numFmtId="3" fontId="32" fillId="0" borderId="59" xfId="11" applyNumberFormat="1" applyFont="1" applyFill="1" applyBorder="1" applyAlignment="1" applyProtection="1">
      <alignment vertical="center"/>
    </xf>
    <xf numFmtId="3" fontId="32" fillId="0" borderId="16" xfId="11" applyNumberFormat="1" applyFont="1" applyFill="1" applyBorder="1" applyAlignment="1" applyProtection="1">
      <alignment vertical="center"/>
    </xf>
    <xf numFmtId="3" fontId="32" fillId="0" borderId="17" xfId="11" applyNumberFormat="1" applyFont="1" applyFill="1" applyBorder="1" applyAlignment="1" applyProtection="1">
      <alignment vertical="center"/>
    </xf>
    <xf numFmtId="3" fontId="32" fillId="0" borderId="23" xfId="11" applyNumberFormat="1" applyFont="1" applyFill="1" applyBorder="1" applyAlignment="1" applyProtection="1">
      <alignment vertical="center"/>
    </xf>
    <xf numFmtId="3" fontId="33" fillId="0" borderId="62" xfId="11" applyNumberFormat="1" applyFont="1" applyFill="1" applyBorder="1" applyAlignment="1" applyProtection="1">
      <alignment vertical="center"/>
    </xf>
    <xf numFmtId="3" fontId="33" fillId="0" borderId="15" xfId="11" applyNumberFormat="1" applyFont="1" applyFill="1" applyBorder="1" applyAlignment="1" applyProtection="1">
      <alignment vertical="center"/>
    </xf>
    <xf numFmtId="3" fontId="33" fillId="0" borderId="10" xfId="11" applyNumberFormat="1" applyFont="1" applyFill="1" applyBorder="1" applyAlignment="1" applyProtection="1">
      <alignment vertical="center"/>
    </xf>
    <xf numFmtId="3" fontId="33" fillId="0" borderId="12" xfId="11" applyNumberFormat="1" applyFont="1" applyFill="1" applyBorder="1" applyAlignment="1" applyProtection="1">
      <alignment vertical="center"/>
    </xf>
    <xf numFmtId="0" fontId="19" fillId="0" borderId="0" xfId="9" applyFont="1" applyAlignment="1">
      <alignment vertical="center"/>
    </xf>
    <xf numFmtId="0" fontId="16" fillId="0" borderId="0" xfId="9" applyFont="1" applyAlignment="1">
      <alignment vertical="center"/>
    </xf>
    <xf numFmtId="3" fontId="69" fillId="0" borderId="62" xfId="11" applyNumberFormat="1" applyFont="1" applyFill="1" applyBorder="1" applyAlignment="1" applyProtection="1">
      <alignment vertical="center"/>
    </xf>
    <xf numFmtId="3" fontId="69" fillId="0" borderId="15" xfId="11" applyNumberFormat="1" applyFont="1" applyFill="1" applyBorder="1" applyAlignment="1" applyProtection="1">
      <alignment vertical="center"/>
    </xf>
    <xf numFmtId="3" fontId="69" fillId="0" borderId="10" xfId="11" applyNumberFormat="1" applyFont="1" applyFill="1" applyBorder="1" applyAlignment="1" applyProtection="1">
      <alignment vertical="center"/>
    </xf>
    <xf numFmtId="3" fontId="69" fillId="0" borderId="12" xfId="11" applyNumberFormat="1" applyFont="1" applyFill="1" applyBorder="1" applyAlignment="1" applyProtection="1">
      <alignment vertical="center"/>
    </xf>
    <xf numFmtId="3" fontId="33" fillId="0" borderId="59" xfId="11" applyNumberFormat="1" applyFont="1" applyFill="1" applyBorder="1" applyAlignment="1" applyProtection="1">
      <alignment vertical="center"/>
    </xf>
    <xf numFmtId="3" fontId="33" fillId="0" borderId="16" xfId="11" applyNumberFormat="1" applyFont="1" applyFill="1" applyBorder="1" applyAlignment="1" applyProtection="1">
      <alignment vertical="center"/>
    </xf>
    <xf numFmtId="3" fontId="33" fillId="0" borderId="17" xfId="11" applyNumberFormat="1" applyFont="1" applyFill="1" applyBorder="1" applyAlignment="1" applyProtection="1">
      <alignment vertical="center"/>
    </xf>
    <xf numFmtId="3" fontId="33" fillId="0" borderId="23" xfId="11" applyNumberFormat="1" applyFont="1" applyFill="1" applyBorder="1" applyAlignment="1" applyProtection="1">
      <alignment vertical="center"/>
    </xf>
    <xf numFmtId="3" fontId="22" fillId="0" borderId="0" xfId="9" applyNumberFormat="1" applyFont="1" applyAlignment="1">
      <alignment vertical="center"/>
    </xf>
    <xf numFmtId="3" fontId="32" fillId="0" borderId="9" xfId="11" applyNumberFormat="1" applyFont="1" applyBorder="1" applyAlignment="1" applyProtection="1">
      <alignment vertical="center"/>
    </xf>
    <xf numFmtId="3" fontId="32" fillId="0" borderId="38" xfId="11" applyNumberFormat="1" applyFont="1" applyBorder="1" applyAlignment="1" applyProtection="1">
      <alignment vertical="center"/>
    </xf>
    <xf numFmtId="3" fontId="32" fillId="0" borderId="28" xfId="11" applyNumberFormat="1" applyFont="1" applyBorder="1" applyAlignment="1" applyProtection="1">
      <alignment vertical="center"/>
    </xf>
    <xf numFmtId="3" fontId="32" fillId="0" borderId="58" xfId="11" applyNumberFormat="1" applyFont="1" applyBorder="1" applyAlignment="1" applyProtection="1">
      <alignment vertical="center"/>
    </xf>
    <xf numFmtId="3" fontId="32" fillId="0" borderId="10" xfId="11" applyNumberFormat="1" applyFont="1" applyFill="1" applyBorder="1" applyAlignment="1" applyProtection="1">
      <alignment vertical="center" wrapText="1"/>
      <protection locked="0"/>
    </xf>
    <xf numFmtId="3" fontId="32" fillId="0" borderId="15" xfId="11" applyNumberFormat="1" applyFont="1" applyFill="1" applyBorder="1" applyAlignment="1" applyProtection="1">
      <alignment vertical="center" wrapText="1"/>
      <protection locked="0"/>
    </xf>
    <xf numFmtId="3" fontId="32" fillId="0" borderId="12" xfId="11" applyNumberFormat="1" applyFont="1" applyFill="1" applyBorder="1" applyAlignment="1" applyProtection="1">
      <alignment vertical="center" wrapText="1"/>
      <protection locked="0"/>
    </xf>
    <xf numFmtId="3" fontId="70" fillId="0" borderId="10" xfId="11" applyNumberFormat="1" applyFont="1" applyFill="1" applyBorder="1" applyAlignment="1" applyProtection="1">
      <alignment vertical="center" wrapText="1"/>
      <protection locked="0"/>
    </xf>
    <xf numFmtId="0" fontId="32" fillId="0" borderId="36" xfId="11" applyFont="1" applyFill="1" applyBorder="1" applyAlignment="1" applyProtection="1">
      <alignment vertical="center" wrapText="1"/>
      <protection locked="0"/>
    </xf>
    <xf numFmtId="3" fontId="22" fillId="0" borderId="10" xfId="11" applyNumberFormat="1" applyFont="1" applyBorder="1" applyAlignment="1">
      <alignment wrapText="1"/>
    </xf>
    <xf numFmtId="3" fontId="70" fillId="0" borderId="15" xfId="11" applyNumberFormat="1" applyFont="1" applyFill="1" applyBorder="1" applyAlignment="1" applyProtection="1">
      <alignment vertical="center" wrapText="1"/>
      <protection locked="0"/>
    </xf>
    <xf numFmtId="3" fontId="70" fillId="0" borderId="12" xfId="11" applyNumberFormat="1" applyFont="1" applyFill="1" applyBorder="1" applyAlignment="1" applyProtection="1">
      <alignment vertical="center" wrapText="1"/>
      <protection locked="0"/>
    </xf>
    <xf numFmtId="3" fontId="40" fillId="0" borderId="9" xfId="11" applyNumberFormat="1" applyFont="1" applyBorder="1" applyAlignment="1" applyProtection="1">
      <alignment vertical="center"/>
    </xf>
    <xf numFmtId="3" fontId="40" fillId="0" borderId="38" xfId="11" applyNumberFormat="1" applyFont="1" applyBorder="1" applyAlignment="1" applyProtection="1">
      <alignment vertical="center"/>
    </xf>
    <xf numFmtId="3" fontId="40" fillId="0" borderId="28" xfId="11" applyNumberFormat="1" applyFont="1" applyBorder="1" applyAlignment="1" applyProtection="1">
      <alignment vertical="center"/>
    </xf>
    <xf numFmtId="3" fontId="40" fillId="0" borderId="58" xfId="11" applyNumberFormat="1" applyFont="1" applyBorder="1" applyAlignment="1" applyProtection="1">
      <alignment vertical="center"/>
    </xf>
    <xf numFmtId="3" fontId="22" fillId="0" borderId="0" xfId="9" applyNumberFormat="1" applyAlignment="1">
      <alignment vertical="center"/>
    </xf>
    <xf numFmtId="1" fontId="5" fillId="14" borderId="10" xfId="9" applyNumberFormat="1" applyFont="1" applyFill="1" applyBorder="1" applyAlignment="1">
      <alignment horizontal="center" vertical="center" wrapText="1"/>
    </xf>
    <xf numFmtId="1" fontId="5" fillId="25" borderId="10" xfId="9" applyNumberFormat="1" applyFont="1" applyFill="1" applyBorder="1" applyAlignment="1">
      <alignment horizontal="center" vertical="center" wrapText="1"/>
    </xf>
    <xf numFmtId="4" fontId="26" fillId="0" borderId="27" xfId="9" applyNumberFormat="1" applyFont="1" applyFill="1" applyBorder="1" applyAlignment="1">
      <alignment horizontal="center" vertical="center" wrapText="1"/>
    </xf>
    <xf numFmtId="176" fontId="26" fillId="0" borderId="10" xfId="9" applyNumberFormat="1" applyFont="1" applyFill="1" applyBorder="1" applyAlignment="1">
      <alignment horizontal="right" vertical="center" wrapText="1"/>
    </xf>
    <xf numFmtId="4" fontId="26" fillId="30" borderId="10" xfId="9" applyNumberFormat="1" applyFont="1" applyFill="1" applyBorder="1" applyAlignment="1">
      <alignment horizontal="right" vertical="center" wrapText="1"/>
    </xf>
    <xf numFmtId="0" fontId="54" fillId="30" borderId="26" xfId="0" applyFont="1" applyFill="1" applyBorder="1" applyAlignment="1">
      <alignment horizontal="right" vertical="center"/>
    </xf>
    <xf numFmtId="167" fontId="26" fillId="30" borderId="10" xfId="9" applyNumberFormat="1" applyFont="1" applyFill="1" applyBorder="1" applyAlignment="1">
      <alignment horizontal="right" vertical="center" wrapText="1"/>
    </xf>
    <xf numFmtId="167" fontId="50" fillId="0" borderId="10" xfId="9" applyNumberFormat="1" applyFont="1" applyFill="1" applyBorder="1" applyAlignment="1">
      <alignment horizontal="center" vertical="center" wrapText="1"/>
    </xf>
    <xf numFmtId="167" fontId="5" fillId="0" borderId="10" xfId="9" applyNumberFormat="1" applyFont="1" applyFill="1" applyBorder="1" applyAlignment="1">
      <alignment horizontal="right" vertical="center" wrapText="1"/>
    </xf>
    <xf numFmtId="173" fontId="5" fillId="0" borderId="10" xfId="9" applyNumberFormat="1" applyFont="1" applyFill="1" applyBorder="1" applyAlignment="1">
      <alignment horizontal="right" vertical="center" wrapText="1"/>
    </xf>
    <xf numFmtId="167" fontId="5" fillId="0" borderId="20" xfId="9" applyNumberFormat="1" applyFont="1" applyFill="1" applyBorder="1" applyAlignment="1">
      <alignment horizontal="center" vertical="center" wrapText="1"/>
    </xf>
    <xf numFmtId="0" fontId="29" fillId="13" borderId="49" xfId="9" applyFont="1" applyFill="1" applyBorder="1" applyAlignment="1">
      <alignment horizontal="center" vertical="center" wrapText="1"/>
    </xf>
    <xf numFmtId="0" fontId="29" fillId="13" borderId="50" xfId="9" applyFont="1" applyFill="1" applyBorder="1" applyAlignment="1">
      <alignment horizontal="center" vertical="center" wrapText="1"/>
    </xf>
    <xf numFmtId="0" fontId="29" fillId="5" borderId="39" xfId="9" applyFont="1" applyFill="1" applyBorder="1" applyAlignment="1">
      <alignment horizontal="center" vertical="center" wrapText="1"/>
    </xf>
    <xf numFmtId="0" fontId="29" fillId="14" borderId="41" xfId="9" applyFont="1" applyFill="1" applyBorder="1" applyAlignment="1">
      <alignment horizontal="center" vertical="center" wrapText="1"/>
    </xf>
    <xf numFmtId="0" fontId="29" fillId="5" borderId="35" xfId="9" applyFont="1" applyFill="1" applyBorder="1" applyAlignment="1">
      <alignment horizontal="center" vertical="center" wrapText="1"/>
    </xf>
    <xf numFmtId="0" fontId="47" fillId="9" borderId="51" xfId="9" applyFont="1" applyFill="1" applyBorder="1" applyAlignment="1">
      <alignment horizontal="center" vertical="center" wrapText="1"/>
    </xf>
    <xf numFmtId="0" fontId="47" fillId="9" borderId="52" xfId="9" applyFont="1" applyFill="1" applyBorder="1" applyAlignment="1">
      <alignment horizontal="center" vertical="center" wrapText="1"/>
    </xf>
    <xf numFmtId="0" fontId="47" fillId="9" borderId="53" xfId="9" applyFont="1" applyFill="1" applyBorder="1" applyAlignment="1">
      <alignment horizontal="center" vertical="center" wrapText="1"/>
    </xf>
    <xf numFmtId="0" fontId="29" fillId="0" borderId="30" xfId="9" applyFont="1" applyFill="1" applyBorder="1" applyAlignment="1">
      <alignment horizontal="center" vertical="center" wrapText="1"/>
    </xf>
    <xf numFmtId="0" fontId="29" fillId="0" borderId="31" xfId="9" applyFont="1" applyFill="1" applyBorder="1" applyAlignment="1">
      <alignment horizontal="center" vertical="center" wrapText="1"/>
    </xf>
    <xf numFmtId="0" fontId="29" fillId="13" borderId="46" xfId="9" applyFont="1" applyFill="1" applyBorder="1" applyAlignment="1">
      <alignment horizontal="center" vertical="center" wrapText="1"/>
    </xf>
    <xf numFmtId="0" fontId="29" fillId="13" borderId="54" xfId="9" applyFont="1" applyFill="1" applyBorder="1" applyAlignment="1">
      <alignment horizontal="center" vertical="center" wrapText="1"/>
    </xf>
    <xf numFmtId="0" fontId="29" fillId="13" borderId="47" xfId="9" applyFont="1" applyFill="1" applyBorder="1" applyAlignment="1">
      <alignment horizontal="center" vertical="center" wrapText="1"/>
    </xf>
    <xf numFmtId="0" fontId="29" fillId="13" borderId="48" xfId="9" applyFont="1" applyFill="1" applyBorder="1" applyAlignment="1">
      <alignment horizontal="center" vertical="center" wrapText="1"/>
    </xf>
    <xf numFmtId="0" fontId="5" fillId="0" borderId="55" xfId="0" applyFont="1" applyFill="1" applyBorder="1" applyAlignment="1">
      <alignment horizontal="center"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57" xfId="0" applyFont="1" applyFill="1" applyBorder="1" applyAlignment="1">
      <alignment horizontal="left" vertical="center" wrapText="1"/>
    </xf>
    <xf numFmtId="0" fontId="0" fillId="0" borderId="54" xfId="0" applyBorder="1"/>
    <xf numFmtId="0" fontId="0" fillId="0" borderId="48" xfId="0" applyBorder="1"/>
    <xf numFmtId="0" fontId="4" fillId="0" borderId="27" xfId="0" applyFont="1" applyFill="1" applyBorder="1" applyAlignment="1">
      <alignment horizontal="center" vertical="top" wrapText="1"/>
    </xf>
    <xf numFmtId="0" fontId="4" fillId="0" borderId="10" xfId="0" applyFont="1" applyFill="1" applyBorder="1" applyAlignment="1">
      <alignment horizontal="center" vertical="top" wrapText="1"/>
    </xf>
    <xf numFmtId="3" fontId="4" fillId="0" borderId="14"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4" fontId="4" fillId="13" borderId="10" xfId="0" applyNumberFormat="1" applyFont="1" applyFill="1" applyBorder="1" applyAlignment="1">
      <alignment horizontal="center" vertical="center" wrapText="1"/>
    </xf>
    <xf numFmtId="4" fontId="4" fillId="13" borderId="12" xfId="0" applyNumberFormat="1"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22" borderId="10"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28" borderId="59" xfId="0" applyFont="1" applyFill="1" applyBorder="1" applyAlignment="1">
      <alignment horizontal="left" vertical="center" wrapText="1"/>
    </xf>
    <xf numFmtId="0" fontId="4" fillId="28" borderId="60" xfId="0" applyFont="1" applyFill="1" applyBorder="1" applyAlignment="1">
      <alignment horizontal="left" vertical="center" wrapText="1"/>
    </xf>
    <xf numFmtId="0" fontId="4" fillId="28" borderId="61" xfId="0" applyFont="1" applyFill="1" applyBorder="1" applyAlignment="1">
      <alignment horizontal="left" vertical="center" wrapText="1"/>
    </xf>
    <xf numFmtId="0" fontId="4" fillId="28" borderId="57" xfId="0" applyFont="1" applyFill="1" applyBorder="1" applyAlignment="1">
      <alignment horizontal="left" vertical="justify" wrapText="1"/>
    </xf>
    <xf numFmtId="0" fontId="4" fillId="28" borderId="54" xfId="0" applyFont="1" applyFill="1" applyBorder="1" applyAlignment="1">
      <alignment horizontal="left" vertical="justify" wrapText="1"/>
    </xf>
    <xf numFmtId="0" fontId="4" fillId="28" borderId="47" xfId="0" applyFont="1" applyFill="1" applyBorder="1" applyAlignment="1">
      <alignment horizontal="left" vertical="justify" wrapText="1"/>
    </xf>
    <xf numFmtId="0" fontId="4" fillId="28" borderId="62" xfId="0" applyFont="1" applyFill="1" applyBorder="1" applyAlignment="1">
      <alignment horizontal="left" vertical="justify" wrapText="1"/>
    </xf>
    <xf numFmtId="0" fontId="4" fillId="28" borderId="25" xfId="0" applyFont="1" applyFill="1" applyBorder="1" applyAlignment="1">
      <alignment horizontal="left" vertical="justify" wrapText="1"/>
    </xf>
    <xf numFmtId="0" fontId="4" fillId="28" borderId="27" xfId="0" applyFont="1" applyFill="1" applyBorder="1" applyAlignment="1">
      <alignment horizontal="left" vertical="justify" wrapText="1"/>
    </xf>
    <xf numFmtId="3" fontId="4" fillId="0" borderId="21" xfId="0" applyNumberFormat="1" applyFont="1" applyFill="1" applyBorder="1" applyAlignment="1">
      <alignment horizontal="right" vertical="center" wrapText="1"/>
    </xf>
    <xf numFmtId="3" fontId="4" fillId="0" borderId="58" xfId="0" applyNumberFormat="1" applyFont="1" applyFill="1" applyBorder="1" applyAlignment="1">
      <alignment horizontal="right" vertical="center" wrapText="1"/>
    </xf>
    <xf numFmtId="3" fontId="4" fillId="0" borderId="43" xfId="0" applyNumberFormat="1" applyFont="1" applyFill="1" applyBorder="1" applyAlignment="1">
      <alignment horizontal="right" vertical="center" wrapText="1"/>
    </xf>
    <xf numFmtId="3" fontId="4" fillId="0" borderId="20" xfId="0" applyNumberFormat="1" applyFont="1" applyFill="1" applyBorder="1" applyAlignment="1">
      <alignment horizontal="right" vertical="center" wrapText="1"/>
    </xf>
    <xf numFmtId="0" fontId="4" fillId="0" borderId="28" xfId="0" applyFont="1" applyFill="1" applyBorder="1" applyAlignment="1">
      <alignment horizontal="right" vertical="center" wrapText="1"/>
    </xf>
    <xf numFmtId="0" fontId="4" fillId="0" borderId="26" xfId="0"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0" fontId="4" fillId="13" borderId="15" xfId="0" applyFont="1" applyFill="1" applyBorder="1" applyAlignment="1">
      <alignment horizontal="center" vertical="center" wrapText="1"/>
    </xf>
    <xf numFmtId="0" fontId="4" fillId="13" borderId="20"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5" fillId="0" borderId="10" xfId="0" applyFont="1" applyFill="1" applyBorder="1"/>
    <xf numFmtId="3" fontId="4" fillId="0" borderId="26"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2"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5" fillId="0" borderId="20" xfId="0" applyFont="1" applyFill="1" applyBorder="1"/>
    <xf numFmtId="0" fontId="4" fillId="0" borderId="19"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10" xfId="0" applyFont="1" applyFill="1" applyBorder="1" applyAlignment="1">
      <alignment horizontal="left" vertical="center" wrapText="1"/>
    </xf>
    <xf numFmtId="0" fontId="5" fillId="0" borderId="12" xfId="0" applyFont="1" applyBorder="1"/>
    <xf numFmtId="0" fontId="4" fillId="13"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33" xfId="0" applyFont="1" applyFill="1" applyBorder="1" applyAlignment="1">
      <alignment horizontal="center" vertical="top" wrapText="1"/>
    </xf>
    <xf numFmtId="0" fontId="4" fillId="13" borderId="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4" fillId="13" borderId="17" xfId="0" applyFont="1" applyFill="1" applyBorder="1" applyAlignment="1">
      <alignment horizontal="center" vertical="center" wrapText="1"/>
    </xf>
    <xf numFmtId="4" fontId="4" fillId="13" borderId="7" xfId="0" applyNumberFormat="1" applyFont="1" applyFill="1" applyBorder="1" applyAlignment="1">
      <alignment horizontal="center" vertical="center" wrapText="1"/>
    </xf>
    <xf numFmtId="4" fontId="4" fillId="13" borderId="14" xfId="0" applyNumberFormat="1"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22" borderId="7"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22" borderId="20" xfId="0" applyFont="1" applyFill="1" applyBorder="1" applyAlignment="1">
      <alignment horizontal="center" vertical="center" wrapText="1"/>
    </xf>
    <xf numFmtId="0" fontId="4" fillId="22" borderId="26" xfId="0" applyFont="1" applyFill="1" applyBorder="1" applyAlignment="1">
      <alignment horizontal="center" vertical="center" wrapText="1"/>
    </xf>
    <xf numFmtId="0" fontId="4" fillId="0" borderId="50" xfId="0" applyFont="1" applyFill="1" applyBorder="1" applyAlignment="1">
      <alignment horizontal="center" vertical="top" wrapText="1"/>
    </xf>
    <xf numFmtId="0" fontId="4" fillId="0" borderId="63"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3" fontId="4" fillId="0" borderId="18" xfId="0" applyNumberFormat="1" applyFont="1" applyFill="1" applyBorder="1" applyAlignment="1">
      <alignment horizontal="left" vertical="center" wrapText="1"/>
    </xf>
    <xf numFmtId="3" fontId="4" fillId="0" borderId="25" xfId="0" applyNumberFormat="1" applyFont="1" applyFill="1" applyBorder="1" applyAlignment="1">
      <alignment horizontal="left" vertical="center" wrapText="1"/>
    </xf>
    <xf numFmtId="3" fontId="4" fillId="0" borderId="27" xfId="0" applyNumberFormat="1" applyFont="1" applyFill="1" applyBorder="1" applyAlignment="1">
      <alignment horizontal="left" vertical="center" wrapText="1"/>
    </xf>
    <xf numFmtId="0" fontId="4" fillId="0" borderId="35" xfId="0" applyFont="1" applyFill="1" applyBorder="1" applyAlignment="1">
      <alignment horizontal="center" vertical="top" wrapText="1"/>
    </xf>
    <xf numFmtId="0" fontId="4" fillId="13" borderId="19" xfId="0" applyFont="1" applyFill="1" applyBorder="1" applyAlignment="1">
      <alignment horizontal="center" vertical="center" wrapText="1"/>
    </xf>
    <xf numFmtId="0" fontId="4" fillId="13" borderId="33" xfId="0" applyFont="1" applyFill="1" applyBorder="1" applyAlignment="1">
      <alignment horizontal="center" vertical="center" wrapText="1"/>
    </xf>
    <xf numFmtId="0" fontId="21" fillId="0" borderId="0" xfId="9" applyFont="1" applyBorder="1" applyAlignment="1" applyProtection="1">
      <alignment horizontal="center"/>
    </xf>
    <xf numFmtId="0" fontId="21" fillId="0" borderId="31" xfId="9" applyFont="1" applyBorder="1" applyAlignment="1" applyProtection="1">
      <alignment horizontal="center"/>
    </xf>
    <xf numFmtId="0" fontId="21" fillId="32" borderId="0" xfId="9" applyFont="1" applyFill="1" applyBorder="1" applyAlignment="1">
      <alignment horizontal="center" vertical="center"/>
    </xf>
    <xf numFmtId="0" fontId="21" fillId="0" borderId="8" xfId="9" applyFont="1" applyBorder="1" applyAlignment="1" applyProtection="1">
      <alignment horizontal="center" vertical="center"/>
    </xf>
    <xf numFmtId="0" fontId="21" fillId="0" borderId="55" xfId="9" applyFont="1" applyBorder="1" applyAlignment="1" applyProtection="1">
      <alignment horizontal="center" vertical="center"/>
    </xf>
    <xf numFmtId="0" fontId="21" fillId="0" borderId="56" xfId="9" applyFont="1" applyBorder="1" applyAlignment="1" applyProtection="1">
      <alignment horizontal="center" vertical="center"/>
    </xf>
    <xf numFmtId="0" fontId="21" fillId="0" borderId="9" xfId="9" applyFont="1" applyBorder="1" applyAlignment="1" applyProtection="1">
      <alignment horizontal="center" vertical="center"/>
    </xf>
    <xf numFmtId="0" fontId="21" fillId="0" borderId="0" xfId="9" applyFont="1" applyBorder="1" applyAlignment="1" applyProtection="1">
      <alignment horizontal="center" vertical="center"/>
    </xf>
    <xf numFmtId="0" fontId="21" fillId="0" borderId="13" xfId="9" applyFont="1" applyBorder="1" applyAlignment="1" applyProtection="1">
      <alignment horizontal="center" vertical="center"/>
    </xf>
    <xf numFmtId="0" fontId="1" fillId="0" borderId="0" xfId="11" applyBorder="1" applyAlignment="1" applyProtection="1">
      <alignment horizontal="center" vertical="center"/>
    </xf>
    <xf numFmtId="0" fontId="1" fillId="0" borderId="31" xfId="11" applyBorder="1" applyAlignment="1" applyProtection="1">
      <alignment horizontal="center" vertical="center"/>
    </xf>
    <xf numFmtId="0" fontId="1" fillId="0" borderId="32" xfId="11" applyBorder="1" applyAlignment="1" applyProtection="1">
      <alignment horizontal="center" vertical="center"/>
    </xf>
    <xf numFmtId="0" fontId="14" fillId="0" borderId="9" xfId="11" applyFont="1" applyBorder="1" applyAlignment="1" applyProtection="1">
      <alignment horizontal="center" vertical="center" wrapText="1"/>
    </xf>
    <xf numFmtId="0" fontId="14" fillId="0" borderId="6" xfId="11" applyFont="1" applyBorder="1" applyAlignment="1" applyProtection="1">
      <alignment horizontal="center" vertical="center" wrapText="1"/>
    </xf>
    <xf numFmtId="0" fontId="14" fillId="0" borderId="7" xfId="11" applyFont="1" applyBorder="1" applyAlignment="1" applyProtection="1">
      <alignment horizontal="center" vertical="center" wrapText="1"/>
    </xf>
    <xf numFmtId="0" fontId="14" fillId="0" borderId="14" xfId="11" applyFont="1" applyBorder="1" applyAlignment="1" applyProtection="1">
      <alignment horizontal="center" vertical="center" wrapText="1"/>
    </xf>
    <xf numFmtId="0" fontId="25" fillId="13" borderId="15" xfId="0" applyFont="1" applyFill="1" applyBorder="1" applyAlignment="1">
      <alignment horizontal="left" vertical="center" wrapText="1"/>
    </xf>
    <xf numFmtId="0" fontId="25" fillId="13" borderId="10" xfId="0" applyFont="1" applyFill="1" applyBorder="1" applyAlignment="1">
      <alignment horizontal="left" vertical="center" wrapText="1"/>
    </xf>
    <xf numFmtId="0" fontId="25" fillId="13" borderId="12"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166" fontId="25" fillId="13" borderId="15" xfId="3" applyNumberFormat="1" applyFont="1" applyFill="1" applyBorder="1" applyAlignment="1">
      <alignment horizontal="left" vertical="center" wrapText="1"/>
    </xf>
    <xf numFmtId="166" fontId="25" fillId="13" borderId="10" xfId="3" applyNumberFormat="1" applyFont="1" applyFill="1" applyBorder="1" applyAlignment="1">
      <alignment horizontal="left" vertical="center" wrapText="1"/>
    </xf>
    <xf numFmtId="166" fontId="25" fillId="13" borderId="12" xfId="3" applyNumberFormat="1" applyFont="1" applyFill="1" applyBorder="1" applyAlignment="1">
      <alignment horizontal="left" vertical="center" wrapText="1"/>
    </xf>
    <xf numFmtId="0" fontId="21" fillId="0" borderId="0" xfId="0" applyFont="1" applyBorder="1" applyAlignment="1" applyProtection="1">
      <alignment horizontal="center"/>
    </xf>
    <xf numFmtId="0" fontId="21" fillId="0" borderId="0" xfId="0" applyFont="1" applyBorder="1" applyAlignment="1" applyProtection="1">
      <alignment horizontal="left"/>
    </xf>
    <xf numFmtId="0" fontId="14" fillId="0" borderId="6"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14" xfId="0" applyFont="1" applyBorder="1" applyAlignment="1" applyProtection="1">
      <alignment horizontal="center" vertical="center"/>
    </xf>
    <xf numFmtId="0" fontId="10" fillId="2" borderId="8" xfId="0" applyFont="1" applyFill="1" applyBorder="1" applyAlignment="1">
      <alignment horizontal="center" wrapText="1"/>
    </xf>
    <xf numFmtId="0" fontId="10" fillId="2" borderId="64" xfId="0" applyFont="1" applyFill="1" applyBorder="1" applyAlignment="1">
      <alignment horizontal="center" wrapText="1"/>
    </xf>
    <xf numFmtId="0" fontId="10" fillId="2" borderId="30" xfId="0" applyFont="1" applyFill="1" applyBorder="1" applyAlignment="1">
      <alignment horizontal="center" wrapText="1"/>
    </xf>
    <xf numFmtId="0" fontId="10" fillId="2" borderId="2" xfId="0" applyFont="1" applyFill="1" applyBorder="1" applyAlignment="1">
      <alignment horizontal="center" wrapText="1"/>
    </xf>
    <xf numFmtId="0" fontId="10" fillId="0" borderId="31" xfId="0" applyFont="1" applyBorder="1" applyAlignment="1">
      <alignment horizont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67"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wrapText="1"/>
    </xf>
  </cellXfs>
  <cellStyles count="13">
    <cellStyle name="Euro" xfId="1"/>
    <cellStyle name="Millares" xfId="2" builtinId="3"/>
    <cellStyle name="Millares 2" xfId="3"/>
    <cellStyle name="Millares 3" xfId="4"/>
    <cellStyle name="Millares 4" xfId="5"/>
    <cellStyle name="Millares 5" xfId="6"/>
    <cellStyle name="Millares 6" xfId="12"/>
    <cellStyle name="Moneda 2" xfId="7"/>
    <cellStyle name="Normal" xfId="0" builtinId="0"/>
    <cellStyle name="Normal 2" xfId="8"/>
    <cellStyle name="Normal 2 2" xfId="9"/>
    <cellStyle name="Normal 3" xfId="11"/>
    <cellStyle name="Porcentaje"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42548"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1524000</xdr:colOff>
      <xdr:row>0</xdr:row>
      <xdr:rowOff>523875</xdr:rowOff>
    </xdr:from>
    <xdr:to>
      <xdr:col>8</xdr:col>
      <xdr:colOff>407025</xdr:colOff>
      <xdr:row>0</xdr:row>
      <xdr:rowOff>1332582</xdr:rowOff>
    </xdr:to>
    <xdr:sp macro="" textlink="">
      <xdr:nvSpPr>
        <xdr:cNvPr id="2" name="3 CuadroTexto"/>
        <xdr:cNvSpPr txBox="1"/>
      </xdr:nvSpPr>
      <xdr:spPr bwMode="auto">
        <a:xfrm>
          <a:off x="2133600" y="523875"/>
          <a:ext cx="7941300" cy="808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114300</xdr:rowOff>
    </xdr:from>
    <xdr:to>
      <xdr:col>1</xdr:col>
      <xdr:colOff>793441</xdr:colOff>
      <xdr:row>1</xdr:row>
      <xdr:rowOff>114300</xdr:rowOff>
    </xdr:to>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114300"/>
          <a:ext cx="1403041" cy="1657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1403041</xdr:colOff>
      <xdr:row>1</xdr:row>
      <xdr:rowOff>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403041" cy="1657350"/>
        </a:xfrm>
        <a:prstGeom prst="rect">
          <a:avLst/>
        </a:prstGeom>
        <a:noFill/>
        <a:ln w="9525">
          <a:noFill/>
          <a:miter lim="800000"/>
          <a:headEnd/>
          <a:tailEnd/>
        </a:ln>
      </xdr:spPr>
    </xdr:pic>
    <xdr:clientData/>
  </xdr:twoCellAnchor>
  <xdr:twoCellAnchor>
    <xdr:from>
      <xdr:col>1</xdr:col>
      <xdr:colOff>866775</xdr:colOff>
      <xdr:row>0</xdr:row>
      <xdr:rowOff>381000</xdr:rowOff>
    </xdr:from>
    <xdr:to>
      <xdr:col>10</xdr:col>
      <xdr:colOff>445125</xdr:colOff>
      <xdr:row>0</xdr:row>
      <xdr:rowOff>1189707</xdr:rowOff>
    </xdr:to>
    <xdr:sp macro="" textlink="">
      <xdr:nvSpPr>
        <xdr:cNvPr id="3" name="3 CuadroTexto"/>
        <xdr:cNvSpPr txBox="1"/>
      </xdr:nvSpPr>
      <xdr:spPr bwMode="auto">
        <a:xfrm>
          <a:off x="3933825" y="381000"/>
          <a:ext cx="7941300" cy="808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385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1</xdr:col>
      <xdr:colOff>552450</xdr:colOff>
      <xdr:row>3</xdr:row>
      <xdr:rowOff>114300</xdr:rowOff>
    </xdr:to>
    <xdr:pic>
      <xdr:nvPicPr>
        <xdr:cNvPr id="43543"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38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44567"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ISNEY\POAI%202017\ENERO%202017\POAI%202017%20CAM%20PUBLICADO%2030%20ENERO%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ilva\Downloads\PROYECTO%20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dussan\Downloads\Formatos%20Informe%20Gesti&#243;n%20SINA%202017%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1.1"/>
      <sheetName val="PROYECTO 1.2"/>
      <sheetName val="PROYECTO 1.3"/>
      <sheetName val="PROYECTO 2.1 "/>
      <sheetName val="PROYECTO 2.2"/>
      <sheetName val="PROYECTO 3.1"/>
      <sheetName val="PROYECTO 3.2"/>
      <sheetName val="PROYECTO 4.1"/>
      <sheetName val="PROYECTO 5.1"/>
      <sheetName val="PROYECTO 5.2"/>
      <sheetName val="PROYECTO 6.1"/>
      <sheetName val="PROYECTO 6.2"/>
      <sheetName val="FUENTES Y USOS"/>
    </sheetNames>
    <sheetDataSet>
      <sheetData sheetId="0" refreshError="1">
        <row r="8">
          <cell r="E8">
            <v>100000000</v>
          </cell>
        </row>
      </sheetData>
      <sheetData sheetId="1" refreshError="1"/>
      <sheetData sheetId="2" refreshError="1"/>
      <sheetData sheetId="3" refreshError="1">
        <row r="9">
          <cell r="E9">
            <v>195000000</v>
          </cell>
        </row>
        <row r="28">
          <cell r="E28">
            <v>8032000</v>
          </cell>
        </row>
        <row r="29">
          <cell r="E29">
            <v>1506000</v>
          </cell>
        </row>
        <row r="30">
          <cell r="E30">
            <v>1506000</v>
          </cell>
        </row>
        <row r="31">
          <cell r="E31">
            <v>12650400</v>
          </cell>
        </row>
      </sheetData>
      <sheetData sheetId="4" refreshError="1">
        <row r="9">
          <cell r="E9">
            <v>75300000</v>
          </cell>
        </row>
        <row r="23">
          <cell r="E23">
            <v>1506000</v>
          </cell>
        </row>
        <row r="24">
          <cell r="E24">
            <v>1506000</v>
          </cell>
        </row>
        <row r="25">
          <cell r="E25">
            <v>12048000</v>
          </cell>
        </row>
        <row r="26">
          <cell r="E26">
            <v>13554000</v>
          </cell>
        </row>
      </sheetData>
      <sheetData sheetId="5" refreshError="1">
        <row r="8">
          <cell r="E8">
            <v>28112000</v>
          </cell>
        </row>
        <row r="29">
          <cell r="E29">
            <v>8000000</v>
          </cell>
        </row>
        <row r="30">
          <cell r="E30">
            <v>8000000</v>
          </cell>
        </row>
        <row r="31">
          <cell r="E31">
            <v>1000000</v>
          </cell>
        </row>
        <row r="32">
          <cell r="E32">
            <v>1120000</v>
          </cell>
        </row>
      </sheetData>
      <sheetData sheetId="6" refreshError="1"/>
      <sheetData sheetId="7" refreshError="1">
        <row r="11">
          <cell r="E11">
            <v>792253671.62575054</v>
          </cell>
        </row>
        <row r="15">
          <cell r="E15">
            <v>34877830.5</v>
          </cell>
        </row>
        <row r="16">
          <cell r="E16">
            <v>40133394</v>
          </cell>
        </row>
        <row r="29">
          <cell r="E29">
            <v>33000000</v>
          </cell>
        </row>
        <row r="31">
          <cell r="E31">
            <v>33000000</v>
          </cell>
        </row>
      </sheetData>
      <sheetData sheetId="8" refreshError="1">
        <row r="8">
          <cell r="E8">
            <v>30800000</v>
          </cell>
        </row>
        <row r="9">
          <cell r="E9">
            <v>30800000</v>
          </cell>
        </row>
        <row r="10">
          <cell r="E10">
            <v>47500000</v>
          </cell>
        </row>
        <row r="12">
          <cell r="E12">
            <v>47500000</v>
          </cell>
        </row>
        <row r="13">
          <cell r="E13">
            <v>120000000</v>
          </cell>
        </row>
        <row r="16">
          <cell r="E16">
            <v>50000000</v>
          </cell>
        </row>
        <row r="18">
          <cell r="E18">
            <v>30000000</v>
          </cell>
        </row>
        <row r="19">
          <cell r="E19">
            <v>3400000</v>
          </cell>
        </row>
        <row r="20">
          <cell r="E20">
            <v>10000000</v>
          </cell>
        </row>
      </sheetData>
      <sheetData sheetId="9" refreshError="1">
        <row r="8">
          <cell r="E8">
            <v>500000000</v>
          </cell>
        </row>
        <row r="10">
          <cell r="E10">
            <v>200000000</v>
          </cell>
        </row>
      </sheetData>
      <sheetData sheetId="10" refreshError="1">
        <row r="8">
          <cell r="E8">
            <v>25401200</v>
          </cell>
        </row>
        <row r="44">
          <cell r="E44">
            <v>4809201</v>
          </cell>
        </row>
        <row r="45">
          <cell r="E45">
            <v>1506000</v>
          </cell>
        </row>
        <row r="46">
          <cell r="E46">
            <v>2008000</v>
          </cell>
        </row>
      </sheetData>
      <sheetData sheetId="11" refreshError="1">
        <row r="14">
          <cell r="E14">
            <v>260000000</v>
          </cell>
        </row>
        <row r="15">
          <cell r="E15">
            <v>100000000</v>
          </cell>
        </row>
        <row r="17">
          <cell r="E17">
            <v>377109600</v>
          </cell>
        </row>
        <row r="27">
          <cell r="E27">
            <v>6000000</v>
          </cell>
        </row>
        <row r="28">
          <cell r="E28">
            <v>8000000</v>
          </cell>
        </row>
        <row r="29">
          <cell r="E29">
            <v>2000000</v>
          </cell>
        </row>
        <row r="30">
          <cell r="E30">
            <v>527600</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EJECUTADA "/>
      <sheetName val="EJECUCION FINANCIERA"/>
    </sheetNames>
    <sheetDataSet>
      <sheetData sheetId="0" refreshError="1"/>
      <sheetData sheetId="1" refreshError="1">
        <row r="18">
          <cell r="I18">
            <v>1239855020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Anexo 2 Protocolo Inf Gestión"/>
      <sheetName val="Anexo 3 Matriz IMG"/>
      <sheetName val="Anexo 5-1 Ingresos"/>
      <sheetName val="Anexo 5-2 Gastos"/>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v>0</v>
          </cell>
        </row>
        <row r="6">
          <cell r="C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10252508269.200001</v>
          </cell>
        </row>
        <row r="28">
          <cell r="F28">
            <v>333711102</v>
          </cell>
          <cell r="G28">
            <v>194092408.19999999</v>
          </cell>
        </row>
        <row r="29">
          <cell r="F29">
            <v>6488128161</v>
          </cell>
          <cell r="G29">
            <v>6488128161</v>
          </cell>
        </row>
        <row r="30">
          <cell r="F30">
            <v>2656143157</v>
          </cell>
          <cell r="G30">
            <v>3570287700</v>
          </cell>
        </row>
        <row r="36">
          <cell r="G36">
            <v>682759171</v>
          </cell>
        </row>
        <row r="37">
          <cell r="F37">
            <v>31033711871</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
      <sheetName val="INVERSION"/>
    </sheetNames>
    <sheetDataSet>
      <sheetData sheetId="0" refreshError="1">
        <row r="49">
          <cell r="I49">
            <v>1740302000</v>
          </cell>
        </row>
      </sheetData>
      <sheetData sheetId="1" refreshError="1">
        <row r="39">
          <cell r="H39">
            <v>1540000000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3"/>
  <sheetViews>
    <sheetView zoomScale="60" zoomScaleNormal="60" workbookViewId="0">
      <pane xSplit="2" ySplit="6" topLeftCell="K11" activePane="bottomRight" state="frozen"/>
      <selection pane="topRight" activeCell="C1" sqref="C1"/>
      <selection pane="bottomLeft" activeCell="A7" sqref="A7"/>
      <selection pane="bottomRight" activeCell="O8" sqref="O8:O9"/>
    </sheetView>
  </sheetViews>
  <sheetFormatPr baseColWidth="10" defaultRowHeight="15"/>
  <cols>
    <col min="1" max="1" width="62.7109375" style="64" customWidth="1"/>
    <col min="2" max="2" width="13.85546875" style="64" customWidth="1"/>
    <col min="3" max="3" width="22.28515625" style="64" customWidth="1"/>
    <col min="4" max="4" width="17.42578125" style="64" customWidth="1"/>
    <col min="5" max="5" width="28" style="69" customWidth="1"/>
    <col min="6" max="6" width="30.5703125" style="64" customWidth="1"/>
    <col min="7" max="7" width="25.28515625" style="70" customWidth="1"/>
    <col min="8" max="8" width="22.85546875" style="64" customWidth="1"/>
    <col min="9" max="9" width="34" style="64" customWidth="1"/>
    <col min="10" max="10" width="20.28515625" style="423" customWidth="1"/>
    <col min="11" max="11" width="34.5703125" style="65" customWidth="1"/>
    <col min="12" max="12" width="14.140625" style="64" customWidth="1"/>
    <col min="13" max="13" width="38.7109375" style="64" customWidth="1"/>
    <col min="14" max="14" width="11.85546875" style="64" customWidth="1"/>
    <col min="15" max="15" width="19" style="64" customWidth="1"/>
    <col min="16" max="16" width="18.85546875" style="64" customWidth="1"/>
    <col min="17" max="17" width="32.7109375" style="64" customWidth="1"/>
    <col min="18" max="18" width="20" style="68" customWidth="1"/>
    <col min="19" max="19" width="29.140625" style="68" customWidth="1"/>
    <col min="20" max="20" width="13.5703125" style="64" customWidth="1"/>
    <col min="21" max="21" width="32" style="67" customWidth="1"/>
    <col min="22" max="22" width="16.28515625" style="267" customWidth="1"/>
    <col min="23" max="23" width="23.85546875" style="68" customWidth="1"/>
    <col min="24" max="24" width="34.85546875" style="618" customWidth="1"/>
    <col min="25" max="25" width="19.140625" style="618" customWidth="1"/>
    <col min="26" max="26" width="20.42578125" style="618" customWidth="1"/>
    <col min="27" max="27" width="14.85546875" style="64" bestFit="1" customWidth="1"/>
    <col min="28" max="29" width="11.42578125" style="64"/>
    <col min="30" max="30" width="16.42578125" style="64" customWidth="1"/>
    <col min="31" max="16384" width="11.42578125" style="64"/>
  </cols>
  <sheetData>
    <row r="1" spans="1:30" s="282" customFormat="1" ht="54" customHeight="1" thickBot="1">
      <c r="A1" s="770" t="s">
        <v>531</v>
      </c>
      <c r="B1" s="771"/>
      <c r="C1" s="771"/>
      <c r="D1" s="771"/>
      <c r="E1" s="771"/>
      <c r="F1" s="771"/>
      <c r="G1" s="771"/>
      <c r="H1" s="771"/>
      <c r="I1" s="771"/>
      <c r="J1" s="771"/>
      <c r="K1" s="771"/>
      <c r="L1" s="771"/>
      <c r="M1" s="771"/>
      <c r="N1" s="771"/>
      <c r="O1" s="771"/>
      <c r="P1" s="771"/>
      <c r="Q1" s="771"/>
      <c r="R1" s="771"/>
      <c r="S1" s="771"/>
      <c r="T1" s="771"/>
      <c r="U1" s="771"/>
      <c r="V1" s="771"/>
      <c r="W1" s="772"/>
      <c r="X1" s="617"/>
      <c r="Y1" s="617"/>
      <c r="Z1" s="617"/>
    </row>
    <row r="2" spans="1:30" s="63" customFormat="1" ht="11.25" customHeight="1" thickBot="1">
      <c r="A2" s="773"/>
      <c r="B2" s="774"/>
      <c r="C2" s="774"/>
      <c r="D2" s="774"/>
      <c r="E2" s="774"/>
      <c r="F2" s="774"/>
      <c r="G2" s="774"/>
      <c r="H2" s="774"/>
      <c r="I2" s="774"/>
      <c r="J2" s="774"/>
      <c r="K2" s="774"/>
      <c r="L2" s="774"/>
      <c r="M2" s="774"/>
      <c r="N2" s="774"/>
      <c r="O2" s="774"/>
      <c r="P2" s="774"/>
      <c r="Q2" s="774"/>
      <c r="R2" s="774"/>
      <c r="S2" s="774"/>
      <c r="T2" s="774"/>
      <c r="U2" s="774"/>
      <c r="V2" s="263"/>
      <c r="W2" s="209"/>
      <c r="X2" s="617"/>
      <c r="Y2" s="617"/>
      <c r="Z2" s="617"/>
    </row>
    <row r="3" spans="1:30" ht="50.25" customHeight="1">
      <c r="A3" s="765" t="s">
        <v>403</v>
      </c>
      <c r="B3" s="318" t="s">
        <v>184</v>
      </c>
      <c r="C3" s="775" t="s">
        <v>501</v>
      </c>
      <c r="D3" s="776"/>
      <c r="E3" s="777"/>
      <c r="F3" s="775" t="s">
        <v>359</v>
      </c>
      <c r="G3" s="777"/>
      <c r="H3" s="775" t="s">
        <v>360</v>
      </c>
      <c r="I3" s="777"/>
      <c r="J3" s="775" t="s">
        <v>361</v>
      </c>
      <c r="K3" s="777"/>
      <c r="L3" s="775" t="s">
        <v>362</v>
      </c>
      <c r="M3" s="777"/>
      <c r="N3" s="775" t="s">
        <v>363</v>
      </c>
      <c r="O3" s="777"/>
      <c r="P3" s="775" t="s">
        <v>364</v>
      </c>
      <c r="Q3" s="777"/>
      <c r="R3" s="775" t="s">
        <v>365</v>
      </c>
      <c r="S3" s="777"/>
      <c r="T3" s="775" t="s">
        <v>366</v>
      </c>
      <c r="U3" s="777"/>
      <c r="V3" s="775" t="s">
        <v>367</v>
      </c>
      <c r="W3" s="778"/>
    </row>
    <row r="4" spans="1:30" s="65" customFormat="1" ht="54.75" customHeight="1" thickBot="1">
      <c r="A4" s="766"/>
      <c r="B4" s="319"/>
      <c r="C4" s="210" t="s">
        <v>96</v>
      </c>
      <c r="D4" s="296" t="s">
        <v>185</v>
      </c>
      <c r="E4" s="297" t="s">
        <v>186</v>
      </c>
      <c r="F4" s="296" t="s">
        <v>187</v>
      </c>
      <c r="G4" s="297" t="s">
        <v>186</v>
      </c>
      <c r="H4" s="210" t="s">
        <v>185</v>
      </c>
      <c r="I4" s="210" t="s">
        <v>186</v>
      </c>
      <c r="J4" s="427" t="s">
        <v>187</v>
      </c>
      <c r="K4" s="210" t="s">
        <v>186</v>
      </c>
      <c r="L4" s="210"/>
      <c r="M4" s="210" t="s">
        <v>186</v>
      </c>
      <c r="N4" s="210" t="s">
        <v>187</v>
      </c>
      <c r="O4" s="210" t="s">
        <v>186</v>
      </c>
      <c r="P4" s="210" t="s">
        <v>187</v>
      </c>
      <c r="Q4" s="210" t="s">
        <v>186</v>
      </c>
      <c r="R4" s="210" t="s">
        <v>187</v>
      </c>
      <c r="S4" s="210" t="s">
        <v>186</v>
      </c>
      <c r="T4" s="210" t="s">
        <v>187</v>
      </c>
      <c r="U4" s="258" t="s">
        <v>186</v>
      </c>
      <c r="V4" s="264" t="s">
        <v>187</v>
      </c>
      <c r="W4" s="260" t="s">
        <v>186</v>
      </c>
      <c r="X4" s="619"/>
      <c r="Y4" s="619"/>
      <c r="Z4" s="619"/>
    </row>
    <row r="5" spans="1:30" ht="53.25" customHeight="1" thickBot="1">
      <c r="A5" s="355" t="s">
        <v>356</v>
      </c>
      <c r="B5" s="366"/>
      <c r="C5" s="366"/>
      <c r="D5" s="366"/>
      <c r="E5" s="367">
        <f>+E6+E19+E30</f>
        <v>43725531516.794991</v>
      </c>
      <c r="F5" s="366"/>
      <c r="G5" s="368">
        <f>+G6+G19+G30</f>
        <v>20441121845</v>
      </c>
      <c r="H5" s="366"/>
      <c r="I5" s="368">
        <f>+I6+I19+I30</f>
        <v>14764257775</v>
      </c>
      <c r="J5" s="405"/>
      <c r="K5" s="369">
        <f>+K6+K19+K30</f>
        <v>14440329809</v>
      </c>
      <c r="L5" s="368"/>
      <c r="M5" s="368">
        <f>+M6+M19+M30</f>
        <v>14139144351.459999</v>
      </c>
      <c r="N5" s="368">
        <f t="shared" ref="N5:U5" si="0">+N6+N19+N30</f>
        <v>0</v>
      </c>
      <c r="O5" s="368">
        <f t="shared" si="0"/>
        <v>6000792036</v>
      </c>
      <c r="P5" s="368">
        <f t="shared" si="0"/>
        <v>0</v>
      </c>
      <c r="Q5" s="368">
        <f>+Q6+Q19+Q30</f>
        <v>7231262500.71</v>
      </c>
      <c r="R5" s="368">
        <f t="shared" si="0"/>
        <v>0</v>
      </c>
      <c r="S5" s="368">
        <f t="shared" si="0"/>
        <v>0</v>
      </c>
      <c r="T5" s="368">
        <f t="shared" si="0"/>
        <v>0</v>
      </c>
      <c r="U5" s="368">
        <f t="shared" si="0"/>
        <v>7590866889.625</v>
      </c>
      <c r="V5" s="368"/>
      <c r="W5" s="370">
        <f>+W6+W19+W30</f>
        <v>0</v>
      </c>
      <c r="X5" s="626"/>
    </row>
    <row r="6" spans="1:30" ht="81.75" customHeight="1">
      <c r="A6" s="345" t="s">
        <v>524</v>
      </c>
      <c r="B6" s="218"/>
      <c r="C6" s="362"/>
      <c r="D6" s="363"/>
      <c r="E6" s="364">
        <f>SUM(E7:E18)</f>
        <v>11094903992.424999</v>
      </c>
      <c r="F6" s="364"/>
      <c r="G6" s="443">
        <f>SUM(G7:G18)</f>
        <v>6079492966</v>
      </c>
      <c r="H6" s="364"/>
      <c r="I6" s="364">
        <f>SUM(I7:I18)</f>
        <v>5001933067</v>
      </c>
      <c r="J6" s="426"/>
      <c r="K6" s="431">
        <f>SUM(K8:K18)</f>
        <v>4770303616</v>
      </c>
      <c r="L6" s="365"/>
      <c r="M6" s="614">
        <f>SUM(M7:M18)+1</f>
        <v>2714691754</v>
      </c>
      <c r="N6" s="627"/>
      <c r="O6" s="364">
        <f>SUM(O7:O18)</f>
        <v>1309189350</v>
      </c>
      <c r="P6" s="364"/>
      <c r="Q6" s="364">
        <f>SUM(Q7:Q18)</f>
        <v>1653341144.55</v>
      </c>
      <c r="R6" s="364"/>
      <c r="S6" s="364">
        <f>SUM(S7:S18)</f>
        <v>0</v>
      </c>
      <c r="T6" s="364"/>
      <c r="U6" s="364">
        <f>SUM(U7:U18)</f>
        <v>1724938027.875</v>
      </c>
      <c r="V6" s="266"/>
      <c r="W6" s="371">
        <f>SUM(W7:W18)</f>
        <v>0</v>
      </c>
      <c r="X6" s="620"/>
      <c r="AD6" s="66"/>
    </row>
    <row r="7" spans="1:30" ht="81.75" customHeight="1">
      <c r="A7" s="283" t="s">
        <v>373</v>
      </c>
      <c r="B7" s="250" t="s">
        <v>190</v>
      </c>
      <c r="C7" s="217" t="s">
        <v>413</v>
      </c>
      <c r="D7" s="353">
        <v>100</v>
      </c>
      <c r="E7" s="338">
        <v>0</v>
      </c>
      <c r="F7" s="338">
        <f>AVERAGE(J7,N7,R7,V7)</f>
        <v>21.25</v>
      </c>
      <c r="G7" s="64"/>
      <c r="H7" s="304">
        <v>60</v>
      </c>
      <c r="J7" s="406">
        <v>60</v>
      </c>
      <c r="L7" s="309">
        <v>100</v>
      </c>
      <c r="M7" s="642">
        <v>0</v>
      </c>
      <c r="N7" s="759">
        <v>25</v>
      </c>
      <c r="O7" s="74">
        <v>0</v>
      </c>
      <c r="P7" s="307">
        <v>0</v>
      </c>
      <c r="Q7" s="74">
        <v>0</v>
      </c>
      <c r="R7" s="74">
        <v>0</v>
      </c>
      <c r="S7" s="74">
        <v>0</v>
      </c>
      <c r="T7" s="317">
        <v>0</v>
      </c>
      <c r="U7" s="74">
        <v>0</v>
      </c>
      <c r="V7" s="270">
        <v>0</v>
      </c>
      <c r="W7" s="261">
        <v>0</v>
      </c>
      <c r="X7" s="620"/>
      <c r="AD7" s="66"/>
    </row>
    <row r="8" spans="1:30" ht="81.75" customHeight="1">
      <c r="A8" s="372" t="s">
        <v>377</v>
      </c>
      <c r="B8" s="216" t="s">
        <v>190</v>
      </c>
      <c r="C8" s="75" t="s">
        <v>128</v>
      </c>
      <c r="D8" s="248">
        <v>5</v>
      </c>
      <c r="E8" s="74">
        <f>+I8+M8+Q8+U8</f>
        <v>956901995</v>
      </c>
      <c r="F8" s="74">
        <f>AVERAGE(J8,N8,R8,V8)</f>
        <v>1.0625</v>
      </c>
      <c r="G8" s="74">
        <f>+K8+O8+S8+W8</f>
        <v>685232289</v>
      </c>
      <c r="H8" s="304">
        <v>3</v>
      </c>
      <c r="I8" s="354">
        <v>651901995</v>
      </c>
      <c r="J8" s="407">
        <v>3</v>
      </c>
      <c r="K8" s="428">
        <v>585239009</v>
      </c>
      <c r="L8" s="311">
        <v>5</v>
      </c>
      <c r="M8" s="643">
        <f>+'[1]PROYECTO 1.1'!$E$8</f>
        <v>100000000</v>
      </c>
      <c r="N8" s="758">
        <v>1.25</v>
      </c>
      <c r="O8" s="74">
        <v>99993280</v>
      </c>
      <c r="P8" s="307">
        <v>0</v>
      </c>
      <c r="Q8" s="74">
        <v>105000000</v>
      </c>
      <c r="R8" s="74">
        <v>0</v>
      </c>
      <c r="S8" s="74">
        <v>0</v>
      </c>
      <c r="T8" s="317">
        <v>0</v>
      </c>
      <c r="U8" s="74">
        <v>100000000</v>
      </c>
      <c r="V8" s="270">
        <v>0</v>
      </c>
      <c r="W8" s="261">
        <v>0</v>
      </c>
      <c r="X8" s="620"/>
      <c r="Z8" s="632">
        <f>1/50*100</f>
        <v>2</v>
      </c>
      <c r="AD8" s="66"/>
    </row>
    <row r="9" spans="1:30" ht="81.75" customHeight="1">
      <c r="A9" s="373" t="s">
        <v>370</v>
      </c>
      <c r="B9" s="216" t="s">
        <v>190</v>
      </c>
      <c r="C9" s="215" t="s">
        <v>413</v>
      </c>
      <c r="D9" s="248">
        <v>100</v>
      </c>
      <c r="E9" s="74">
        <f>+I9+M9+Q9+U9</f>
        <v>0</v>
      </c>
      <c r="F9" s="74">
        <f>AVERAGE(J9,N9,R9,V9)</f>
        <v>14.5</v>
      </c>
      <c r="G9" s="74">
        <f t="shared" ref="G9:G15" si="1">+K9+O9+S9+W9</f>
        <v>0</v>
      </c>
      <c r="H9" s="307">
        <v>30</v>
      </c>
      <c r="I9" s="214"/>
      <c r="J9" s="407">
        <v>30</v>
      </c>
      <c r="K9" s="356">
        <v>0</v>
      </c>
      <c r="L9" s="307">
        <v>50</v>
      </c>
      <c r="M9" s="643">
        <v>0</v>
      </c>
      <c r="N9" s="760">
        <v>28</v>
      </c>
      <c r="O9" s="74">
        <v>0</v>
      </c>
      <c r="P9" s="307">
        <v>80</v>
      </c>
      <c r="Q9" s="74">
        <v>0</v>
      </c>
      <c r="R9" s="74">
        <v>0</v>
      </c>
      <c r="S9" s="74">
        <v>0</v>
      </c>
      <c r="T9" s="317">
        <v>100</v>
      </c>
      <c r="U9" s="74">
        <v>0</v>
      </c>
      <c r="V9" s="270">
        <v>0</v>
      </c>
      <c r="W9" s="261">
        <v>0</v>
      </c>
      <c r="Z9" s="618">
        <f>5/50*100</f>
        <v>10</v>
      </c>
      <c r="AD9" s="66"/>
    </row>
    <row r="10" spans="1:30" ht="81.75" customHeight="1">
      <c r="A10" s="374" t="s">
        <v>370</v>
      </c>
      <c r="B10" s="216" t="s">
        <v>188</v>
      </c>
      <c r="C10" s="75" t="s">
        <v>133</v>
      </c>
      <c r="D10" s="248">
        <f>+H10+L10+P10+T10</f>
        <v>10</v>
      </c>
      <c r="E10" s="74">
        <f t="shared" ref="E10:E18" si="2">+I10+M10+Q10+U10</f>
        <v>2229789216</v>
      </c>
      <c r="F10" s="74">
        <f>+J10+N10+R10+V10</f>
        <v>3.56</v>
      </c>
      <c r="G10" s="74">
        <f t="shared" si="1"/>
        <v>1147783944</v>
      </c>
      <c r="H10" s="307">
        <v>3</v>
      </c>
      <c r="I10" s="214">
        <v>498289216</v>
      </c>
      <c r="J10" s="407">
        <v>3</v>
      </c>
      <c r="K10" s="429">
        <v>497990024</v>
      </c>
      <c r="L10" s="307">
        <v>2</v>
      </c>
      <c r="M10" s="643">
        <v>650000000</v>
      </c>
      <c r="N10" s="758">
        <v>0.56000000000000005</v>
      </c>
      <c r="O10" s="74">
        <v>649793920</v>
      </c>
      <c r="P10" s="307">
        <v>3</v>
      </c>
      <c r="Q10" s="74">
        <v>525000000</v>
      </c>
      <c r="R10" s="74">
        <v>0</v>
      </c>
      <c r="S10" s="74">
        <v>0</v>
      </c>
      <c r="T10" s="317">
        <v>2</v>
      </c>
      <c r="U10" s="74">
        <f>+Q10*1.06</f>
        <v>556500000</v>
      </c>
      <c r="V10" s="270">
        <v>0</v>
      </c>
      <c r="W10" s="261">
        <v>0</v>
      </c>
      <c r="AD10" s="66"/>
    </row>
    <row r="11" spans="1:30" ht="81.75" customHeight="1">
      <c r="A11" s="375" t="s">
        <v>375</v>
      </c>
      <c r="B11" s="212" t="s">
        <v>190</v>
      </c>
      <c r="C11" s="213" t="s">
        <v>1</v>
      </c>
      <c r="D11" s="288">
        <v>100</v>
      </c>
      <c r="E11" s="74">
        <f t="shared" si="2"/>
        <v>0</v>
      </c>
      <c r="F11" s="74">
        <f>AVERAGE(J11,N11,R11,V11)</f>
        <v>7.6624999999999996</v>
      </c>
      <c r="G11" s="74">
        <f t="shared" si="1"/>
        <v>0</v>
      </c>
      <c r="H11" s="308">
        <v>17</v>
      </c>
      <c r="I11" s="214"/>
      <c r="J11" s="407">
        <v>17</v>
      </c>
      <c r="K11" s="432"/>
      <c r="L11" s="311">
        <v>34</v>
      </c>
      <c r="M11" s="643">
        <v>0</v>
      </c>
      <c r="N11" s="758">
        <v>13.65</v>
      </c>
      <c r="O11" s="74">
        <v>0</v>
      </c>
      <c r="P11" s="311">
        <v>67</v>
      </c>
      <c r="Q11" s="74">
        <v>0</v>
      </c>
      <c r="R11" s="74">
        <v>0</v>
      </c>
      <c r="S11" s="74">
        <v>0</v>
      </c>
      <c r="T11" s="311">
        <v>100</v>
      </c>
      <c r="U11" s="74">
        <v>0</v>
      </c>
      <c r="V11" s="73">
        <v>0</v>
      </c>
      <c r="W11" s="261">
        <v>0</v>
      </c>
      <c r="AD11" s="66"/>
    </row>
    <row r="12" spans="1:30" ht="93.75" customHeight="1">
      <c r="A12" s="372" t="s">
        <v>374</v>
      </c>
      <c r="B12" s="212" t="s">
        <v>190</v>
      </c>
      <c r="C12" s="213" t="s">
        <v>525</v>
      </c>
      <c r="D12" s="288">
        <v>3</v>
      </c>
      <c r="E12" s="74">
        <f t="shared" si="2"/>
        <v>3496334603</v>
      </c>
      <c r="F12" s="74">
        <f>AVERAGE(J12,N12,R12,V12)</f>
        <v>0.16</v>
      </c>
      <c r="G12" s="74">
        <f t="shared" si="1"/>
        <v>1681884834</v>
      </c>
      <c r="H12" s="308">
        <v>0.5</v>
      </c>
      <c r="I12" s="214">
        <v>1660126213</v>
      </c>
      <c r="J12" s="438">
        <v>0.5</v>
      </c>
      <c r="K12" s="429">
        <v>1517228834</v>
      </c>
      <c r="L12" s="311">
        <v>1</v>
      </c>
      <c r="M12" s="643">
        <v>661941284</v>
      </c>
      <c r="N12" s="758">
        <v>0.14000000000000001</v>
      </c>
      <c r="O12" s="74">
        <v>164656000</v>
      </c>
      <c r="P12" s="311">
        <v>2</v>
      </c>
      <c r="Q12" s="74">
        <v>500000000</v>
      </c>
      <c r="R12" s="74">
        <v>0</v>
      </c>
      <c r="S12" s="74">
        <v>0</v>
      </c>
      <c r="T12" s="311">
        <v>3</v>
      </c>
      <c r="U12" s="74">
        <f>+Q12*1.05+149267106</f>
        <v>674267106</v>
      </c>
      <c r="V12" s="73">
        <v>0</v>
      </c>
      <c r="W12" s="261">
        <v>0</v>
      </c>
      <c r="AD12" s="66"/>
    </row>
    <row r="13" spans="1:30" ht="81.75" customHeight="1">
      <c r="A13" s="290" t="s">
        <v>376</v>
      </c>
      <c r="B13" s="212" t="s">
        <v>190</v>
      </c>
      <c r="C13" s="213" t="s">
        <v>1</v>
      </c>
      <c r="D13" s="288">
        <v>100</v>
      </c>
      <c r="E13" s="74">
        <f t="shared" si="2"/>
        <v>0</v>
      </c>
      <c r="F13" s="74">
        <f>AVERAGE(J13,N13,R13,V13)</f>
        <v>15</v>
      </c>
      <c r="G13" s="74">
        <f t="shared" si="1"/>
        <v>0</v>
      </c>
      <c r="H13" s="308">
        <v>60</v>
      </c>
      <c r="I13" s="214"/>
      <c r="J13" s="407">
        <v>60</v>
      </c>
      <c r="K13" s="429">
        <v>0</v>
      </c>
      <c r="L13" s="311">
        <v>40</v>
      </c>
      <c r="M13" s="643">
        <v>0</v>
      </c>
      <c r="N13" s="404">
        <v>0</v>
      </c>
      <c r="O13" s="74">
        <v>0</v>
      </c>
      <c r="P13" s="311">
        <v>0</v>
      </c>
      <c r="Q13" s="74">
        <v>0</v>
      </c>
      <c r="R13" s="74">
        <v>0</v>
      </c>
      <c r="S13" s="74">
        <v>0</v>
      </c>
      <c r="T13" s="311">
        <v>0</v>
      </c>
      <c r="U13" s="74">
        <v>0</v>
      </c>
      <c r="V13" s="73">
        <v>0</v>
      </c>
      <c r="W13" s="261">
        <v>0</v>
      </c>
      <c r="X13" s="618">
        <f>7/73*100</f>
        <v>9.5890410958904102</v>
      </c>
      <c r="AD13" s="66"/>
    </row>
    <row r="14" spans="1:30" ht="81.75" customHeight="1">
      <c r="A14" s="638" t="s">
        <v>378</v>
      </c>
      <c r="B14" s="216" t="s">
        <v>188</v>
      </c>
      <c r="C14" s="215" t="s">
        <v>388</v>
      </c>
      <c r="D14" s="288">
        <f>+H14+L14+P14+T14</f>
        <v>6</v>
      </c>
      <c r="E14" s="74">
        <f t="shared" si="2"/>
        <v>702625620.375</v>
      </c>
      <c r="F14" s="444">
        <f>+J14+N14+R14+V14</f>
        <v>0</v>
      </c>
      <c r="G14" s="74">
        <f t="shared" si="1"/>
        <v>147411261</v>
      </c>
      <c r="H14" s="308">
        <v>0</v>
      </c>
      <c r="I14" s="214">
        <v>147411261</v>
      </c>
      <c r="J14" s="408">
        <v>0</v>
      </c>
      <c r="K14" s="439">
        <v>147411261</v>
      </c>
      <c r="L14" s="639">
        <v>6</v>
      </c>
      <c r="M14" s="644">
        <v>176118750</v>
      </c>
      <c r="N14" s="640">
        <v>0</v>
      </c>
      <c r="O14" s="288">
        <v>0</v>
      </c>
      <c r="P14" s="639">
        <v>0</v>
      </c>
      <c r="Q14" s="288">
        <v>184924687.5</v>
      </c>
      <c r="R14" s="288">
        <v>0</v>
      </c>
      <c r="S14" s="288">
        <v>0</v>
      </c>
      <c r="T14" s="639">
        <v>0</v>
      </c>
      <c r="U14" s="288">
        <f>+Q14*1.05</f>
        <v>194170921.875</v>
      </c>
      <c r="V14" s="288">
        <v>0</v>
      </c>
      <c r="W14" s="261">
        <v>0</v>
      </c>
      <c r="AD14" s="66"/>
    </row>
    <row r="15" spans="1:30" ht="81.75" customHeight="1">
      <c r="A15" s="330" t="s">
        <v>372</v>
      </c>
      <c r="B15" s="216" t="s">
        <v>190</v>
      </c>
      <c r="C15" s="248" t="s">
        <v>387</v>
      </c>
      <c r="D15" s="288">
        <f>AVERAGE(H15,L15,P15,T15)</f>
        <v>1</v>
      </c>
      <c r="E15" s="74">
        <f t="shared" si="2"/>
        <v>362678952</v>
      </c>
      <c r="F15" s="74">
        <f>AVERAGE(J15,N15,R15,V15)</f>
        <v>0.375</v>
      </c>
      <c r="G15" s="74">
        <f t="shared" si="1"/>
        <v>102678852</v>
      </c>
      <c r="H15" s="321">
        <v>1</v>
      </c>
      <c r="I15" s="74">
        <v>102678952</v>
      </c>
      <c r="J15" s="409">
        <v>1</v>
      </c>
      <c r="K15" s="430">
        <v>102678852</v>
      </c>
      <c r="L15" s="311">
        <v>1</v>
      </c>
      <c r="M15" s="643">
        <v>260000000</v>
      </c>
      <c r="N15" s="440">
        <v>0.5</v>
      </c>
      <c r="O15" s="74">
        <v>0</v>
      </c>
      <c r="P15" s="311">
        <v>1</v>
      </c>
      <c r="Q15" s="74">
        <v>0</v>
      </c>
      <c r="R15" s="74">
        <v>0</v>
      </c>
      <c r="S15" s="74">
        <v>0</v>
      </c>
      <c r="T15" s="311">
        <v>1</v>
      </c>
      <c r="U15" s="73">
        <v>0</v>
      </c>
      <c r="V15" s="261">
        <v>0</v>
      </c>
      <c r="W15" s="261">
        <v>0</v>
      </c>
      <c r="AD15" s="66"/>
    </row>
    <row r="16" spans="1:30" ht="81.75" customHeight="1">
      <c r="A16" s="330" t="s">
        <v>379</v>
      </c>
      <c r="B16" s="216" t="s">
        <v>190</v>
      </c>
      <c r="C16" s="248" t="s">
        <v>510</v>
      </c>
      <c r="D16" s="288">
        <f>AVERAGE(H16,L16,P16,T16)</f>
        <v>37</v>
      </c>
      <c r="E16" s="74">
        <f t="shared" si="2"/>
        <v>1759988957</v>
      </c>
      <c r="F16" s="74">
        <f>AVERAGE(J16,N16,R16,V16)</f>
        <v>18.5</v>
      </c>
      <c r="G16" s="74">
        <f>+K16+O16+S16+W16</f>
        <v>1266333595</v>
      </c>
      <c r="H16" s="321">
        <v>37</v>
      </c>
      <c r="I16" s="74">
        <v>893357238</v>
      </c>
      <c r="J16" s="409">
        <v>37</v>
      </c>
      <c r="K16" s="430">
        <v>871587445</v>
      </c>
      <c r="L16" s="311">
        <v>37</v>
      </c>
      <c r="M16" s="643">
        <v>866631719</v>
      </c>
      <c r="N16" s="404">
        <v>37</v>
      </c>
      <c r="O16" s="74">
        <v>394746150</v>
      </c>
      <c r="P16" s="311">
        <v>37</v>
      </c>
      <c r="Q16" s="74">
        <v>0</v>
      </c>
      <c r="R16" s="74">
        <v>0</v>
      </c>
      <c r="S16" s="74">
        <v>0</v>
      </c>
      <c r="T16" s="311">
        <v>37</v>
      </c>
      <c r="U16" s="73">
        <v>0</v>
      </c>
      <c r="V16" s="261">
        <v>0</v>
      </c>
      <c r="W16" s="261">
        <v>0</v>
      </c>
      <c r="AD16" s="66"/>
    </row>
    <row r="17" spans="1:26" ht="116.25" customHeight="1">
      <c r="A17" s="348" t="s">
        <v>380</v>
      </c>
      <c r="B17" s="216" t="s">
        <v>190</v>
      </c>
      <c r="C17" s="213" t="s">
        <v>381</v>
      </c>
      <c r="D17" s="288">
        <v>13</v>
      </c>
      <c r="E17" s="74">
        <f t="shared" si="2"/>
        <v>501144756.05000001</v>
      </c>
      <c r="F17" s="74">
        <f>AVERAGE(J17,N17,R17,V17)</f>
        <v>1.25</v>
      </c>
      <c r="G17" s="74">
        <f>+K17+O17+S17+W17</f>
        <v>146899881</v>
      </c>
      <c r="H17" s="308">
        <v>5</v>
      </c>
      <c r="I17" s="74">
        <v>146899881</v>
      </c>
      <c r="J17" s="407">
        <v>5</v>
      </c>
      <c r="K17" s="430">
        <v>146899881</v>
      </c>
      <c r="L17" s="311">
        <v>0</v>
      </c>
      <c r="M17" s="643">
        <v>0</v>
      </c>
      <c r="N17" s="404">
        <v>0</v>
      </c>
      <c r="O17" s="74">
        <v>0</v>
      </c>
      <c r="P17" s="311">
        <v>8</v>
      </c>
      <c r="Q17" s="74">
        <v>154244875.05000001</v>
      </c>
      <c r="R17" s="74">
        <v>0</v>
      </c>
      <c r="S17" s="74">
        <v>0</v>
      </c>
      <c r="T17" s="311">
        <v>5</v>
      </c>
      <c r="U17" s="74">
        <v>200000000</v>
      </c>
      <c r="V17" s="73">
        <v>0</v>
      </c>
      <c r="W17" s="261">
        <v>0</v>
      </c>
      <c r="X17" s="620"/>
      <c r="Y17" s="618">
        <f>50+25+15+35+50</f>
        <v>175</v>
      </c>
      <c r="Z17" s="621"/>
    </row>
    <row r="18" spans="1:26" ht="116.25" customHeight="1">
      <c r="A18" s="348" t="s">
        <v>382</v>
      </c>
      <c r="B18" s="212" t="s">
        <v>188</v>
      </c>
      <c r="C18" s="284" t="s">
        <v>194</v>
      </c>
      <c r="D18" s="288">
        <f>++H18+L18+P18+T18</f>
        <v>2</v>
      </c>
      <c r="E18" s="74">
        <f t="shared" si="2"/>
        <v>1085439893</v>
      </c>
      <c r="F18" s="444">
        <f>+J18+N18+R18+V18</f>
        <v>0.25</v>
      </c>
      <c r="G18" s="74">
        <f>+K18+O18+S18+W18</f>
        <v>901268310</v>
      </c>
      <c r="H18" s="308">
        <v>0</v>
      </c>
      <c r="I18" s="74">
        <v>901268311</v>
      </c>
      <c r="J18" s="407">
        <v>0</v>
      </c>
      <c r="K18" s="430">
        <v>901268310</v>
      </c>
      <c r="L18" s="311">
        <v>1</v>
      </c>
      <c r="M18" s="643">
        <v>0</v>
      </c>
      <c r="N18" s="440">
        <v>0.25</v>
      </c>
      <c r="O18" s="74">
        <v>0</v>
      </c>
      <c r="P18" s="311">
        <v>1</v>
      </c>
      <c r="Q18" s="74">
        <v>184171582</v>
      </c>
      <c r="R18" s="74">
        <v>0</v>
      </c>
      <c r="S18" s="74">
        <v>0</v>
      </c>
      <c r="T18" s="311">
        <v>0</v>
      </c>
      <c r="U18" s="74">
        <v>0</v>
      </c>
      <c r="V18" s="73">
        <v>0</v>
      </c>
      <c r="W18" s="261">
        <v>0</v>
      </c>
      <c r="X18" s="620"/>
      <c r="Z18" s="621"/>
    </row>
    <row r="19" spans="1:26" ht="68.25" customHeight="1">
      <c r="A19" s="345" t="s">
        <v>523</v>
      </c>
      <c r="B19" s="218"/>
      <c r="C19" s="219"/>
      <c r="D19" s="220"/>
      <c r="E19" s="221">
        <f>SUM(E20:E29)</f>
        <v>26373881374.909996</v>
      </c>
      <c r="F19" s="222"/>
      <c r="G19" s="221">
        <f>SUM(G20:G29)</f>
        <v>10760417775</v>
      </c>
      <c r="H19" s="309"/>
      <c r="I19" s="453">
        <f>SUM(I20:I29)-1</f>
        <v>7885091339</v>
      </c>
      <c r="J19" s="410"/>
      <c r="K19" s="357">
        <f>SUM(K20:K29)</f>
        <v>7792792986</v>
      </c>
      <c r="L19" s="311"/>
      <c r="M19" s="232">
        <f>SUM(M20:M29)</f>
        <v>9570300818</v>
      </c>
      <c r="N19" s="222"/>
      <c r="O19" s="221">
        <f>SUM(O20:O29)</f>
        <v>2967624789</v>
      </c>
      <c r="P19" s="320"/>
      <c r="Q19" s="221">
        <f>SUM(Q20:Q29)</f>
        <v>4356241900.1599998</v>
      </c>
      <c r="R19" s="221"/>
      <c r="S19" s="221">
        <f>SUM(S20:S29)</f>
        <v>0</v>
      </c>
      <c r="T19" s="311"/>
      <c r="U19" s="221">
        <f>SUM(U20:U29)</f>
        <v>4562247316.75</v>
      </c>
      <c r="V19" s="266"/>
      <c r="W19" s="376">
        <f>SUM(W20:W29)</f>
        <v>0</v>
      </c>
      <c r="X19" s="620">
        <v>9570300818</v>
      </c>
      <c r="Z19" s="620">
        <f>+X19-M19</f>
        <v>0</v>
      </c>
    </row>
    <row r="20" spans="1:26" ht="116.25" customHeight="1">
      <c r="A20" s="375" t="s">
        <v>502</v>
      </c>
      <c r="B20" s="322" t="s">
        <v>190</v>
      </c>
      <c r="C20" s="215" t="s">
        <v>181</v>
      </c>
      <c r="D20" s="288">
        <f>AVERAGE(H20,L20,P20,T20)</f>
        <v>100</v>
      </c>
      <c r="E20" s="74">
        <f>+I20+M20+Q20+U20</f>
        <v>0</v>
      </c>
      <c r="F20" s="288">
        <f>AVERAGE(J20,N20,R20,V20)</f>
        <v>55</v>
      </c>
      <c r="G20" s="74">
        <f t="shared" ref="G20:G29" si="3">+K20+O20+S20+W20</f>
        <v>0</v>
      </c>
      <c r="H20" s="308">
        <v>100</v>
      </c>
      <c r="I20" s="74"/>
      <c r="J20" s="404">
        <v>100</v>
      </c>
      <c r="K20" s="248"/>
      <c r="L20" s="311">
        <v>100</v>
      </c>
      <c r="M20" s="643"/>
      <c r="N20" s="404">
        <v>10</v>
      </c>
      <c r="O20" s="74"/>
      <c r="P20" s="311">
        <v>100</v>
      </c>
      <c r="Q20" s="74"/>
      <c r="R20" s="74"/>
      <c r="S20" s="74"/>
      <c r="T20" s="311">
        <v>100</v>
      </c>
      <c r="U20" s="74"/>
      <c r="V20" s="73"/>
      <c r="W20" s="261"/>
      <c r="X20" s="620"/>
      <c r="Y20" s="620">
        <f>+R19-Y19</f>
        <v>0</v>
      </c>
      <c r="Z20" s="620"/>
    </row>
    <row r="21" spans="1:26" ht="116.25" customHeight="1">
      <c r="A21" s="372" t="s">
        <v>503</v>
      </c>
      <c r="B21" s="212" t="s">
        <v>190</v>
      </c>
      <c r="C21" s="284" t="s">
        <v>504</v>
      </c>
      <c r="D21" s="288">
        <v>5</v>
      </c>
      <c r="E21" s="74">
        <f>+I21+M21+Q21+U21</f>
        <v>12541175593.16</v>
      </c>
      <c r="F21" s="288">
        <f>AVERAGE(J21,N21,R21,V21)</f>
        <v>0.77500000000000002</v>
      </c>
      <c r="G21" s="74">
        <f t="shared" si="3"/>
        <v>3185443983</v>
      </c>
      <c r="H21" s="308">
        <v>3</v>
      </c>
      <c r="I21" s="74">
        <v>2716742169</v>
      </c>
      <c r="J21" s="404">
        <v>3</v>
      </c>
      <c r="K21" s="248">
        <v>2714204176</v>
      </c>
      <c r="L21" s="311">
        <v>3</v>
      </c>
      <c r="M21" s="643">
        <v>3900245742</v>
      </c>
      <c r="N21" s="440">
        <v>0.1</v>
      </c>
      <c r="O21" s="74">
        <v>471239807</v>
      </c>
      <c r="P21" s="311">
        <v>3</v>
      </c>
      <c r="Q21" s="74">
        <v>2895607005.1600003</v>
      </c>
      <c r="R21" s="74">
        <v>0</v>
      </c>
      <c r="S21" s="74">
        <v>0</v>
      </c>
      <c r="T21" s="311">
        <v>5</v>
      </c>
      <c r="U21" s="74">
        <f>3018580677+10000000</f>
        <v>3028580677</v>
      </c>
      <c r="V21" s="73">
        <v>0</v>
      </c>
      <c r="W21" s="261">
        <v>0</v>
      </c>
      <c r="Z21" s="621"/>
    </row>
    <row r="22" spans="1:26" ht="68.25" customHeight="1">
      <c r="A22" s="375" t="s">
        <v>384</v>
      </c>
      <c r="B22" s="212" t="s">
        <v>188</v>
      </c>
      <c r="C22" s="215" t="s">
        <v>413</v>
      </c>
      <c r="D22" s="288">
        <f>++H22+L22+P22+T22</f>
        <v>100</v>
      </c>
      <c r="E22" s="74">
        <f t="shared" ref="E22:E29" si="4">+I22+M22+Q22+U22</f>
        <v>0</v>
      </c>
      <c r="F22" s="444">
        <f t="shared" ref="F22:F28" si="5">+J22+N22+R22+V22</f>
        <v>0</v>
      </c>
      <c r="G22" s="74">
        <f t="shared" si="3"/>
        <v>0</v>
      </c>
      <c r="H22" s="310">
        <v>0</v>
      </c>
      <c r="I22" s="248">
        <v>0</v>
      </c>
      <c r="J22" s="404">
        <v>0</v>
      </c>
      <c r="K22" s="248">
        <v>0</v>
      </c>
      <c r="L22" s="311">
        <v>50</v>
      </c>
      <c r="M22" s="643">
        <v>0</v>
      </c>
      <c r="N22" s="404">
        <v>0</v>
      </c>
      <c r="O22" s="74">
        <v>0</v>
      </c>
      <c r="P22" s="311">
        <v>25</v>
      </c>
      <c r="Q22" s="74">
        <v>0</v>
      </c>
      <c r="R22" s="74">
        <v>0</v>
      </c>
      <c r="S22" s="74">
        <v>0</v>
      </c>
      <c r="T22" s="311">
        <v>25</v>
      </c>
      <c r="U22" s="74">
        <v>0</v>
      </c>
      <c r="V22" s="270">
        <v>0</v>
      </c>
      <c r="W22" s="261">
        <v>0</v>
      </c>
    </row>
    <row r="23" spans="1:26" ht="68.25" customHeight="1">
      <c r="A23" s="285" t="s">
        <v>358</v>
      </c>
      <c r="B23" s="212" t="s">
        <v>188</v>
      </c>
      <c r="C23" s="223" t="s">
        <v>464</v>
      </c>
      <c r="D23" s="323">
        <f>+H23+L23+P23+T23</f>
        <v>400</v>
      </c>
      <c r="E23" s="74">
        <f t="shared" si="4"/>
        <v>715405427.21249998</v>
      </c>
      <c r="F23" s="444">
        <f t="shared" si="5"/>
        <v>0</v>
      </c>
      <c r="G23" s="74">
        <f t="shared" si="3"/>
        <v>198668508</v>
      </c>
      <c r="H23" s="310">
        <v>0</v>
      </c>
      <c r="I23" s="74">
        <v>212364591</v>
      </c>
      <c r="J23" s="404">
        <v>0</v>
      </c>
      <c r="K23" s="248">
        <v>198668508</v>
      </c>
      <c r="L23" s="311">
        <v>200</v>
      </c>
      <c r="M23" s="643">
        <v>250038171</v>
      </c>
      <c r="N23" s="404">
        <v>0</v>
      </c>
      <c r="O23" s="74">
        <v>0</v>
      </c>
      <c r="P23" s="311">
        <v>100</v>
      </c>
      <c r="Q23" s="74">
        <v>123415934.25</v>
      </c>
      <c r="R23" s="74">
        <v>0</v>
      </c>
      <c r="S23" s="74">
        <v>0</v>
      </c>
      <c r="T23" s="311">
        <v>100</v>
      </c>
      <c r="U23" s="74">
        <f t="shared" ref="U23:U29" si="6">+Q23*1.05</f>
        <v>129586730.96250001</v>
      </c>
      <c r="V23" s="73">
        <v>0</v>
      </c>
      <c r="W23" s="261">
        <v>0</v>
      </c>
    </row>
    <row r="24" spans="1:26" ht="68.25" customHeight="1">
      <c r="A24" s="349" t="s">
        <v>545</v>
      </c>
      <c r="B24" s="259" t="s">
        <v>188</v>
      </c>
      <c r="C24" s="224" t="s">
        <v>464</v>
      </c>
      <c r="D24" s="323">
        <f>+H24+L24+P24+T24</f>
        <v>100</v>
      </c>
      <c r="E24" s="74">
        <f t="shared" si="4"/>
        <v>1120650678.9075</v>
      </c>
      <c r="F24" s="444">
        <f t="shared" si="5"/>
        <v>0</v>
      </c>
      <c r="G24" s="74">
        <f t="shared" si="3"/>
        <v>402061124</v>
      </c>
      <c r="H24" s="310">
        <v>0</v>
      </c>
      <c r="I24" s="74">
        <v>417414361</v>
      </c>
      <c r="J24" s="404">
        <v>0</v>
      </c>
      <c r="K24" s="248">
        <v>402061124</v>
      </c>
      <c r="L24" s="311">
        <v>50</v>
      </c>
      <c r="M24" s="643">
        <v>223072583</v>
      </c>
      <c r="N24" s="404">
        <v>0</v>
      </c>
      <c r="O24" s="74">
        <v>0</v>
      </c>
      <c r="P24" s="311">
        <v>30</v>
      </c>
      <c r="Q24" s="74">
        <v>234226212.15000001</v>
      </c>
      <c r="R24" s="74">
        <v>0</v>
      </c>
      <c r="S24" s="74">
        <v>0</v>
      </c>
      <c r="T24" s="311">
        <v>20</v>
      </c>
      <c r="U24" s="74">
        <f t="shared" si="6"/>
        <v>245937522.75750002</v>
      </c>
      <c r="V24" s="73">
        <v>0</v>
      </c>
      <c r="W24" s="261">
        <v>0</v>
      </c>
    </row>
    <row r="25" spans="1:26" ht="68.25" customHeight="1">
      <c r="A25" s="349" t="s">
        <v>368</v>
      </c>
      <c r="B25" s="259" t="s">
        <v>188</v>
      </c>
      <c r="C25" s="287" t="s">
        <v>464</v>
      </c>
      <c r="D25" s="323">
        <f>+H25+L25+P25+T25</f>
        <v>489</v>
      </c>
      <c r="E25" s="74">
        <f t="shared" si="4"/>
        <v>463370533.63000005</v>
      </c>
      <c r="F25" s="74">
        <f t="shared" si="5"/>
        <v>84</v>
      </c>
      <c r="G25" s="74">
        <f t="shared" si="3"/>
        <v>154146824</v>
      </c>
      <c r="H25" s="310">
        <v>46</v>
      </c>
      <c r="I25" s="74">
        <v>154147067</v>
      </c>
      <c r="J25" s="404">
        <v>46</v>
      </c>
      <c r="K25" s="248">
        <v>154146824</v>
      </c>
      <c r="L25" s="311">
        <v>186</v>
      </c>
      <c r="M25" s="643">
        <v>98088332</v>
      </c>
      <c r="N25" s="404">
        <v>38</v>
      </c>
      <c r="O25" s="74">
        <v>0</v>
      </c>
      <c r="P25" s="311">
        <v>116</v>
      </c>
      <c r="Q25" s="74">
        <v>102992748.60000001</v>
      </c>
      <c r="R25" s="74">
        <v>0</v>
      </c>
      <c r="S25" s="74">
        <v>0</v>
      </c>
      <c r="T25" s="311">
        <v>141</v>
      </c>
      <c r="U25" s="74">
        <f t="shared" si="6"/>
        <v>108142386.03000002</v>
      </c>
      <c r="V25" s="73">
        <v>0</v>
      </c>
      <c r="W25" s="261">
        <v>0</v>
      </c>
    </row>
    <row r="26" spans="1:26" ht="68.25" customHeight="1">
      <c r="A26" s="349" t="s">
        <v>526</v>
      </c>
      <c r="B26" s="259" t="s">
        <v>188</v>
      </c>
      <c r="C26" s="287" t="s">
        <v>464</v>
      </c>
      <c r="D26" s="323">
        <f>+H26+L26+P26+T26</f>
        <v>4963</v>
      </c>
      <c r="E26" s="74">
        <f t="shared" si="4"/>
        <v>6732916492</v>
      </c>
      <c r="F26" s="74">
        <f t="shared" si="5"/>
        <v>9463</v>
      </c>
      <c r="G26" s="74">
        <f t="shared" si="3"/>
        <v>5337846211</v>
      </c>
      <c r="H26" s="310">
        <v>2500</v>
      </c>
      <c r="I26" s="74">
        <v>2886116492</v>
      </c>
      <c r="J26" s="404">
        <v>9463</v>
      </c>
      <c r="K26" s="248">
        <v>2841461229</v>
      </c>
      <c r="L26" s="311">
        <v>1463</v>
      </c>
      <c r="M26" s="643">
        <v>3231800000</v>
      </c>
      <c r="N26" s="404">
        <v>0</v>
      </c>
      <c r="O26" s="74">
        <v>2496384982</v>
      </c>
      <c r="P26" s="311">
        <v>500</v>
      </c>
      <c r="Q26" s="74">
        <v>300000000</v>
      </c>
      <c r="R26" s="74"/>
      <c r="S26" s="74"/>
      <c r="T26" s="311">
        <v>500</v>
      </c>
      <c r="U26" s="74">
        <f t="shared" si="6"/>
        <v>315000000</v>
      </c>
      <c r="V26" s="73"/>
      <c r="W26" s="261"/>
    </row>
    <row r="27" spans="1:26" ht="68.25" customHeight="1">
      <c r="A27" s="349" t="s">
        <v>371</v>
      </c>
      <c r="B27" s="259" t="s">
        <v>188</v>
      </c>
      <c r="C27" s="286" t="s">
        <v>464</v>
      </c>
      <c r="D27" s="323">
        <v>14536</v>
      </c>
      <c r="E27" s="74">
        <f t="shared" si="4"/>
        <v>3926106650</v>
      </c>
      <c r="F27" s="74">
        <f t="shared" si="5"/>
        <v>863</v>
      </c>
      <c r="G27" s="74">
        <f t="shared" si="3"/>
        <v>1417995125</v>
      </c>
      <c r="H27" s="310">
        <v>863</v>
      </c>
      <c r="I27" s="74">
        <v>1434050660</v>
      </c>
      <c r="J27" s="404">
        <v>863</v>
      </c>
      <c r="K27" s="248">
        <v>1417995125</v>
      </c>
      <c r="L27" s="311">
        <v>7747</v>
      </c>
      <c r="M27" s="643">
        <v>1467055990</v>
      </c>
      <c r="N27" s="404">
        <v>0</v>
      </c>
      <c r="O27" s="74">
        <v>0</v>
      </c>
      <c r="P27" s="311">
        <v>3963</v>
      </c>
      <c r="Q27" s="74">
        <v>500000000</v>
      </c>
      <c r="R27" s="74">
        <v>0</v>
      </c>
      <c r="S27" s="74">
        <v>0</v>
      </c>
      <c r="T27" s="311">
        <v>1963</v>
      </c>
      <c r="U27" s="74">
        <f t="shared" si="6"/>
        <v>525000000</v>
      </c>
      <c r="V27" s="73">
        <v>0</v>
      </c>
      <c r="W27" s="261">
        <v>0</v>
      </c>
    </row>
    <row r="28" spans="1:26" ht="54" customHeight="1">
      <c r="A28" s="377" t="s">
        <v>369</v>
      </c>
      <c r="B28" s="259" t="s">
        <v>188</v>
      </c>
      <c r="C28" s="286" t="s">
        <v>464</v>
      </c>
      <c r="D28" s="323">
        <f>+H28+L28+P28+T28</f>
        <v>1100</v>
      </c>
      <c r="E28" s="74">
        <f t="shared" si="4"/>
        <v>874256000</v>
      </c>
      <c r="F28" s="74">
        <f t="shared" si="5"/>
        <v>250</v>
      </c>
      <c r="G28" s="74">
        <f t="shared" si="3"/>
        <v>64256000</v>
      </c>
      <c r="H28" s="310">
        <v>250</v>
      </c>
      <c r="I28" s="74">
        <v>64256000</v>
      </c>
      <c r="J28" s="455">
        <v>250</v>
      </c>
      <c r="K28" s="248">
        <v>64256000</v>
      </c>
      <c r="L28" s="311">
        <v>300</v>
      </c>
      <c r="M28" s="643">
        <v>400000000</v>
      </c>
      <c r="N28" s="404">
        <v>0</v>
      </c>
      <c r="O28" s="74">
        <v>0</v>
      </c>
      <c r="P28" s="311">
        <v>350</v>
      </c>
      <c r="Q28" s="74">
        <v>200000000</v>
      </c>
      <c r="R28" s="74">
        <v>0</v>
      </c>
      <c r="S28" s="74">
        <v>0</v>
      </c>
      <c r="T28" s="311">
        <v>200</v>
      </c>
      <c r="U28" s="74">
        <f t="shared" si="6"/>
        <v>210000000</v>
      </c>
      <c r="V28" s="73">
        <v>0</v>
      </c>
      <c r="W28" s="261">
        <v>0</v>
      </c>
    </row>
    <row r="29" spans="1:26" ht="46.5" customHeight="1">
      <c r="A29" s="348" t="s">
        <v>497</v>
      </c>
      <c r="B29" s="251" t="s">
        <v>190</v>
      </c>
      <c r="C29" s="215" t="s">
        <v>465</v>
      </c>
      <c r="D29" s="288">
        <f>+H29+L29+P29+T29</f>
        <v>100</v>
      </c>
      <c r="E29" s="74">
        <f t="shared" si="4"/>
        <v>0</v>
      </c>
      <c r="F29" s="288">
        <f>AVERAGE(J29,N29,R29,V29)</f>
        <v>6.25</v>
      </c>
      <c r="G29" s="74">
        <f t="shared" si="3"/>
        <v>0</v>
      </c>
      <c r="H29" s="310">
        <v>10</v>
      </c>
      <c r="I29" s="214">
        <v>0</v>
      </c>
      <c r="J29" s="404">
        <v>10</v>
      </c>
      <c r="K29" s="356">
        <v>0</v>
      </c>
      <c r="L29" s="311">
        <v>30</v>
      </c>
      <c r="M29" s="643">
        <v>0</v>
      </c>
      <c r="N29" s="404">
        <v>15</v>
      </c>
      <c r="O29" s="74">
        <v>0</v>
      </c>
      <c r="P29" s="311">
        <v>30</v>
      </c>
      <c r="Q29" s="74">
        <v>0</v>
      </c>
      <c r="R29" s="74">
        <v>0</v>
      </c>
      <c r="S29" s="74">
        <v>0</v>
      </c>
      <c r="T29" s="311">
        <v>30</v>
      </c>
      <c r="U29" s="74">
        <f t="shared" si="6"/>
        <v>0</v>
      </c>
      <c r="V29" s="73">
        <v>0</v>
      </c>
      <c r="W29" s="261">
        <v>0</v>
      </c>
    </row>
    <row r="30" spans="1:26" ht="36">
      <c r="A30" s="350" t="s">
        <v>534</v>
      </c>
      <c r="B30" s="226"/>
      <c r="C30" s="227"/>
      <c r="D30" s="222"/>
      <c r="E30" s="221">
        <f>SUM(E31:E32)</f>
        <v>6256746149.46</v>
      </c>
      <c r="F30" s="222"/>
      <c r="G30" s="221">
        <f>SUM(G31:G32)</f>
        <v>3601211104</v>
      </c>
      <c r="H30" s="311"/>
      <c r="I30" s="221">
        <f>SUM(I31:I32)</f>
        <v>1877233369</v>
      </c>
      <c r="J30" s="410"/>
      <c r="K30" s="357">
        <f>SUM(K31:K32)</f>
        <v>1877233207</v>
      </c>
      <c r="L30" s="311"/>
      <c r="M30" s="232">
        <f>SUM(M31:M32)</f>
        <v>1854151779.46</v>
      </c>
      <c r="N30" s="222"/>
      <c r="O30" s="221">
        <f>SUM(O31:O32)</f>
        <v>1723977897</v>
      </c>
      <c r="P30" s="320"/>
      <c r="Q30" s="221">
        <f>SUM(Q31:Q32)</f>
        <v>1221679456</v>
      </c>
      <c r="R30" s="221"/>
      <c r="S30" s="221">
        <f>SUM(S31:S32)</f>
        <v>0</v>
      </c>
      <c r="T30" s="311"/>
      <c r="U30" s="221">
        <f>SUM(U31:U32)</f>
        <v>1303681545</v>
      </c>
      <c r="V30" s="266"/>
      <c r="W30" s="262">
        <f>SUM(W31:W32)</f>
        <v>0</v>
      </c>
      <c r="X30" s="620"/>
      <c r="Z30" s="620">
        <v>1303681545</v>
      </c>
    </row>
    <row r="31" spans="1:26" ht="54" customHeight="1">
      <c r="A31" s="348" t="s">
        <v>385</v>
      </c>
      <c r="B31" s="216" t="s">
        <v>190</v>
      </c>
      <c r="C31" s="213" t="s">
        <v>386</v>
      </c>
      <c r="D31" s="288">
        <f>AVERAGE(H31,L31,P31,T31)</f>
        <v>1</v>
      </c>
      <c r="E31" s="74">
        <f>+I31+M31+Q31+U31</f>
        <v>5618751218</v>
      </c>
      <c r="F31" s="756">
        <f>AVERAGE(J31,N31,R31,V31)</f>
        <v>0.375</v>
      </c>
      <c r="G31" s="74">
        <f>+K31+O31+S31+W31</f>
        <v>3293890218</v>
      </c>
      <c r="H31" s="308">
        <v>1</v>
      </c>
      <c r="I31" s="214">
        <v>1569912321</v>
      </c>
      <c r="J31" s="404">
        <v>1</v>
      </c>
      <c r="K31" s="356">
        <v>1569912321</v>
      </c>
      <c r="L31" s="311">
        <v>1</v>
      </c>
      <c r="M31" s="643">
        <v>1723977896</v>
      </c>
      <c r="N31" s="440">
        <v>0.5</v>
      </c>
      <c r="O31" s="74">
        <v>1723977897</v>
      </c>
      <c r="P31" s="311">
        <v>1</v>
      </c>
      <c r="Q31" s="74">
        <v>1121679456</v>
      </c>
      <c r="R31" s="74">
        <v>0</v>
      </c>
      <c r="S31" s="74">
        <v>0</v>
      </c>
      <c r="T31" s="311">
        <v>1</v>
      </c>
      <c r="U31" s="74">
        <v>1203181545</v>
      </c>
      <c r="V31" s="73">
        <v>0</v>
      </c>
      <c r="W31" s="261">
        <v>0</v>
      </c>
      <c r="X31" s="620"/>
      <c r="Z31" s="620">
        <f>+U30-Z30</f>
        <v>0</v>
      </c>
    </row>
    <row r="32" spans="1:26" ht="69" customHeight="1">
      <c r="A32" s="348" t="s">
        <v>498</v>
      </c>
      <c r="B32" s="216" t="s">
        <v>190</v>
      </c>
      <c r="C32" s="213" t="s">
        <v>530</v>
      </c>
      <c r="D32" s="288">
        <f>AVERAGE(H32,L32,P32,T32)</f>
        <v>1</v>
      </c>
      <c r="E32" s="74">
        <f>+I32+M32+Q32+U32</f>
        <v>637994931.46000004</v>
      </c>
      <c r="F32" s="756">
        <f>AVERAGE(J32,N32,R32,V32)</f>
        <v>0.375</v>
      </c>
      <c r="G32" s="74">
        <f>+K32+O32+S32+W32</f>
        <v>307320886</v>
      </c>
      <c r="H32" s="308">
        <v>1</v>
      </c>
      <c r="I32" s="214">
        <v>307321048</v>
      </c>
      <c r="J32" s="404">
        <v>1</v>
      </c>
      <c r="K32" s="356">
        <v>307320886</v>
      </c>
      <c r="L32" s="311">
        <v>1</v>
      </c>
      <c r="M32" s="643">
        <v>130173883.45999999</v>
      </c>
      <c r="N32" s="440">
        <v>0.5</v>
      </c>
      <c r="O32" s="74">
        <v>0</v>
      </c>
      <c r="P32" s="311">
        <v>1</v>
      </c>
      <c r="Q32" s="74">
        <v>100000000</v>
      </c>
      <c r="R32" s="74">
        <v>0</v>
      </c>
      <c r="S32" s="74">
        <v>0</v>
      </c>
      <c r="T32" s="311">
        <v>1</v>
      </c>
      <c r="U32" s="74">
        <f>+Q32*1.005</f>
        <v>100499999.99999999</v>
      </c>
      <c r="V32" s="73">
        <v>0</v>
      </c>
      <c r="W32" s="261">
        <v>0</v>
      </c>
      <c r="X32" s="620"/>
    </row>
    <row r="33" spans="1:26" ht="46.5" customHeight="1">
      <c r="A33" s="289" t="s">
        <v>499</v>
      </c>
      <c r="B33" s="230"/>
      <c r="C33" s="211"/>
      <c r="D33" s="231"/>
      <c r="E33" s="232">
        <f>+E34+E46</f>
        <v>7892697962.8500004</v>
      </c>
      <c r="F33" s="231"/>
      <c r="G33" s="232">
        <f>+G34+G46</f>
        <v>2972406233</v>
      </c>
      <c r="H33" s="312">
        <v>0</v>
      </c>
      <c r="I33" s="232">
        <f>+I34+I46</f>
        <v>1985679556</v>
      </c>
      <c r="J33" s="410"/>
      <c r="K33" s="231">
        <f>+K34+K46</f>
        <v>1947426231</v>
      </c>
      <c r="L33" s="232"/>
      <c r="M33" s="232">
        <f>+M34+M46</f>
        <v>2239437028</v>
      </c>
      <c r="N33" s="232"/>
      <c r="O33" s="232">
        <f>+O34+O46</f>
        <v>1024980002</v>
      </c>
      <c r="P33" s="232"/>
      <c r="Q33" s="232">
        <f>+Q34+Q46</f>
        <v>1749999999.8499999</v>
      </c>
      <c r="R33" s="232"/>
      <c r="S33" s="232">
        <f>+S34+S46</f>
        <v>0</v>
      </c>
      <c r="T33" s="232"/>
      <c r="U33" s="232">
        <f>+U34+U46</f>
        <v>1917581379</v>
      </c>
      <c r="V33" s="232"/>
      <c r="W33" s="378">
        <f>+W34+W46</f>
        <v>0</v>
      </c>
      <c r="X33" s="620"/>
    </row>
    <row r="34" spans="1:26" ht="44.25" customHeight="1">
      <c r="A34" s="351" t="s">
        <v>522</v>
      </c>
      <c r="B34" s="233"/>
      <c r="C34" s="227"/>
      <c r="D34" s="234"/>
      <c r="E34" s="221">
        <f>SUM(E35:E45)</f>
        <v>1704895252</v>
      </c>
      <c r="F34" s="222"/>
      <c r="G34" s="221">
        <f>SUM(G35:G45)</f>
        <v>956226901</v>
      </c>
      <c r="H34" s="313">
        <v>0</v>
      </c>
      <c r="I34" s="221">
        <f>SUM(I35:I45)</f>
        <v>323895252</v>
      </c>
      <c r="J34" s="410"/>
      <c r="K34" s="357">
        <f>SUM(K35:K45)</f>
        <v>300920390</v>
      </c>
      <c r="L34" s="222">
        <v>0</v>
      </c>
      <c r="M34" s="232">
        <f>SUM(M35:M45)</f>
        <v>781000000</v>
      </c>
      <c r="N34" s="222">
        <v>0</v>
      </c>
      <c r="O34" s="221">
        <f>SUM(O35:O45)</f>
        <v>655306511</v>
      </c>
      <c r="P34" s="221">
        <v>0</v>
      </c>
      <c r="Q34" s="232">
        <f>SUM(Q35:Q45)</f>
        <v>300000000</v>
      </c>
      <c r="R34" s="221">
        <v>0</v>
      </c>
      <c r="S34" s="221">
        <f>SUM(S35:S45)</f>
        <v>0</v>
      </c>
      <c r="T34" s="222"/>
      <c r="U34" s="232">
        <f>SUM(U35:U45)</f>
        <v>300000000</v>
      </c>
      <c r="V34" s="266"/>
      <c r="W34" s="376">
        <f>SUM(W35:W45)</f>
        <v>0</v>
      </c>
      <c r="X34" s="620"/>
      <c r="Z34" s="620"/>
    </row>
    <row r="35" spans="1:26" ht="113.25" customHeight="1">
      <c r="A35" s="290" t="s">
        <v>500</v>
      </c>
      <c r="B35" s="216" t="s">
        <v>192</v>
      </c>
      <c r="C35" s="248" t="s">
        <v>1</v>
      </c>
      <c r="D35" s="288">
        <f t="shared" ref="D35:F36" si="7">+H35+L35+P35+T35</f>
        <v>100</v>
      </c>
      <c r="E35" s="74">
        <f t="shared" si="7"/>
        <v>0</v>
      </c>
      <c r="F35" s="74">
        <f t="shared" si="7"/>
        <v>15</v>
      </c>
      <c r="G35" s="74">
        <f t="shared" ref="G35:G45" si="8">+K35+O35+S35+W35</f>
        <v>0</v>
      </c>
      <c r="H35" s="308">
        <v>15</v>
      </c>
      <c r="I35" s="214">
        <v>0</v>
      </c>
      <c r="J35" s="404">
        <v>15</v>
      </c>
      <c r="K35" s="356">
        <v>0</v>
      </c>
      <c r="L35" s="311">
        <v>80</v>
      </c>
      <c r="M35" s="643">
        <v>0</v>
      </c>
      <c r="N35" s="404">
        <v>0</v>
      </c>
      <c r="O35" s="74">
        <v>0</v>
      </c>
      <c r="P35" s="311">
        <v>5</v>
      </c>
      <c r="Q35" s="74">
        <v>0</v>
      </c>
      <c r="R35" s="74">
        <v>0</v>
      </c>
      <c r="S35" s="74">
        <v>0</v>
      </c>
      <c r="T35" s="311">
        <v>0</v>
      </c>
      <c r="U35" s="74">
        <v>0</v>
      </c>
      <c r="V35" s="73">
        <v>0</v>
      </c>
      <c r="W35" s="261">
        <v>0</v>
      </c>
      <c r="X35" s="620"/>
      <c r="Z35" s="620"/>
    </row>
    <row r="36" spans="1:26" ht="88.5" customHeight="1">
      <c r="A36" s="372" t="s">
        <v>391</v>
      </c>
      <c r="B36" s="216" t="s">
        <v>188</v>
      </c>
      <c r="C36" s="286" t="s">
        <v>464</v>
      </c>
      <c r="D36" s="288">
        <f t="shared" si="7"/>
        <v>220017</v>
      </c>
      <c r="E36" s="74">
        <f t="shared" si="7"/>
        <v>829156375</v>
      </c>
      <c r="F36" s="74">
        <f t="shared" si="7"/>
        <v>33160.36</v>
      </c>
      <c r="G36" s="74">
        <f t="shared" si="8"/>
        <v>646912275</v>
      </c>
      <c r="H36" s="310">
        <v>32894</v>
      </c>
      <c r="I36" s="214">
        <v>153110000</v>
      </c>
      <c r="J36" s="440">
        <v>33160.36</v>
      </c>
      <c r="K36" s="356">
        <v>134742824</v>
      </c>
      <c r="L36" s="311">
        <f>38888+137106</f>
        <v>175994</v>
      </c>
      <c r="M36" s="643">
        <v>512169451</v>
      </c>
      <c r="N36" s="404">
        <v>0</v>
      </c>
      <c r="O36" s="74">
        <v>512169451</v>
      </c>
      <c r="P36" s="311">
        <v>11129</v>
      </c>
      <c r="Q36" s="74">
        <v>100000000</v>
      </c>
      <c r="R36" s="74">
        <v>0</v>
      </c>
      <c r="S36" s="74">
        <v>0</v>
      </c>
      <c r="T36" s="311">
        <v>0</v>
      </c>
      <c r="U36" s="270">
        <v>63876924</v>
      </c>
      <c r="V36" s="73">
        <v>0</v>
      </c>
      <c r="W36" s="261">
        <v>0</v>
      </c>
      <c r="X36" s="620"/>
    </row>
    <row r="37" spans="1:26" ht="88.5" customHeight="1">
      <c r="A37" s="379" t="s">
        <v>392</v>
      </c>
      <c r="B37" s="216" t="s">
        <v>190</v>
      </c>
      <c r="C37" s="248" t="s">
        <v>505</v>
      </c>
      <c r="D37" s="288">
        <f>AVERAGE(H37,L37,P37,T37)</f>
        <v>33.333333333333336</v>
      </c>
      <c r="E37" s="74">
        <f t="shared" ref="E37:E45" si="9">+I37+M37+Q37+U37</f>
        <v>20000000</v>
      </c>
      <c r="F37" s="288">
        <f>AVERAGE(J37,N37,R37,V37)</f>
        <v>0</v>
      </c>
      <c r="G37" s="74">
        <f t="shared" si="8"/>
        <v>0</v>
      </c>
      <c r="H37" s="321" t="s">
        <v>538</v>
      </c>
      <c r="I37" s="74">
        <v>0</v>
      </c>
      <c r="J37" s="321" t="s">
        <v>538</v>
      </c>
      <c r="K37" s="248">
        <v>0</v>
      </c>
      <c r="L37" s="311">
        <v>20</v>
      </c>
      <c r="M37" s="643"/>
      <c r="N37" s="404">
        <v>0</v>
      </c>
      <c r="O37" s="239">
        <v>0</v>
      </c>
      <c r="P37" s="311">
        <v>30</v>
      </c>
      <c r="Q37" s="74">
        <v>20000000</v>
      </c>
      <c r="R37" s="74">
        <v>0</v>
      </c>
      <c r="S37" s="74">
        <v>0</v>
      </c>
      <c r="T37" s="311">
        <v>50</v>
      </c>
      <c r="U37" s="270"/>
      <c r="V37" s="73">
        <v>0</v>
      </c>
      <c r="W37" s="261">
        <v>0</v>
      </c>
      <c r="X37" s="620"/>
    </row>
    <row r="38" spans="1:26" ht="61.5" customHeight="1">
      <c r="A38" s="379" t="s">
        <v>393</v>
      </c>
      <c r="B38" s="228" t="s">
        <v>188</v>
      </c>
      <c r="C38" s="213" t="s">
        <v>527</v>
      </c>
      <c r="D38" s="288">
        <f>+H38+L38+P38+T38</f>
        <v>120</v>
      </c>
      <c r="E38" s="74">
        <f t="shared" si="9"/>
        <v>233121583</v>
      </c>
      <c r="F38" s="74">
        <f>+J38+N38+R38+V38</f>
        <v>36</v>
      </c>
      <c r="G38" s="74">
        <f t="shared" si="8"/>
        <v>81820811</v>
      </c>
      <c r="H38" s="308">
        <v>30</v>
      </c>
      <c r="I38" s="74">
        <v>50638283</v>
      </c>
      <c r="J38" s="404">
        <v>30</v>
      </c>
      <c r="K38" s="356">
        <v>46680811</v>
      </c>
      <c r="L38" s="311">
        <v>30</v>
      </c>
      <c r="M38" s="643">
        <v>48192000</v>
      </c>
      <c r="N38" s="404">
        <v>6</v>
      </c>
      <c r="O38" s="74">
        <v>35140000</v>
      </c>
      <c r="P38" s="311">
        <v>30</v>
      </c>
      <c r="Q38" s="74">
        <v>54291300</v>
      </c>
      <c r="R38" s="74">
        <v>0</v>
      </c>
      <c r="S38" s="74">
        <v>0</v>
      </c>
      <c r="T38" s="311">
        <v>30</v>
      </c>
      <c r="U38" s="74">
        <v>80000000</v>
      </c>
      <c r="V38" s="271">
        <v>0</v>
      </c>
      <c r="W38" s="261">
        <v>0</v>
      </c>
      <c r="X38" s="620"/>
    </row>
    <row r="39" spans="1:26" ht="61.5" customHeight="1">
      <c r="A39" s="379" t="s">
        <v>394</v>
      </c>
      <c r="B39" s="216" t="s">
        <v>190</v>
      </c>
      <c r="C39" s="291" t="s">
        <v>191</v>
      </c>
      <c r="D39" s="288">
        <f>AVERAGE(H39,L39,P39,T39)</f>
        <v>3</v>
      </c>
      <c r="E39" s="74">
        <f t="shared" si="9"/>
        <v>50200000</v>
      </c>
      <c r="F39" s="288">
        <f>AVERAGE(J39,N39,R39,V39)</f>
        <v>0.97499999999999998</v>
      </c>
      <c r="G39" s="74">
        <f t="shared" si="8"/>
        <v>35140000</v>
      </c>
      <c r="H39" s="308">
        <v>3</v>
      </c>
      <c r="I39" s="214">
        <v>35140000</v>
      </c>
      <c r="J39" s="404">
        <v>3</v>
      </c>
      <c r="K39" s="356">
        <v>35140000</v>
      </c>
      <c r="L39" s="311">
        <v>3</v>
      </c>
      <c r="M39" s="643">
        <v>15060000</v>
      </c>
      <c r="N39" s="440">
        <v>0.9</v>
      </c>
      <c r="O39" s="74">
        <v>0</v>
      </c>
      <c r="P39" s="311">
        <v>3</v>
      </c>
      <c r="Q39" s="74">
        <v>0</v>
      </c>
      <c r="R39" s="74">
        <v>0</v>
      </c>
      <c r="S39" s="74">
        <v>0</v>
      </c>
      <c r="T39" s="311">
        <v>3</v>
      </c>
      <c r="U39" s="74">
        <v>0</v>
      </c>
      <c r="V39" s="73">
        <v>0</v>
      </c>
      <c r="W39" s="261">
        <v>0</v>
      </c>
      <c r="X39" s="620"/>
    </row>
    <row r="40" spans="1:26" ht="61.5" customHeight="1">
      <c r="A40" s="379" t="s">
        <v>541</v>
      </c>
      <c r="B40" s="228" t="s">
        <v>188</v>
      </c>
      <c r="C40" s="213" t="s">
        <v>542</v>
      </c>
      <c r="D40" s="288">
        <f>+H40+L40+P40+T40</f>
        <v>7</v>
      </c>
      <c r="E40" s="74">
        <f>+I40+M40+Q40+U40</f>
        <v>419933440</v>
      </c>
      <c r="F40" s="74">
        <f>+J40+N40+R40+V40</f>
        <v>1.4</v>
      </c>
      <c r="G40" s="74">
        <f t="shared" si="8"/>
        <v>137730345</v>
      </c>
      <c r="H40" s="308">
        <v>1</v>
      </c>
      <c r="I40" s="74">
        <v>49196000</v>
      </c>
      <c r="J40" s="404">
        <v>1</v>
      </c>
      <c r="K40" s="248">
        <v>49194345</v>
      </c>
      <c r="L40" s="311">
        <v>2</v>
      </c>
      <c r="M40" s="643">
        <v>139907860</v>
      </c>
      <c r="N40" s="440">
        <v>0.4</v>
      </c>
      <c r="O40" s="74">
        <v>88536000</v>
      </c>
      <c r="P40" s="311">
        <v>2</v>
      </c>
      <c r="Q40" s="74">
        <v>100829580</v>
      </c>
      <c r="R40" s="74">
        <v>0</v>
      </c>
      <c r="S40" s="74">
        <v>0</v>
      </c>
      <c r="T40" s="311">
        <v>2</v>
      </c>
      <c r="U40" s="74">
        <v>130000000</v>
      </c>
      <c r="V40" s="271">
        <v>0</v>
      </c>
      <c r="W40" s="261">
        <v>0</v>
      </c>
      <c r="X40" s="620"/>
    </row>
    <row r="41" spans="1:26" ht="58.5" customHeight="1">
      <c r="A41" s="375" t="s">
        <v>389</v>
      </c>
      <c r="B41" s="228" t="s">
        <v>188</v>
      </c>
      <c r="C41" s="213" t="s">
        <v>1</v>
      </c>
      <c r="D41" s="641">
        <v>100</v>
      </c>
      <c r="E41" s="74">
        <f t="shared" si="9"/>
        <v>0</v>
      </c>
      <c r="F41" s="288">
        <f>AVERAGE(J41,N41,R41,V41)</f>
        <v>2.5</v>
      </c>
      <c r="G41" s="74">
        <f t="shared" si="8"/>
        <v>0</v>
      </c>
      <c r="H41" s="308">
        <v>0</v>
      </c>
      <c r="I41" s="214">
        <v>0</v>
      </c>
      <c r="J41" s="404">
        <v>0</v>
      </c>
      <c r="K41" s="356">
        <v>0</v>
      </c>
      <c r="L41" s="311">
        <v>33</v>
      </c>
      <c r="M41" s="643">
        <v>0</v>
      </c>
      <c r="N41" s="758">
        <v>10</v>
      </c>
      <c r="O41" s="74">
        <v>0</v>
      </c>
      <c r="P41" s="311">
        <v>33</v>
      </c>
      <c r="Q41" s="74">
        <v>0</v>
      </c>
      <c r="R41" s="74">
        <v>0</v>
      </c>
      <c r="S41" s="74">
        <v>0</v>
      </c>
      <c r="T41" s="311">
        <v>33</v>
      </c>
      <c r="U41" s="74">
        <v>0</v>
      </c>
      <c r="V41" s="73">
        <v>0</v>
      </c>
      <c r="W41" s="261">
        <v>0</v>
      </c>
      <c r="X41" s="620"/>
    </row>
    <row r="42" spans="1:26" ht="43.5" customHeight="1">
      <c r="A42" s="372" t="s">
        <v>395</v>
      </c>
      <c r="B42" s="228" t="s">
        <v>188</v>
      </c>
      <c r="C42" s="213" t="s">
        <v>133</v>
      </c>
      <c r="D42" s="288">
        <f>+H42+L42+P42+T42</f>
        <v>3</v>
      </c>
      <c r="E42" s="74">
        <f t="shared" si="9"/>
        <v>36144000</v>
      </c>
      <c r="F42" s="74">
        <f>+J42+N42+R42+V42</f>
        <v>0.1</v>
      </c>
      <c r="G42" s="74">
        <f t="shared" si="8"/>
        <v>0</v>
      </c>
      <c r="H42" s="308">
        <v>0</v>
      </c>
      <c r="I42" s="214">
        <v>0</v>
      </c>
      <c r="J42" s="404">
        <v>0</v>
      </c>
      <c r="K42" s="356">
        <v>0</v>
      </c>
      <c r="L42" s="311">
        <v>1</v>
      </c>
      <c r="M42" s="643">
        <v>36144000</v>
      </c>
      <c r="N42" s="758">
        <v>0.1</v>
      </c>
      <c r="O42" s="74">
        <v>0</v>
      </c>
      <c r="P42" s="311">
        <v>1</v>
      </c>
      <c r="Q42" s="74">
        <v>0</v>
      </c>
      <c r="R42" s="74">
        <v>0</v>
      </c>
      <c r="S42" s="74">
        <v>0</v>
      </c>
      <c r="T42" s="311">
        <v>1</v>
      </c>
      <c r="U42" s="74">
        <v>0</v>
      </c>
      <c r="V42" s="73">
        <v>0</v>
      </c>
      <c r="W42" s="261">
        <v>0</v>
      </c>
      <c r="X42" s="620"/>
    </row>
    <row r="43" spans="1:26" ht="43.5" customHeight="1">
      <c r="A43" s="375" t="s">
        <v>390</v>
      </c>
      <c r="B43" s="228" t="s">
        <v>190</v>
      </c>
      <c r="C43" s="213" t="s">
        <v>1</v>
      </c>
      <c r="D43" s="641">
        <f>AVERAGE(H43,L43,P43,T43)</f>
        <v>100</v>
      </c>
      <c r="E43" s="74">
        <f t="shared" si="9"/>
        <v>0</v>
      </c>
      <c r="F43" s="288">
        <f>AVERAGE(J43,N43,R43,V43)</f>
        <v>37.5</v>
      </c>
      <c r="G43" s="74">
        <f t="shared" si="8"/>
        <v>0</v>
      </c>
      <c r="H43" s="308">
        <v>100</v>
      </c>
      <c r="I43" s="214">
        <v>0</v>
      </c>
      <c r="J43" s="404">
        <v>100</v>
      </c>
      <c r="K43" s="356">
        <v>0</v>
      </c>
      <c r="L43" s="311">
        <v>100</v>
      </c>
      <c r="M43" s="643">
        <v>0</v>
      </c>
      <c r="N43" s="404">
        <v>50</v>
      </c>
      <c r="O43" s="74">
        <v>0</v>
      </c>
      <c r="P43" s="311">
        <v>100</v>
      </c>
      <c r="Q43" s="74">
        <v>0</v>
      </c>
      <c r="R43" s="74">
        <v>0</v>
      </c>
      <c r="S43" s="74">
        <v>0</v>
      </c>
      <c r="T43" s="311">
        <v>100</v>
      </c>
      <c r="U43" s="74">
        <v>0</v>
      </c>
      <c r="V43" s="73">
        <v>0</v>
      </c>
      <c r="W43" s="261">
        <v>0</v>
      </c>
      <c r="X43" s="620"/>
    </row>
    <row r="44" spans="1:26" ht="43.5" customHeight="1">
      <c r="A44" s="372" t="s">
        <v>396</v>
      </c>
      <c r="B44" s="228" t="s">
        <v>190</v>
      </c>
      <c r="C44" s="213" t="s">
        <v>397</v>
      </c>
      <c r="D44" s="288">
        <f>AVERAGE(H44,L44,P44,T44)</f>
        <v>1</v>
      </c>
      <c r="E44" s="74">
        <f t="shared" si="9"/>
        <v>5832289</v>
      </c>
      <c r="F44" s="288">
        <f>AVERAGE(J44,N44,R44,V44)</f>
        <v>0.375</v>
      </c>
      <c r="G44" s="74">
        <f t="shared" si="8"/>
        <v>0</v>
      </c>
      <c r="H44" s="308">
        <v>1</v>
      </c>
      <c r="I44" s="214">
        <v>0</v>
      </c>
      <c r="J44" s="437">
        <v>1</v>
      </c>
      <c r="K44" s="356">
        <v>0</v>
      </c>
      <c r="L44" s="311">
        <v>1</v>
      </c>
      <c r="M44" s="643">
        <v>5832289</v>
      </c>
      <c r="N44" s="440">
        <v>0.5</v>
      </c>
      <c r="O44" s="74">
        <v>0</v>
      </c>
      <c r="P44" s="311">
        <v>1</v>
      </c>
      <c r="Q44" s="74">
        <v>0</v>
      </c>
      <c r="R44" s="74">
        <v>0</v>
      </c>
      <c r="S44" s="74">
        <v>0</v>
      </c>
      <c r="T44" s="311">
        <v>1</v>
      </c>
      <c r="U44" s="74">
        <v>0</v>
      </c>
      <c r="V44" s="73">
        <v>0</v>
      </c>
      <c r="W44" s="261">
        <v>0</v>
      </c>
      <c r="X44" s="620"/>
    </row>
    <row r="45" spans="1:26" ht="43.5" customHeight="1">
      <c r="A45" s="379" t="s">
        <v>532</v>
      </c>
      <c r="B45" s="331"/>
      <c r="C45" s="213" t="s">
        <v>533</v>
      </c>
      <c r="D45" s="333">
        <v>0</v>
      </c>
      <c r="E45" s="74">
        <f t="shared" si="9"/>
        <v>110507565</v>
      </c>
      <c r="F45" s="74">
        <v>0</v>
      </c>
      <c r="G45" s="74">
        <f t="shared" si="8"/>
        <v>54623470</v>
      </c>
      <c r="H45" s="308"/>
      <c r="I45" s="74">
        <v>35810969</v>
      </c>
      <c r="J45" s="411"/>
      <c r="K45" s="358">
        <v>35162410</v>
      </c>
      <c r="L45" s="313"/>
      <c r="M45" s="645">
        <f>+'[1]PROYECTO 2.1 '!$E$28+'[1]PROYECTO 2.1 '!$E$29+'[1]PROYECTO 2.1 '!$E$30+'[1]PROYECTO 2.1 '!$E$31</f>
        <v>23694400</v>
      </c>
      <c r="N45" s="411"/>
      <c r="O45" s="256">
        <v>19461060</v>
      </c>
      <c r="P45" s="313"/>
      <c r="Q45" s="256">
        <v>24879120</v>
      </c>
      <c r="R45" s="256"/>
      <c r="S45" s="256"/>
      <c r="T45" s="313"/>
      <c r="U45" s="256">
        <f>+Q45*1.05</f>
        <v>26123076</v>
      </c>
      <c r="V45" s="334"/>
      <c r="W45" s="335"/>
      <c r="X45" s="620"/>
    </row>
    <row r="46" spans="1:26" ht="75.75" customHeight="1">
      <c r="A46" s="346" t="s">
        <v>521</v>
      </c>
      <c r="B46" s="235"/>
      <c r="C46" s="236"/>
      <c r="D46" s="237"/>
      <c r="E46" s="238">
        <f>SUM(E47:E54)</f>
        <v>6187802710.8500004</v>
      </c>
      <c r="F46" s="222"/>
      <c r="G46" s="221">
        <f>SUM(G47:G54)</f>
        <v>2016179332</v>
      </c>
      <c r="H46" s="306"/>
      <c r="I46" s="221">
        <f>SUM(I47:I54)</f>
        <v>1661784304</v>
      </c>
      <c r="J46" s="412"/>
      <c r="K46" s="269">
        <f>SUM(K47:K54)</f>
        <v>1646505841</v>
      </c>
      <c r="L46" s="324"/>
      <c r="M46" s="615">
        <f>SUM(M47:M54)</f>
        <v>1458437028</v>
      </c>
      <c r="N46" s="238"/>
      <c r="O46" s="238">
        <f>SUM(O47:O54)</f>
        <v>369673491</v>
      </c>
      <c r="P46" s="324"/>
      <c r="Q46" s="238">
        <f>SUM(Q47:Q54)</f>
        <v>1449999999.8499999</v>
      </c>
      <c r="R46" s="238"/>
      <c r="S46" s="238">
        <f>SUM(S47:S54)</f>
        <v>0</v>
      </c>
      <c r="T46" s="324"/>
      <c r="U46" s="238">
        <f>SUM(U47:U54)</f>
        <v>1617581379</v>
      </c>
      <c r="V46" s="265">
        <f>SUM(V47:V52)</f>
        <v>0</v>
      </c>
      <c r="W46" s="380">
        <f>SUM(W47:W54)</f>
        <v>0</v>
      </c>
      <c r="X46" s="620"/>
      <c r="Z46" s="620"/>
    </row>
    <row r="47" spans="1:26" ht="42.75" customHeight="1">
      <c r="A47" s="375" t="s">
        <v>398</v>
      </c>
      <c r="B47" s="292" t="s">
        <v>506</v>
      </c>
      <c r="C47" s="248" t="s">
        <v>1</v>
      </c>
      <c r="D47" s="288">
        <f>AVERAGE(H47,L47,P47,T47)</f>
        <v>100</v>
      </c>
      <c r="E47" s="74">
        <f>+I47+M47+Q47+U47</f>
        <v>0</v>
      </c>
      <c r="F47" s="288">
        <f t="shared" ref="F47:F53" si="10">AVERAGE(J47,N47,R47,V47)</f>
        <v>31.25</v>
      </c>
      <c r="G47" s="442">
        <f t="shared" ref="G47:G54" si="11">+K47+O47+S47+W47</f>
        <v>0</v>
      </c>
      <c r="H47" s="347">
        <v>100</v>
      </c>
      <c r="J47" s="426">
        <v>100</v>
      </c>
      <c r="K47" s="248">
        <v>0</v>
      </c>
      <c r="L47" s="311">
        <v>100</v>
      </c>
      <c r="M47" s="643">
        <v>0</v>
      </c>
      <c r="N47" s="404">
        <v>25</v>
      </c>
      <c r="O47" s="239">
        <v>0</v>
      </c>
      <c r="P47" s="311">
        <v>100</v>
      </c>
      <c r="Q47" s="74">
        <v>0</v>
      </c>
      <c r="R47" s="74">
        <v>0</v>
      </c>
      <c r="S47" s="74">
        <v>0</v>
      </c>
      <c r="T47" s="311">
        <v>100</v>
      </c>
      <c r="U47" s="624">
        <v>0</v>
      </c>
      <c r="V47" s="73">
        <v>0</v>
      </c>
      <c r="W47" s="261">
        <v>0</v>
      </c>
      <c r="X47" s="620"/>
      <c r="Z47" s="620"/>
    </row>
    <row r="48" spans="1:26" ht="46.5" customHeight="1">
      <c r="A48" s="372" t="s">
        <v>543</v>
      </c>
      <c r="B48" s="292" t="s">
        <v>506</v>
      </c>
      <c r="C48" s="286" t="s">
        <v>464</v>
      </c>
      <c r="D48" s="288">
        <v>192128</v>
      </c>
      <c r="E48" s="74">
        <f t="shared" ref="E48:E54" si="12">+I48+M48+Q48+U48</f>
        <v>1867043422</v>
      </c>
      <c r="F48" s="641">
        <f t="shared" si="10"/>
        <v>12959.25</v>
      </c>
      <c r="G48" s="442">
        <f t="shared" si="11"/>
        <v>1486799357</v>
      </c>
      <c r="H48" s="321">
        <v>35140</v>
      </c>
      <c r="I48" s="74">
        <v>1418862043</v>
      </c>
      <c r="J48" s="426">
        <v>35140</v>
      </c>
      <c r="K48" s="248">
        <v>1413507357</v>
      </c>
      <c r="L48" s="311">
        <v>66787</v>
      </c>
      <c r="M48" s="643">
        <v>150600000</v>
      </c>
      <c r="N48" s="404">
        <v>16697</v>
      </c>
      <c r="O48" s="239">
        <v>73292000</v>
      </c>
      <c r="P48" s="311">
        <v>124595</v>
      </c>
      <c r="Q48" s="74">
        <v>100000000</v>
      </c>
      <c r="R48" s="74">
        <v>0</v>
      </c>
      <c r="S48" s="74">
        <v>0</v>
      </c>
      <c r="T48" s="311">
        <v>192128</v>
      </c>
      <c r="U48" s="624">
        <v>197581379</v>
      </c>
      <c r="V48" s="73">
        <v>0</v>
      </c>
      <c r="W48" s="261">
        <v>0</v>
      </c>
      <c r="X48" s="620"/>
    </row>
    <row r="49" spans="1:31" ht="46.5" customHeight="1">
      <c r="A49" s="372" t="s">
        <v>544</v>
      </c>
      <c r="B49" s="292"/>
      <c r="C49" s="286" t="s">
        <v>464</v>
      </c>
      <c r="D49" s="288">
        <v>112666</v>
      </c>
      <c r="E49" s="74">
        <f t="shared" si="12"/>
        <v>2882246601</v>
      </c>
      <c r="F49" s="641">
        <f t="shared" si="10"/>
        <v>120982</v>
      </c>
      <c r="G49" s="442">
        <f t="shared" si="11"/>
        <v>239454000</v>
      </c>
      <c r="H49" s="321">
        <v>186743</v>
      </c>
      <c r="I49" s="74"/>
      <c r="J49" s="426">
        <v>186743</v>
      </c>
      <c r="K49" s="248"/>
      <c r="L49" s="311">
        <v>220884</v>
      </c>
      <c r="M49" s="643">
        <v>932246601</v>
      </c>
      <c r="N49" s="404">
        <v>55221</v>
      </c>
      <c r="O49" s="239">
        <f>272586000-33132000</f>
        <v>239454000</v>
      </c>
      <c r="P49" s="311">
        <v>169070</v>
      </c>
      <c r="Q49" s="74">
        <v>950000000</v>
      </c>
      <c r="R49" s="74"/>
      <c r="S49" s="74"/>
      <c r="T49" s="311">
        <v>112666</v>
      </c>
      <c r="U49" s="624">
        <v>1000000000</v>
      </c>
      <c r="V49" s="73"/>
      <c r="W49" s="261"/>
      <c r="X49" s="620"/>
    </row>
    <row r="50" spans="1:31" ht="46.5" customHeight="1">
      <c r="A50" s="375" t="s">
        <v>399</v>
      </c>
      <c r="B50" s="292" t="s">
        <v>190</v>
      </c>
      <c r="C50" s="248" t="s">
        <v>1</v>
      </c>
      <c r="D50" s="248">
        <f>+H50+L50+P50+T50</f>
        <v>100</v>
      </c>
      <c r="E50" s="74">
        <f t="shared" si="12"/>
        <v>0</v>
      </c>
      <c r="F50" s="641">
        <f t="shared" si="10"/>
        <v>8.75</v>
      </c>
      <c r="G50" s="442">
        <f t="shared" si="11"/>
        <v>0</v>
      </c>
      <c r="H50" s="321">
        <v>25</v>
      </c>
      <c r="I50" s="74">
        <v>0</v>
      </c>
      <c r="J50" s="426">
        <v>25</v>
      </c>
      <c r="K50" s="248">
        <v>0</v>
      </c>
      <c r="L50" s="311">
        <v>25</v>
      </c>
      <c r="M50" s="643">
        <v>0</v>
      </c>
      <c r="N50" s="404">
        <v>10</v>
      </c>
      <c r="O50" s="239">
        <v>0</v>
      </c>
      <c r="P50" s="311">
        <v>25</v>
      </c>
      <c r="Q50" s="74">
        <v>0</v>
      </c>
      <c r="R50" s="74">
        <v>0</v>
      </c>
      <c r="S50" s="74">
        <v>0</v>
      </c>
      <c r="T50" s="311">
        <v>25</v>
      </c>
      <c r="U50" s="624">
        <v>0</v>
      </c>
      <c r="V50" s="73">
        <v>0</v>
      </c>
      <c r="W50" s="261">
        <v>0</v>
      </c>
      <c r="X50" s="620"/>
    </row>
    <row r="51" spans="1:31" ht="42.75" customHeight="1">
      <c r="A51" s="372" t="s">
        <v>401</v>
      </c>
      <c r="B51" s="292" t="s">
        <v>190</v>
      </c>
      <c r="C51" s="213" t="s">
        <v>189</v>
      </c>
      <c r="D51" s="288">
        <v>267</v>
      </c>
      <c r="E51" s="74">
        <f t="shared" si="12"/>
        <v>878201284</v>
      </c>
      <c r="F51" s="323">
        <f t="shared" si="10"/>
        <v>67</v>
      </c>
      <c r="G51" s="442">
        <f t="shared" si="11"/>
        <v>160448537</v>
      </c>
      <c r="H51" s="325">
        <v>192</v>
      </c>
      <c r="I51" s="74">
        <v>168042178</v>
      </c>
      <c r="J51" s="426">
        <v>192</v>
      </c>
      <c r="K51" s="248">
        <v>160448537</v>
      </c>
      <c r="L51" s="311">
        <v>217</v>
      </c>
      <c r="M51" s="643">
        <v>228002690</v>
      </c>
      <c r="N51" s="404">
        <v>76</v>
      </c>
      <c r="O51" s="239">
        <v>0</v>
      </c>
      <c r="P51" s="311">
        <v>242</v>
      </c>
      <c r="Q51" s="74">
        <v>242156416</v>
      </c>
      <c r="R51" s="74">
        <v>0</v>
      </c>
      <c r="S51" s="74">
        <v>0</v>
      </c>
      <c r="T51" s="311">
        <v>267</v>
      </c>
      <c r="U51" s="74">
        <v>240000000</v>
      </c>
      <c r="V51" s="272">
        <v>0</v>
      </c>
      <c r="W51" s="261">
        <v>0</v>
      </c>
      <c r="X51" s="620"/>
    </row>
    <row r="52" spans="1:31" ht="49.5" customHeight="1">
      <c r="A52" s="375" t="s">
        <v>400</v>
      </c>
      <c r="B52" s="228" t="s">
        <v>192</v>
      </c>
      <c r="C52" s="213" t="s">
        <v>181</v>
      </c>
      <c r="D52" s="288">
        <f>AVERAGE(H52,L52,P52,T52)</f>
        <v>100</v>
      </c>
      <c r="E52" s="74">
        <f t="shared" si="12"/>
        <v>0</v>
      </c>
      <c r="F52" s="74">
        <f t="shared" si="10"/>
        <v>50</v>
      </c>
      <c r="G52" s="442">
        <f t="shared" si="11"/>
        <v>0</v>
      </c>
      <c r="H52" s="308">
        <v>100</v>
      </c>
      <c r="I52" s="214">
        <v>0</v>
      </c>
      <c r="J52" s="404">
        <v>100</v>
      </c>
      <c r="K52" s="356">
        <v>0</v>
      </c>
      <c r="L52" s="311">
        <v>100</v>
      </c>
      <c r="M52" s="643">
        <v>0</v>
      </c>
      <c r="N52" s="404">
        <v>100</v>
      </c>
      <c r="O52" s="74">
        <v>0</v>
      </c>
      <c r="P52" s="311">
        <v>100</v>
      </c>
      <c r="Q52" s="74">
        <v>0</v>
      </c>
      <c r="R52" s="74">
        <v>0</v>
      </c>
      <c r="S52" s="74">
        <v>0</v>
      </c>
      <c r="T52" s="311">
        <v>100</v>
      </c>
      <c r="U52" s="74">
        <v>0</v>
      </c>
      <c r="V52" s="73">
        <v>0</v>
      </c>
      <c r="W52" s="261">
        <v>0</v>
      </c>
      <c r="X52" s="620"/>
    </row>
    <row r="53" spans="1:31" ht="41.25" customHeight="1">
      <c r="A53" s="372" t="s">
        <v>466</v>
      </c>
      <c r="B53" s="215" t="s">
        <v>190</v>
      </c>
      <c r="C53" s="215" t="s">
        <v>397</v>
      </c>
      <c r="D53" s="288">
        <f>AVERAGE(H53,L53,P53,T53)</f>
        <v>4</v>
      </c>
      <c r="E53" s="74">
        <f t="shared" si="12"/>
        <v>464038524.85000002</v>
      </c>
      <c r="F53" s="74">
        <f t="shared" si="10"/>
        <v>2</v>
      </c>
      <c r="G53" s="442">
        <f t="shared" si="11"/>
        <v>97150744</v>
      </c>
      <c r="H53" s="306">
        <v>4</v>
      </c>
      <c r="I53" s="336">
        <v>65978274</v>
      </c>
      <c r="J53" s="413">
        <v>4</v>
      </c>
      <c r="K53" s="248">
        <v>64018744</v>
      </c>
      <c r="L53" s="311">
        <v>4</v>
      </c>
      <c r="M53" s="643">
        <v>118973737</v>
      </c>
      <c r="N53" s="440">
        <v>4</v>
      </c>
      <c r="O53" s="74">
        <v>33132000</v>
      </c>
      <c r="P53" s="311">
        <v>4</v>
      </c>
      <c r="Q53" s="74">
        <v>129086513.85000001</v>
      </c>
      <c r="R53" s="74">
        <v>0</v>
      </c>
      <c r="S53" s="74">
        <v>0</v>
      </c>
      <c r="T53" s="311">
        <v>4</v>
      </c>
      <c r="U53" s="624">
        <v>150000000</v>
      </c>
      <c r="V53" s="73">
        <v>0</v>
      </c>
      <c r="W53" s="261">
        <v>0</v>
      </c>
      <c r="X53" s="620"/>
    </row>
    <row r="54" spans="1:31" ht="41.25" customHeight="1">
      <c r="A54" s="379" t="s">
        <v>532</v>
      </c>
      <c r="B54" s="331"/>
      <c r="C54" s="332" t="s">
        <v>533</v>
      </c>
      <c r="D54" s="333">
        <v>0</v>
      </c>
      <c r="E54" s="74">
        <f t="shared" si="12"/>
        <v>96272879</v>
      </c>
      <c r="F54" s="250"/>
      <c r="G54" s="442">
        <f t="shared" si="11"/>
        <v>32326694</v>
      </c>
      <c r="H54" s="304"/>
      <c r="I54" s="337">
        <v>8901809</v>
      </c>
      <c r="J54" s="414"/>
      <c r="K54" s="353">
        <v>8531203</v>
      </c>
      <c r="L54" s="309"/>
      <c r="M54" s="642">
        <f>+'[1]PROYECTO 2.2'!$E$23+'[1]PROYECTO 2.2'!$E$24+'[1]PROYECTO 2.2'!$E$25+'[1]PROYECTO 2.2'!$E$26</f>
        <v>28614000</v>
      </c>
      <c r="N54" s="426"/>
      <c r="O54" s="339">
        <v>23795491</v>
      </c>
      <c r="P54" s="309"/>
      <c r="Q54" s="338">
        <v>28757069.999999996</v>
      </c>
      <c r="R54" s="338"/>
      <c r="S54" s="338"/>
      <c r="T54" s="309"/>
      <c r="U54" s="625">
        <v>30000000</v>
      </c>
      <c r="V54" s="341"/>
      <c r="W54" s="342"/>
      <c r="X54" s="620"/>
    </row>
    <row r="55" spans="1:31" ht="52.5" customHeight="1">
      <c r="A55" s="298" t="s">
        <v>402</v>
      </c>
      <c r="B55" s="211"/>
      <c r="C55" s="241"/>
      <c r="D55" s="241"/>
      <c r="E55" s="299">
        <f>+E56+E64</f>
        <v>12047232820.75</v>
      </c>
      <c r="F55" s="241"/>
      <c r="G55" s="300">
        <f>+G56+G64</f>
        <v>6594925746</v>
      </c>
      <c r="H55" s="314">
        <v>0</v>
      </c>
      <c r="I55" s="300">
        <f>+I56+I64</f>
        <v>6601341452</v>
      </c>
      <c r="J55" s="415"/>
      <c r="K55" s="359">
        <f>+K56+K64</f>
        <v>6311475737</v>
      </c>
      <c r="L55" s="300"/>
      <c r="M55" s="614">
        <f>+M56+M64</f>
        <v>2912925458</v>
      </c>
      <c r="N55" s="300"/>
      <c r="O55" s="300">
        <f>+O56+O64</f>
        <v>283450009</v>
      </c>
      <c r="P55" s="300"/>
      <c r="Q55" s="614">
        <f>+Q56+Q64</f>
        <v>1195179075</v>
      </c>
      <c r="R55" s="300"/>
      <c r="S55" s="300">
        <f>+S56+S64</f>
        <v>0</v>
      </c>
      <c r="T55" s="300"/>
      <c r="U55" s="614">
        <f>+U56+U64</f>
        <v>1337786835.75</v>
      </c>
      <c r="V55" s="300"/>
      <c r="W55" s="381">
        <f>+W56+W64</f>
        <v>0</v>
      </c>
      <c r="X55" s="620"/>
    </row>
    <row r="56" spans="1:31" ht="51" customHeight="1">
      <c r="A56" s="350" t="s">
        <v>520</v>
      </c>
      <c r="B56" s="226"/>
      <c r="C56" s="244"/>
      <c r="D56" s="245"/>
      <c r="E56" s="246">
        <f>SUM(E57:E63)</f>
        <v>10056254887.75</v>
      </c>
      <c r="F56" s="247"/>
      <c r="G56" s="246">
        <f>SUM(G57:G63)</f>
        <v>6453870826</v>
      </c>
      <c r="H56" s="315">
        <v>0</v>
      </c>
      <c r="I56" s="364">
        <f>SUM(I57:I63)</f>
        <v>6454547219</v>
      </c>
      <c r="J56" s="416"/>
      <c r="K56" s="357">
        <f>SUM(K57:K63)</f>
        <v>6187869567</v>
      </c>
      <c r="L56" s="245">
        <v>0</v>
      </c>
      <c r="M56" s="300">
        <f>SUM(M57:M63)</f>
        <v>2068741758</v>
      </c>
      <c r="N56" s="245">
        <v>0</v>
      </c>
      <c r="O56" s="246">
        <f>SUM(O57:O63)</f>
        <v>266001259</v>
      </c>
      <c r="P56" s="246">
        <v>0</v>
      </c>
      <c r="Q56" s="246">
        <f>SUM(Q57:Q63)</f>
        <v>795179075</v>
      </c>
      <c r="R56" s="246">
        <v>0</v>
      </c>
      <c r="S56" s="246">
        <f>SUM(S57:S63)</f>
        <v>0</v>
      </c>
      <c r="T56" s="246">
        <v>0</v>
      </c>
      <c r="U56" s="246">
        <f>SUM(U57:U63)</f>
        <v>737786835.75</v>
      </c>
      <c r="V56" s="266"/>
      <c r="W56" s="382">
        <f>SUM(W57:W63)</f>
        <v>0</v>
      </c>
      <c r="X56" s="620"/>
      <c r="Z56" s="620">
        <v>737786836</v>
      </c>
    </row>
    <row r="57" spans="1:31" ht="41.25" customHeight="1">
      <c r="A57" s="290" t="s">
        <v>404</v>
      </c>
      <c r="B57" s="292" t="s">
        <v>188</v>
      </c>
      <c r="C57" s="213" t="s">
        <v>1</v>
      </c>
      <c r="D57" s="288">
        <f>+H57+L57+P57+T57</f>
        <v>100</v>
      </c>
      <c r="E57" s="74">
        <f>+I57+M57+Q57+U57</f>
        <v>718283600</v>
      </c>
      <c r="F57" s="74">
        <f>+J57+N57+R57+V57</f>
        <v>44</v>
      </c>
      <c r="G57" s="74">
        <f t="shared" ref="G57:G63" si="13">+K57+O57+S57+W57</f>
        <v>249996000</v>
      </c>
      <c r="H57" s="311">
        <v>25</v>
      </c>
      <c r="I57" s="74">
        <v>80922400</v>
      </c>
      <c r="J57" s="404">
        <v>25</v>
      </c>
      <c r="K57" s="248">
        <v>80922400</v>
      </c>
      <c r="L57" s="311">
        <v>25</v>
      </c>
      <c r="M57" s="643">
        <v>227361200</v>
      </c>
      <c r="N57" s="404">
        <v>19</v>
      </c>
      <c r="O57" s="74">
        <v>169073600</v>
      </c>
      <c r="P57" s="311">
        <v>25</v>
      </c>
      <c r="Q57" s="74">
        <v>200000000</v>
      </c>
      <c r="R57" s="74">
        <v>0</v>
      </c>
      <c r="S57" s="74">
        <v>0</v>
      </c>
      <c r="T57" s="311">
        <v>25</v>
      </c>
      <c r="U57" s="74">
        <f>+Q57*1.05</f>
        <v>210000000</v>
      </c>
      <c r="V57" s="73">
        <v>0</v>
      </c>
      <c r="W57" s="261">
        <v>0</v>
      </c>
      <c r="X57" s="620"/>
      <c r="Z57" s="620">
        <f>+U56-Z56</f>
        <v>-0.25</v>
      </c>
    </row>
    <row r="58" spans="1:31" ht="54">
      <c r="A58" s="375" t="s">
        <v>405</v>
      </c>
      <c r="B58" s="292" t="s">
        <v>188</v>
      </c>
      <c r="C58" s="213" t="s">
        <v>1</v>
      </c>
      <c r="D58" s="288">
        <f>+H58+L58+P58+T58</f>
        <v>100</v>
      </c>
      <c r="E58" s="74">
        <f t="shared" ref="E58:E68" si="14">+I58+M58+Q58+U58</f>
        <v>0</v>
      </c>
      <c r="F58" s="74">
        <f>AVERAGE(J58,N58,R58,V58)</f>
        <v>8.25</v>
      </c>
      <c r="G58" s="74">
        <f t="shared" si="13"/>
        <v>0</v>
      </c>
      <c r="H58" s="311">
        <v>19</v>
      </c>
      <c r="I58" s="74">
        <v>0</v>
      </c>
      <c r="J58" s="404">
        <v>19</v>
      </c>
      <c r="K58" s="248">
        <v>0</v>
      </c>
      <c r="L58" s="321">
        <v>27</v>
      </c>
      <c r="M58" s="643">
        <v>0</v>
      </c>
      <c r="N58" s="404">
        <v>14</v>
      </c>
      <c r="O58" s="74">
        <v>0</v>
      </c>
      <c r="P58" s="311">
        <v>27</v>
      </c>
      <c r="Q58" s="74">
        <v>0</v>
      </c>
      <c r="R58" s="74">
        <v>0</v>
      </c>
      <c r="S58" s="74">
        <v>0</v>
      </c>
      <c r="T58" s="311">
        <v>27</v>
      </c>
      <c r="U58" s="74">
        <v>0</v>
      </c>
      <c r="V58" s="74">
        <v>0</v>
      </c>
      <c r="W58" s="383">
        <v>0</v>
      </c>
      <c r="X58" s="620"/>
      <c r="Y58" s="622"/>
      <c r="Z58" s="622"/>
      <c r="AA58" s="301"/>
      <c r="AB58" s="301"/>
      <c r="AC58" s="301"/>
      <c r="AD58" s="302"/>
      <c r="AE58" s="303"/>
    </row>
    <row r="59" spans="1:31" ht="54">
      <c r="A59" s="384" t="s">
        <v>406</v>
      </c>
      <c r="B59" s="292" t="s">
        <v>188</v>
      </c>
      <c r="C59" s="213" t="s">
        <v>507</v>
      </c>
      <c r="D59" s="288">
        <f>+H59+L59+P59+T59</f>
        <v>11</v>
      </c>
      <c r="E59" s="74">
        <f>+I59+M59+Q59+U59</f>
        <v>2530828382</v>
      </c>
      <c r="F59" s="74">
        <f>+J59+N59+R59+V59</f>
        <v>4</v>
      </c>
      <c r="G59" s="74">
        <f t="shared" si="13"/>
        <v>1415126484</v>
      </c>
      <c r="H59" s="311">
        <v>2</v>
      </c>
      <c r="I59" s="74">
        <v>1655479575</v>
      </c>
      <c r="J59" s="404">
        <v>2</v>
      </c>
      <c r="K59" s="248">
        <v>1397054484</v>
      </c>
      <c r="L59" s="311">
        <v>3</v>
      </c>
      <c r="M59" s="643">
        <v>460000000</v>
      </c>
      <c r="N59" s="404">
        <v>2</v>
      </c>
      <c r="O59" s="74">
        <v>18072000</v>
      </c>
      <c r="P59" s="311">
        <v>3</v>
      </c>
      <c r="Q59" s="74">
        <v>250000000</v>
      </c>
      <c r="R59" s="74">
        <v>0</v>
      </c>
      <c r="S59" s="74">
        <v>0</v>
      </c>
      <c r="T59" s="311">
        <v>3</v>
      </c>
      <c r="U59" s="74">
        <v>165348807</v>
      </c>
      <c r="V59" s="73">
        <v>0</v>
      </c>
      <c r="W59" s="261">
        <v>0</v>
      </c>
      <c r="X59" s="620"/>
    </row>
    <row r="60" spans="1:31" ht="44.25" customHeight="1">
      <c r="A60" s="385" t="s">
        <v>539</v>
      </c>
      <c r="B60" s="292" t="s">
        <v>190</v>
      </c>
      <c r="C60" s="213" t="s">
        <v>408</v>
      </c>
      <c r="D60" s="288">
        <f>AVERAGE(H60,L60,P60,T60)</f>
        <v>1</v>
      </c>
      <c r="E60" s="74">
        <f t="shared" si="14"/>
        <v>180547367</v>
      </c>
      <c r="F60" s="74">
        <f>AVERAGE(J60,N60,R60,V60)</f>
        <v>0.375</v>
      </c>
      <c r="G60" s="74">
        <f t="shared" si="13"/>
        <v>56625600</v>
      </c>
      <c r="H60" s="306">
        <v>1</v>
      </c>
      <c r="I60" s="74">
        <v>23493600</v>
      </c>
      <c r="J60" s="414">
        <v>1</v>
      </c>
      <c r="K60" s="248">
        <v>23493600</v>
      </c>
      <c r="L60" s="311">
        <v>1</v>
      </c>
      <c r="M60" s="643">
        <v>49818800</v>
      </c>
      <c r="N60" s="440">
        <v>0.5</v>
      </c>
      <c r="O60" s="74">
        <v>33132000</v>
      </c>
      <c r="P60" s="311">
        <v>1</v>
      </c>
      <c r="Q60" s="74">
        <v>52309740</v>
      </c>
      <c r="R60" s="74">
        <v>0</v>
      </c>
      <c r="S60" s="74">
        <v>0</v>
      </c>
      <c r="T60" s="311">
        <v>1</v>
      </c>
      <c r="U60" s="74">
        <f>+Q60*1.05</f>
        <v>54925227</v>
      </c>
      <c r="V60" s="73">
        <v>0</v>
      </c>
      <c r="W60" s="261">
        <v>0</v>
      </c>
      <c r="X60" s="620"/>
    </row>
    <row r="61" spans="1:31" ht="47.25" customHeight="1">
      <c r="A61" s="385" t="s">
        <v>409</v>
      </c>
      <c r="B61" s="292" t="s">
        <v>188</v>
      </c>
      <c r="C61" s="213" t="s">
        <v>410</v>
      </c>
      <c r="D61" s="288">
        <f>+H61+L61+P61+T61</f>
        <v>8</v>
      </c>
      <c r="E61" s="74">
        <f t="shared" si="14"/>
        <v>53050000</v>
      </c>
      <c r="F61" s="74">
        <f>+J61+N61+R61+V61</f>
        <v>3</v>
      </c>
      <c r="G61" s="74">
        <f t="shared" si="13"/>
        <v>0</v>
      </c>
      <c r="H61" s="311">
        <v>2</v>
      </c>
      <c r="I61" s="74">
        <v>0</v>
      </c>
      <c r="J61" s="414">
        <v>2</v>
      </c>
      <c r="K61" s="248">
        <v>0</v>
      </c>
      <c r="L61" s="311">
        <v>2</v>
      </c>
      <c r="M61" s="643">
        <v>10000000</v>
      </c>
      <c r="N61" s="404">
        <v>1</v>
      </c>
      <c r="O61" s="74">
        <v>0</v>
      </c>
      <c r="P61" s="311">
        <v>2</v>
      </c>
      <c r="Q61" s="74">
        <v>21000000</v>
      </c>
      <c r="R61" s="74">
        <v>0</v>
      </c>
      <c r="S61" s="74">
        <v>0</v>
      </c>
      <c r="T61" s="311">
        <v>2</v>
      </c>
      <c r="U61" s="74">
        <f>+Q61*1.05</f>
        <v>22050000</v>
      </c>
      <c r="V61" s="73">
        <v>0</v>
      </c>
      <c r="W61" s="261">
        <v>0</v>
      </c>
      <c r="X61" s="620"/>
    </row>
    <row r="62" spans="1:31" ht="78.75">
      <c r="A62" s="386" t="s">
        <v>411</v>
      </c>
      <c r="B62" s="292" t="s">
        <v>192</v>
      </c>
      <c r="C62" s="213" t="s">
        <v>410</v>
      </c>
      <c r="D62" s="288">
        <f>AVERAGE(H62,L62,P62,T62)</f>
        <v>1.5</v>
      </c>
      <c r="E62" s="74">
        <f>+I62+M62+Q62+U62</f>
        <v>6497904275.75</v>
      </c>
      <c r="F62" s="74">
        <f>AVERAGE(J62,N62,R62,V62)</f>
        <v>0.375</v>
      </c>
      <c r="G62" s="74">
        <f t="shared" si="13"/>
        <v>4699834444</v>
      </c>
      <c r="H62" s="311">
        <v>1</v>
      </c>
      <c r="I62" s="74">
        <v>4676133681</v>
      </c>
      <c r="J62" s="404">
        <v>1</v>
      </c>
      <c r="K62" s="248">
        <v>4668911244</v>
      </c>
      <c r="L62" s="311">
        <v>2</v>
      </c>
      <c r="M62" s="643">
        <v>1303441758</v>
      </c>
      <c r="N62" s="440">
        <v>0.5</v>
      </c>
      <c r="O62" s="74">
        <v>30923200</v>
      </c>
      <c r="P62" s="311">
        <v>1</v>
      </c>
      <c r="Q62" s="74">
        <v>252843335</v>
      </c>
      <c r="R62" s="74">
        <v>0</v>
      </c>
      <c r="S62" s="74">
        <v>0</v>
      </c>
      <c r="T62" s="311">
        <v>2</v>
      </c>
      <c r="U62" s="74">
        <f>+Q62*1.05</f>
        <v>265485501.75</v>
      </c>
      <c r="V62" s="73">
        <v>0</v>
      </c>
      <c r="W62" s="261">
        <v>0</v>
      </c>
      <c r="X62" s="620"/>
    </row>
    <row r="63" spans="1:31" ht="69.75" customHeight="1">
      <c r="A63" s="379" t="s">
        <v>532</v>
      </c>
      <c r="B63" s="331"/>
      <c r="C63" s="213" t="s">
        <v>533</v>
      </c>
      <c r="D63" s="213"/>
      <c r="E63" s="74">
        <f>+I63+M63+Q63+U63</f>
        <v>75641263</v>
      </c>
      <c r="F63" s="74"/>
      <c r="G63" s="74">
        <f t="shared" si="13"/>
        <v>32288298</v>
      </c>
      <c r="H63" s="311"/>
      <c r="I63" s="74">
        <v>18517963</v>
      </c>
      <c r="J63" s="404">
        <v>0</v>
      </c>
      <c r="K63" s="248">
        <v>17487839</v>
      </c>
      <c r="L63" s="311"/>
      <c r="M63" s="643">
        <f>+'[1]PROYECTO 3.1'!$E$29+'[1]PROYECTO 3.1'!$E$30+'[1]PROYECTO 3.1'!$E$31+'[1]PROYECTO 3.1'!$E$32</f>
        <v>18120000</v>
      </c>
      <c r="N63" s="404"/>
      <c r="O63" s="248">
        <v>14800459</v>
      </c>
      <c r="P63" s="311"/>
      <c r="Q63" s="74">
        <v>19026000</v>
      </c>
      <c r="R63" s="74"/>
      <c r="S63" s="74"/>
      <c r="T63" s="311"/>
      <c r="U63" s="74">
        <f>+Q63*1.05</f>
        <v>19977300</v>
      </c>
      <c r="V63" s="340"/>
      <c r="W63" s="342"/>
      <c r="X63" s="620"/>
    </row>
    <row r="64" spans="1:31" ht="36">
      <c r="A64" s="346" t="s">
        <v>519</v>
      </c>
      <c r="B64" s="226"/>
      <c r="C64" s="245"/>
      <c r="D64" s="247"/>
      <c r="E64" s="246">
        <f>SUM(E65:E68)</f>
        <v>1990977933</v>
      </c>
      <c r="F64" s="249"/>
      <c r="G64" s="246">
        <f>SUM(G65:G68)</f>
        <v>141054920</v>
      </c>
      <c r="H64" s="306">
        <v>0</v>
      </c>
      <c r="I64" s="246">
        <f>SUM(I65:I68)</f>
        <v>146794233</v>
      </c>
      <c r="J64" s="416"/>
      <c r="K64" s="357">
        <f>SUM(K65:K68)</f>
        <v>123606170</v>
      </c>
      <c r="L64" s="306">
        <v>0</v>
      </c>
      <c r="M64" s="246">
        <f>SUM(M65:M68)</f>
        <v>844183700</v>
      </c>
      <c r="N64" s="245">
        <v>0</v>
      </c>
      <c r="O64" s="246">
        <f>SUM(O65:O68)</f>
        <v>17448750</v>
      </c>
      <c r="P64" s="327">
        <v>0</v>
      </c>
      <c r="Q64" s="246">
        <f>SUM(Q65:Q68)</f>
        <v>400000000</v>
      </c>
      <c r="R64" s="246">
        <v>0</v>
      </c>
      <c r="S64" s="246">
        <f>SUM(S65:S68)</f>
        <v>0</v>
      </c>
      <c r="T64" s="311">
        <v>0</v>
      </c>
      <c r="U64" s="246">
        <f>SUM(U65:U68)</f>
        <v>600000000</v>
      </c>
      <c r="V64" s="266"/>
      <c r="W64" s="382">
        <f>SUM(W65:W68)</f>
        <v>0</v>
      </c>
      <c r="X64" s="620"/>
      <c r="Z64" s="620">
        <v>600000000</v>
      </c>
    </row>
    <row r="65" spans="1:26" ht="64.5" customHeight="1">
      <c r="A65" s="290" t="s">
        <v>412</v>
      </c>
      <c r="B65" s="217" t="s">
        <v>188</v>
      </c>
      <c r="C65" s="213" t="s">
        <v>1</v>
      </c>
      <c r="D65" s="288">
        <f>+H65+L65+P65+T65</f>
        <v>100</v>
      </c>
      <c r="E65" s="74">
        <f t="shared" si="14"/>
        <v>0</v>
      </c>
      <c r="F65" s="74">
        <f t="shared" ref="F65:G68" si="15">+J65+N65+R65+V65</f>
        <v>35</v>
      </c>
      <c r="G65" s="74">
        <f t="shared" si="15"/>
        <v>0</v>
      </c>
      <c r="H65" s="311">
        <v>30</v>
      </c>
      <c r="I65" s="74">
        <v>0</v>
      </c>
      <c r="J65" s="404">
        <v>30</v>
      </c>
      <c r="K65" s="248">
        <v>0</v>
      </c>
      <c r="L65" s="311">
        <v>30</v>
      </c>
      <c r="M65" s="643"/>
      <c r="N65" s="404">
        <v>5</v>
      </c>
      <c r="O65" s="74">
        <v>0</v>
      </c>
      <c r="P65" s="311">
        <v>20</v>
      </c>
      <c r="Q65" s="74">
        <v>0</v>
      </c>
      <c r="R65" s="74">
        <v>0</v>
      </c>
      <c r="S65" s="216">
        <v>0</v>
      </c>
      <c r="T65" s="326">
        <v>20</v>
      </c>
      <c r="U65" s="248">
        <v>0</v>
      </c>
      <c r="V65" s="75">
        <v>0</v>
      </c>
      <c r="W65" s="261">
        <v>0</v>
      </c>
      <c r="X65" s="620"/>
      <c r="Z65" s="620">
        <f>+U64-Z64</f>
        <v>0</v>
      </c>
    </row>
    <row r="66" spans="1:26" ht="49.5" customHeight="1">
      <c r="A66" s="285" t="s">
        <v>414</v>
      </c>
      <c r="B66" s="217" t="s">
        <v>188</v>
      </c>
      <c r="C66" s="217" t="s">
        <v>131</v>
      </c>
      <c r="D66" s="288">
        <f>+H66+L66+P66+T66</f>
        <v>8</v>
      </c>
      <c r="E66" s="74">
        <f t="shared" si="14"/>
        <v>348000000</v>
      </c>
      <c r="F66" s="74">
        <f t="shared" si="15"/>
        <v>2</v>
      </c>
      <c r="G66" s="74">
        <f t="shared" si="15"/>
        <v>0</v>
      </c>
      <c r="H66" s="311">
        <v>2</v>
      </c>
      <c r="I66" s="74">
        <v>0</v>
      </c>
      <c r="J66" s="404">
        <v>2</v>
      </c>
      <c r="K66" s="248">
        <v>0</v>
      </c>
      <c r="L66" s="311">
        <v>2</v>
      </c>
      <c r="M66" s="643">
        <v>150000000</v>
      </c>
      <c r="N66" s="404">
        <v>0</v>
      </c>
      <c r="O66" s="74">
        <v>0</v>
      </c>
      <c r="P66" s="311">
        <v>2</v>
      </c>
      <c r="Q66" s="74"/>
      <c r="R66" s="74">
        <v>0</v>
      </c>
      <c r="S66" s="74">
        <v>0</v>
      </c>
      <c r="T66" s="311">
        <v>2</v>
      </c>
      <c r="U66" s="74">
        <v>198000000</v>
      </c>
      <c r="V66" s="73">
        <v>0</v>
      </c>
      <c r="W66" s="261">
        <v>0</v>
      </c>
      <c r="X66" s="620"/>
    </row>
    <row r="67" spans="1:26" ht="61.5" customHeight="1">
      <c r="A67" s="348" t="s">
        <v>415</v>
      </c>
      <c r="B67" s="217" t="s">
        <v>188</v>
      </c>
      <c r="C67" s="213" t="s">
        <v>417</v>
      </c>
      <c r="D67" s="288">
        <f>+H67+L67+P67+T67</f>
        <v>2</v>
      </c>
      <c r="E67" s="74">
        <f t="shared" si="14"/>
        <v>130200000</v>
      </c>
      <c r="F67" s="74">
        <f t="shared" si="15"/>
        <v>1</v>
      </c>
      <c r="G67" s="74">
        <f t="shared" si="15"/>
        <v>67648750</v>
      </c>
      <c r="H67" s="311">
        <v>1</v>
      </c>
      <c r="I67" s="74">
        <v>50200000</v>
      </c>
      <c r="J67" s="456">
        <v>0.8</v>
      </c>
      <c r="K67" s="248">
        <v>50200000</v>
      </c>
      <c r="L67" s="306">
        <v>1</v>
      </c>
      <c r="M67" s="643">
        <v>80000000</v>
      </c>
      <c r="N67" s="633">
        <v>0.2</v>
      </c>
      <c r="O67" s="74">
        <v>17448750</v>
      </c>
      <c r="P67" s="311">
        <v>0</v>
      </c>
      <c r="Q67" s="74"/>
      <c r="R67" s="74">
        <v>0</v>
      </c>
      <c r="S67" s="74">
        <v>0</v>
      </c>
      <c r="T67" s="311">
        <v>0</v>
      </c>
      <c r="U67" s="74">
        <f>+Q67*1.005</f>
        <v>0</v>
      </c>
      <c r="V67" s="270">
        <v>0</v>
      </c>
      <c r="W67" s="261">
        <v>0</v>
      </c>
      <c r="X67" s="620"/>
    </row>
    <row r="68" spans="1:26" ht="90.75" customHeight="1">
      <c r="A68" s="348" t="s">
        <v>416</v>
      </c>
      <c r="B68" s="217" t="s">
        <v>188</v>
      </c>
      <c r="C68" s="213" t="s">
        <v>131</v>
      </c>
      <c r="D68" s="288">
        <f>+H68+L68+P68+T68</f>
        <v>4</v>
      </c>
      <c r="E68" s="74">
        <f t="shared" si="14"/>
        <v>1512777933</v>
      </c>
      <c r="F68" s="74">
        <f t="shared" si="15"/>
        <v>1</v>
      </c>
      <c r="G68" s="74">
        <f t="shared" si="15"/>
        <v>73406170</v>
      </c>
      <c r="H68" s="311">
        <v>1</v>
      </c>
      <c r="I68" s="74">
        <v>96594233</v>
      </c>
      <c r="J68" s="407">
        <v>1</v>
      </c>
      <c r="K68" s="248">
        <v>73406170</v>
      </c>
      <c r="L68" s="306">
        <v>1</v>
      </c>
      <c r="M68" s="643">
        <v>614183700</v>
      </c>
      <c r="N68" s="628">
        <v>0</v>
      </c>
      <c r="O68" s="74">
        <v>0</v>
      </c>
      <c r="P68" s="311">
        <v>1</v>
      </c>
      <c r="Q68" s="74">
        <v>400000000</v>
      </c>
      <c r="R68" s="74">
        <v>0</v>
      </c>
      <c r="S68" s="74">
        <v>0</v>
      </c>
      <c r="T68" s="311">
        <v>1</v>
      </c>
      <c r="U68" s="74">
        <f>+Q68*1.005</f>
        <v>401999999.99999994</v>
      </c>
      <c r="V68" s="270">
        <v>0</v>
      </c>
      <c r="W68" s="261">
        <v>0</v>
      </c>
      <c r="X68" s="620"/>
      <c r="Z68" s="623">
        <f>+'[2]EJECUCION FINANCIERA'!$I$18-W67</f>
        <v>1239855020</v>
      </c>
    </row>
    <row r="69" spans="1:26" ht="51" customHeight="1">
      <c r="A69" s="229" t="s">
        <v>418</v>
      </c>
      <c r="B69" s="230"/>
      <c r="C69" s="242"/>
      <c r="D69" s="242"/>
      <c r="E69" s="243">
        <f>+E70</f>
        <v>9709279040.1617985</v>
      </c>
      <c r="F69" s="242"/>
      <c r="G69" s="243">
        <f>+G70</f>
        <v>3763074891</v>
      </c>
      <c r="H69" s="243"/>
      <c r="I69" s="243">
        <f>+I70</f>
        <v>2036722815</v>
      </c>
      <c r="J69" s="416"/>
      <c r="K69" s="231">
        <f>+K70</f>
        <v>2000666263</v>
      </c>
      <c r="L69" s="243"/>
      <c r="M69" s="243">
        <f>+M70</f>
        <v>2487631737.5</v>
      </c>
      <c r="N69" s="243"/>
      <c r="O69" s="243">
        <f>+O70</f>
        <v>1762408628</v>
      </c>
      <c r="P69" s="243"/>
      <c r="Q69" s="243">
        <f>+Q70</f>
        <v>2485977270.3309002</v>
      </c>
      <c r="R69" s="243"/>
      <c r="S69" s="243">
        <f>+S70</f>
        <v>0</v>
      </c>
      <c r="T69" s="243"/>
      <c r="U69" s="243">
        <f>+U70</f>
        <v>2698947216.3309002</v>
      </c>
      <c r="V69" s="243"/>
      <c r="W69" s="387">
        <f>+W70</f>
        <v>0</v>
      </c>
      <c r="X69" s="620"/>
    </row>
    <row r="70" spans="1:26" ht="39.75" customHeight="1">
      <c r="A70" s="350" t="s">
        <v>518</v>
      </c>
      <c r="B70" s="226"/>
      <c r="C70" s="245"/>
      <c r="D70" s="247"/>
      <c r="E70" s="246">
        <f>SUM(E71:E86)</f>
        <v>9709279040.1617985</v>
      </c>
      <c r="F70" s="247"/>
      <c r="G70" s="246">
        <f>SUM(G71:G86)</f>
        <v>3763074891</v>
      </c>
      <c r="H70" s="315">
        <v>0</v>
      </c>
      <c r="I70" s="246">
        <f>SUM(I71:I86)</f>
        <v>2036722815</v>
      </c>
      <c r="J70" s="416"/>
      <c r="K70" s="357">
        <f>SUM(K71:K86)</f>
        <v>2000666263</v>
      </c>
      <c r="L70" s="245">
        <v>0</v>
      </c>
      <c r="M70" s="243">
        <f>SUM(M71:M86)-1</f>
        <v>2487631737.5</v>
      </c>
      <c r="N70" s="245"/>
      <c r="O70" s="246">
        <f>SUM(O71:O86)</f>
        <v>1762408628</v>
      </c>
      <c r="P70" s="246">
        <v>0</v>
      </c>
      <c r="Q70" s="246">
        <f>SUM(Q71:Q86)</f>
        <v>2485977270.3309002</v>
      </c>
      <c r="R70" s="246">
        <v>0</v>
      </c>
      <c r="S70" s="246">
        <f>SUM(S71:S86)</f>
        <v>0</v>
      </c>
      <c r="T70" s="245">
        <v>0</v>
      </c>
      <c r="U70" s="246">
        <f>SUM(U71:U86)</f>
        <v>2698947216.3309002</v>
      </c>
      <c r="V70" s="266"/>
      <c r="W70" s="382">
        <f>SUM(W71:W86)</f>
        <v>0</v>
      </c>
      <c r="X70" s="620"/>
      <c r="Z70" s="623">
        <v>2698947216</v>
      </c>
    </row>
    <row r="71" spans="1:26" ht="54.75" customHeight="1">
      <c r="A71" s="290" t="s">
        <v>419</v>
      </c>
      <c r="B71" s="251" t="s">
        <v>190</v>
      </c>
      <c r="C71" s="213" t="s">
        <v>181</v>
      </c>
      <c r="D71" s="288">
        <f>AVERAGE(H71,L71,P71,T71)</f>
        <v>100</v>
      </c>
      <c r="E71" s="74">
        <f t="shared" ref="E71:E86" si="16">+I71+M71+Q71+U71</f>
        <v>0</v>
      </c>
      <c r="F71" s="74">
        <f t="shared" ref="F71:F78" si="17">AVERAGE(J71,N71,R71,V71)</f>
        <v>37.5</v>
      </c>
      <c r="G71" s="74">
        <f t="shared" ref="G71:G86" si="18">+K71+O71+S71+W71</f>
        <v>0</v>
      </c>
      <c r="H71" s="311">
        <v>100</v>
      </c>
      <c r="I71" s="74">
        <v>0</v>
      </c>
      <c r="J71" s="404">
        <v>100</v>
      </c>
      <c r="K71" s="248"/>
      <c r="L71" s="311">
        <v>100</v>
      </c>
      <c r="M71" s="643">
        <v>0</v>
      </c>
      <c r="N71" s="404">
        <v>50</v>
      </c>
      <c r="O71" s="74">
        <v>0</v>
      </c>
      <c r="P71" s="311">
        <v>100</v>
      </c>
      <c r="Q71" s="74"/>
      <c r="R71" s="74">
        <v>0</v>
      </c>
      <c r="S71" s="216">
        <v>0</v>
      </c>
      <c r="T71" s="326">
        <v>100</v>
      </c>
      <c r="U71" s="248">
        <v>0</v>
      </c>
      <c r="V71" s="75">
        <v>0</v>
      </c>
      <c r="W71" s="441">
        <v>0</v>
      </c>
      <c r="X71" s="620"/>
      <c r="Z71" s="623">
        <f>+U70-Z70</f>
        <v>0.33090019226074219</v>
      </c>
    </row>
    <row r="72" spans="1:26" ht="66" customHeight="1">
      <c r="A72" s="375" t="s">
        <v>420</v>
      </c>
      <c r="B72" s="251" t="s">
        <v>190</v>
      </c>
      <c r="C72" s="213" t="s">
        <v>181</v>
      </c>
      <c r="D72" s="288">
        <f>AVERAGE(H72,L72,P72,T72)</f>
        <v>100</v>
      </c>
      <c r="E72" s="74">
        <f t="shared" si="16"/>
        <v>40432017.640000001</v>
      </c>
      <c r="F72" s="74">
        <f t="shared" si="17"/>
        <v>37.5</v>
      </c>
      <c r="G72" s="74">
        <f t="shared" si="18"/>
        <v>13432564</v>
      </c>
      <c r="H72" s="311">
        <v>100</v>
      </c>
      <c r="I72" s="74">
        <v>13432564</v>
      </c>
      <c r="J72" s="404">
        <v>100</v>
      </c>
      <c r="K72" s="248">
        <v>13432564</v>
      </c>
      <c r="L72" s="311">
        <v>100</v>
      </c>
      <c r="M72" s="643">
        <v>0</v>
      </c>
      <c r="N72" s="404">
        <v>50</v>
      </c>
      <c r="O72" s="74">
        <v>0</v>
      </c>
      <c r="P72" s="311">
        <v>100</v>
      </c>
      <c r="Q72" s="74">
        <v>13499726.819999998</v>
      </c>
      <c r="R72" s="74">
        <v>0</v>
      </c>
      <c r="S72" s="216">
        <v>0</v>
      </c>
      <c r="T72" s="326">
        <v>100</v>
      </c>
      <c r="U72" s="248">
        <f>+Q72</f>
        <v>13499726.819999998</v>
      </c>
      <c r="V72" s="75">
        <v>0</v>
      </c>
      <c r="W72" s="261">
        <v>0</v>
      </c>
      <c r="X72" s="620"/>
    </row>
    <row r="73" spans="1:26" ht="54.75" customHeight="1">
      <c r="A73" s="375" t="s">
        <v>421</v>
      </c>
      <c r="B73" s="251" t="s">
        <v>190</v>
      </c>
      <c r="C73" s="213" t="s">
        <v>181</v>
      </c>
      <c r="D73" s="288">
        <f>AVERAGE(H73,L73,P73,T73)</f>
        <v>100</v>
      </c>
      <c r="E73" s="74">
        <f t="shared" si="16"/>
        <v>0</v>
      </c>
      <c r="F73" s="74">
        <f t="shared" si="17"/>
        <v>37.5</v>
      </c>
      <c r="G73" s="74">
        <f t="shared" si="18"/>
        <v>0</v>
      </c>
      <c r="H73" s="311">
        <v>100</v>
      </c>
      <c r="I73" s="74"/>
      <c r="J73" s="404">
        <v>100</v>
      </c>
      <c r="K73" s="248"/>
      <c r="L73" s="311">
        <v>100</v>
      </c>
      <c r="M73" s="643">
        <v>0</v>
      </c>
      <c r="N73" s="404">
        <v>50</v>
      </c>
      <c r="O73" s="74">
        <v>0</v>
      </c>
      <c r="P73" s="311">
        <v>100</v>
      </c>
      <c r="Q73" s="74"/>
      <c r="R73" s="74">
        <v>0</v>
      </c>
      <c r="S73" s="216">
        <v>0</v>
      </c>
      <c r="T73" s="326">
        <v>100</v>
      </c>
      <c r="U73" s="248">
        <f t="shared" ref="U73:U86" si="19">+Q73</f>
        <v>0</v>
      </c>
      <c r="V73" s="75">
        <v>0</v>
      </c>
      <c r="W73" s="261">
        <v>0</v>
      </c>
      <c r="X73" s="620"/>
    </row>
    <row r="74" spans="1:26" ht="41.25" customHeight="1">
      <c r="A74" s="290" t="s">
        <v>422</v>
      </c>
      <c r="B74" s="251" t="s">
        <v>190</v>
      </c>
      <c r="C74" s="213" t="s">
        <v>1</v>
      </c>
      <c r="D74" s="288">
        <f>AVERAGE(H74,L74,P74,T74)</f>
        <v>100</v>
      </c>
      <c r="E74" s="74">
        <f t="shared" si="16"/>
        <v>2715178688</v>
      </c>
      <c r="F74" s="74">
        <f t="shared" si="17"/>
        <v>42.25</v>
      </c>
      <c r="G74" s="74">
        <f t="shared" si="18"/>
        <v>881866069</v>
      </c>
      <c r="H74" s="311">
        <v>100</v>
      </c>
      <c r="I74" s="74">
        <v>372108950</v>
      </c>
      <c r="J74" s="404">
        <v>100</v>
      </c>
      <c r="K74" s="248">
        <v>371160657</v>
      </c>
      <c r="L74" s="311">
        <v>100</v>
      </c>
      <c r="M74" s="643">
        <v>592854618</v>
      </c>
      <c r="N74" s="404">
        <v>69</v>
      </c>
      <c r="O74" s="74">
        <v>510705412</v>
      </c>
      <c r="P74" s="311">
        <v>100</v>
      </c>
      <c r="Q74" s="74">
        <v>768622587</v>
      </c>
      <c r="R74" s="74">
        <v>0</v>
      </c>
      <c r="S74" s="216">
        <v>0</v>
      </c>
      <c r="T74" s="326">
        <v>100</v>
      </c>
      <c r="U74" s="248">
        <v>981592533</v>
      </c>
      <c r="V74" s="75">
        <v>0</v>
      </c>
      <c r="W74" s="261">
        <v>0</v>
      </c>
      <c r="X74" s="620"/>
      <c r="Z74" s="623">
        <f>+W70-3792698320</f>
        <v>-3792698320</v>
      </c>
    </row>
    <row r="75" spans="1:26" ht="61.5" customHeight="1">
      <c r="A75" s="290" t="s">
        <v>423</v>
      </c>
      <c r="B75" s="251" t="s">
        <v>190</v>
      </c>
      <c r="C75" s="213" t="s">
        <v>508</v>
      </c>
      <c r="D75" s="288">
        <f>AVERAGE(H75,L75,P75,T75)</f>
        <v>60</v>
      </c>
      <c r="E75" s="74">
        <f t="shared" si="16"/>
        <v>0</v>
      </c>
      <c r="F75" s="74">
        <f t="shared" si="17"/>
        <v>30</v>
      </c>
      <c r="G75" s="74">
        <f t="shared" si="18"/>
        <v>0</v>
      </c>
      <c r="H75" s="311">
        <v>60</v>
      </c>
      <c r="I75" s="74"/>
      <c r="J75" s="404">
        <v>60</v>
      </c>
      <c r="K75" s="248"/>
      <c r="L75" s="311">
        <v>60</v>
      </c>
      <c r="M75" s="643">
        <v>0</v>
      </c>
      <c r="N75" s="404">
        <v>60</v>
      </c>
      <c r="O75" s="74">
        <f>+I75-K75</f>
        <v>0</v>
      </c>
      <c r="P75" s="311">
        <v>60</v>
      </c>
      <c r="Q75" s="74">
        <v>0</v>
      </c>
      <c r="R75" s="74">
        <v>0</v>
      </c>
      <c r="S75" s="216">
        <v>0</v>
      </c>
      <c r="T75" s="326">
        <v>60</v>
      </c>
      <c r="U75" s="248">
        <f t="shared" si="19"/>
        <v>0</v>
      </c>
      <c r="V75" s="75">
        <v>0</v>
      </c>
      <c r="W75" s="261">
        <v>0</v>
      </c>
      <c r="X75" s="620"/>
    </row>
    <row r="76" spans="1:26" ht="61.5" customHeight="1">
      <c r="A76" s="290" t="s">
        <v>424</v>
      </c>
      <c r="B76" s="251" t="s">
        <v>190</v>
      </c>
      <c r="C76" s="213" t="s">
        <v>181</v>
      </c>
      <c r="D76" s="288">
        <v>35</v>
      </c>
      <c r="E76" s="74">
        <f t="shared" si="16"/>
        <v>0</v>
      </c>
      <c r="F76" s="74">
        <f t="shared" si="17"/>
        <v>9.5</v>
      </c>
      <c r="G76" s="74">
        <f t="shared" si="18"/>
        <v>0</v>
      </c>
      <c r="H76" s="311">
        <v>20</v>
      </c>
      <c r="I76" s="74">
        <v>0</v>
      </c>
      <c r="J76" s="404">
        <v>20</v>
      </c>
      <c r="K76" s="248"/>
      <c r="L76" s="311">
        <v>25</v>
      </c>
      <c r="M76" s="643">
        <v>0</v>
      </c>
      <c r="N76" s="404">
        <v>18</v>
      </c>
      <c r="O76" s="74">
        <f>+I76-K76</f>
        <v>0</v>
      </c>
      <c r="P76" s="311">
        <v>30</v>
      </c>
      <c r="Q76" s="74">
        <v>0</v>
      </c>
      <c r="R76" s="74">
        <v>0</v>
      </c>
      <c r="S76" s="216">
        <v>0</v>
      </c>
      <c r="T76" s="326">
        <v>35</v>
      </c>
      <c r="U76" s="248">
        <f t="shared" si="19"/>
        <v>0</v>
      </c>
      <c r="V76" s="75">
        <v>0</v>
      </c>
      <c r="W76" s="261">
        <v>0</v>
      </c>
      <c r="X76" s="620"/>
    </row>
    <row r="77" spans="1:26" ht="61.5" customHeight="1">
      <c r="A77" s="372" t="s">
        <v>425</v>
      </c>
      <c r="B77" s="251" t="s">
        <v>190</v>
      </c>
      <c r="C77" s="213" t="s">
        <v>181</v>
      </c>
      <c r="D77" s="288">
        <f>AVERAGE(H77,L77,P77,T77)</f>
        <v>100</v>
      </c>
      <c r="E77" s="74">
        <f t="shared" si="16"/>
        <v>294105985.745</v>
      </c>
      <c r="F77" s="74">
        <f t="shared" si="17"/>
        <v>41</v>
      </c>
      <c r="G77" s="74">
        <f t="shared" si="18"/>
        <v>108455594</v>
      </c>
      <c r="H77" s="311">
        <v>100</v>
      </c>
      <c r="I77" s="74">
        <v>68322200</v>
      </c>
      <c r="J77" s="404">
        <v>100</v>
      </c>
      <c r="K77" s="248">
        <v>68322200</v>
      </c>
      <c r="L77" s="311">
        <v>100</v>
      </c>
      <c r="M77" s="643">
        <f>+'[1]PROYECTO 4.1'!$E$15+'[1]PROYECTO 4.1'!$E$16</f>
        <v>75011224.5</v>
      </c>
      <c r="N77" s="404">
        <v>64</v>
      </c>
      <c r="O77" s="74">
        <v>40133394</v>
      </c>
      <c r="P77" s="311">
        <v>100</v>
      </c>
      <c r="Q77" s="74">
        <v>75386280.622499987</v>
      </c>
      <c r="R77" s="74">
        <v>0</v>
      </c>
      <c r="S77" s="216">
        <v>0</v>
      </c>
      <c r="T77" s="326">
        <v>100</v>
      </c>
      <c r="U77" s="248">
        <f t="shared" si="19"/>
        <v>75386280.622499987</v>
      </c>
      <c r="V77" s="75">
        <v>0</v>
      </c>
      <c r="W77" s="261">
        <v>0</v>
      </c>
      <c r="X77" s="620"/>
    </row>
    <row r="78" spans="1:26" ht="61.5" customHeight="1">
      <c r="A78" s="349" t="s">
        <v>540</v>
      </c>
      <c r="B78" s="251" t="s">
        <v>190</v>
      </c>
      <c r="C78" s="213" t="s">
        <v>183</v>
      </c>
      <c r="D78" s="288">
        <f>AVERAGE(H78,L78,P78,T78)</f>
        <v>1</v>
      </c>
      <c r="E78" s="74">
        <f t="shared" si="16"/>
        <v>4539340050.2749996</v>
      </c>
      <c r="F78" s="74">
        <f t="shared" si="17"/>
        <v>0.375</v>
      </c>
      <c r="G78" s="74">
        <f t="shared" si="18"/>
        <v>1907348794</v>
      </c>
      <c r="H78" s="311">
        <v>1</v>
      </c>
      <c r="I78" s="74">
        <v>1012371660</v>
      </c>
      <c r="J78" s="404">
        <v>1</v>
      </c>
      <c r="K78" s="248">
        <v>979258541</v>
      </c>
      <c r="L78" s="311">
        <v>1</v>
      </c>
      <c r="M78" s="643">
        <v>1258440728</v>
      </c>
      <c r="N78" s="440">
        <v>0.5</v>
      </c>
      <c r="O78" s="305">
        <v>928090253</v>
      </c>
      <c r="P78" s="311">
        <v>1</v>
      </c>
      <c r="Q78" s="74">
        <v>1134263831.1374998</v>
      </c>
      <c r="R78" s="74">
        <v>0</v>
      </c>
      <c r="S78" s="216">
        <v>0</v>
      </c>
      <c r="T78" s="326">
        <v>1</v>
      </c>
      <c r="U78" s="248">
        <f t="shared" si="19"/>
        <v>1134263831.1374998</v>
      </c>
      <c r="V78" s="75">
        <v>0</v>
      </c>
      <c r="W78" s="261">
        <v>0</v>
      </c>
      <c r="X78" s="620"/>
    </row>
    <row r="79" spans="1:26" ht="78.75" customHeight="1">
      <c r="A79" s="349" t="s">
        <v>427</v>
      </c>
      <c r="B79" s="328" t="s">
        <v>509</v>
      </c>
      <c r="C79" s="213" t="s">
        <v>428</v>
      </c>
      <c r="D79" s="288">
        <f>+H79+L79+P79+T79</f>
        <v>4</v>
      </c>
      <c r="E79" s="74">
        <f t="shared" si="16"/>
        <v>282158000</v>
      </c>
      <c r="F79" s="74">
        <f>+J79+N79+R79+V79</f>
        <v>1.5</v>
      </c>
      <c r="G79" s="74">
        <f t="shared" si="18"/>
        <v>206111592</v>
      </c>
      <c r="H79" s="311">
        <v>1</v>
      </c>
      <c r="I79" s="74">
        <v>182828000</v>
      </c>
      <c r="J79" s="404">
        <v>1</v>
      </c>
      <c r="K79" s="248">
        <v>182697542</v>
      </c>
      <c r="L79" s="311">
        <v>1</v>
      </c>
      <c r="M79" s="643">
        <f>+'[1]PROYECTO 4.1'!$E$29</f>
        <v>33000000</v>
      </c>
      <c r="N79" s="440">
        <v>0.5</v>
      </c>
      <c r="O79" s="74">
        <v>23414050</v>
      </c>
      <c r="P79" s="311">
        <v>1</v>
      </c>
      <c r="Q79" s="74">
        <v>33164999.999999996</v>
      </c>
      <c r="R79" s="74">
        <v>0</v>
      </c>
      <c r="S79" s="74">
        <v>0</v>
      </c>
      <c r="T79" s="311">
        <v>1</v>
      </c>
      <c r="U79" s="248">
        <f t="shared" si="19"/>
        <v>33164999.999999996</v>
      </c>
      <c r="V79" s="75"/>
      <c r="W79" s="261">
        <v>0</v>
      </c>
      <c r="X79" s="620"/>
    </row>
    <row r="80" spans="1:26" ht="54" customHeight="1">
      <c r="A80" s="379" t="s">
        <v>429</v>
      </c>
      <c r="B80" s="328" t="s">
        <v>192</v>
      </c>
      <c r="C80" s="213" t="s">
        <v>183</v>
      </c>
      <c r="D80" s="288">
        <v>1</v>
      </c>
      <c r="E80" s="74">
        <f t="shared" si="16"/>
        <v>138586400</v>
      </c>
      <c r="F80" s="74">
        <f t="shared" ref="F80:F85" si="20">AVERAGE(J80,N80,R80,V80)</f>
        <v>0.375</v>
      </c>
      <c r="G80" s="74">
        <f t="shared" si="18"/>
        <v>39256400</v>
      </c>
      <c r="H80" s="311">
        <v>1</v>
      </c>
      <c r="I80" s="74">
        <v>39256400</v>
      </c>
      <c r="J80" s="404">
        <v>1</v>
      </c>
      <c r="K80" s="248">
        <v>39256400</v>
      </c>
      <c r="L80" s="311">
        <v>1</v>
      </c>
      <c r="M80" s="643">
        <f>+'[1]PROYECTO 4.1'!$E$31</f>
        <v>33000000</v>
      </c>
      <c r="N80" s="440">
        <v>0.5</v>
      </c>
      <c r="O80" s="74">
        <f>+I80-K80</f>
        <v>0</v>
      </c>
      <c r="P80" s="311">
        <v>1</v>
      </c>
      <c r="Q80" s="74">
        <v>33164999.999999996</v>
      </c>
      <c r="R80" s="74">
        <v>0</v>
      </c>
      <c r="S80" s="216">
        <v>0</v>
      </c>
      <c r="T80" s="311">
        <v>1</v>
      </c>
      <c r="U80" s="248">
        <f t="shared" si="19"/>
        <v>33164999.999999996</v>
      </c>
      <c r="V80" s="75">
        <v>0</v>
      </c>
      <c r="W80" s="261">
        <v>0</v>
      </c>
      <c r="X80" s="620"/>
    </row>
    <row r="81" spans="1:26" ht="93" customHeight="1">
      <c r="A81" s="349" t="s">
        <v>430</v>
      </c>
      <c r="B81" s="328" t="s">
        <v>192</v>
      </c>
      <c r="C81" s="213" t="s">
        <v>193</v>
      </c>
      <c r="D81" s="288">
        <v>1</v>
      </c>
      <c r="E81" s="74">
        <f t="shared" si="16"/>
        <v>913959801.70179987</v>
      </c>
      <c r="F81" s="74">
        <f t="shared" si="20"/>
        <v>0.375</v>
      </c>
      <c r="G81" s="74">
        <f t="shared" si="18"/>
        <v>273566696</v>
      </c>
      <c r="H81" s="311">
        <v>1</v>
      </c>
      <c r="I81" s="74">
        <v>167667134</v>
      </c>
      <c r="J81" s="404">
        <v>1</v>
      </c>
      <c r="K81" s="248">
        <v>165886540</v>
      </c>
      <c r="L81" s="311">
        <v>1</v>
      </c>
      <c r="M81" s="643">
        <v>283617734</v>
      </c>
      <c r="N81" s="440">
        <v>0.5</v>
      </c>
      <c r="O81" s="74">
        <v>107680156</v>
      </c>
      <c r="P81" s="311">
        <v>1</v>
      </c>
      <c r="Q81" s="74">
        <v>231337466.85089999</v>
      </c>
      <c r="R81" s="74">
        <v>0</v>
      </c>
      <c r="S81" s="74">
        <v>0</v>
      </c>
      <c r="T81" s="311">
        <v>1</v>
      </c>
      <c r="U81" s="248">
        <f t="shared" si="19"/>
        <v>231337466.85089999</v>
      </c>
      <c r="V81" s="75">
        <v>0</v>
      </c>
      <c r="W81" s="261">
        <v>0</v>
      </c>
      <c r="X81" s="620"/>
    </row>
    <row r="82" spans="1:26" ht="83.25" customHeight="1">
      <c r="A82" s="379" t="s">
        <v>431</v>
      </c>
      <c r="B82" s="328" t="s">
        <v>192</v>
      </c>
      <c r="C82" s="213" t="s">
        <v>1</v>
      </c>
      <c r="D82" s="288">
        <f>AVERAGE(H82,L82,P82,T82)</f>
        <v>100</v>
      </c>
      <c r="E82" s="74">
        <f t="shared" si="16"/>
        <v>41810228.579999998</v>
      </c>
      <c r="F82" s="74">
        <f t="shared" si="20"/>
        <v>27.5</v>
      </c>
      <c r="G82" s="74">
        <f t="shared" si="18"/>
        <v>10843200</v>
      </c>
      <c r="H82" s="311">
        <v>100</v>
      </c>
      <c r="I82" s="74">
        <v>0</v>
      </c>
      <c r="J82" s="404">
        <v>100</v>
      </c>
      <c r="K82" s="248">
        <v>0</v>
      </c>
      <c r="L82" s="311">
        <v>100</v>
      </c>
      <c r="M82" s="643">
        <v>20481600</v>
      </c>
      <c r="N82" s="404">
        <v>10</v>
      </c>
      <c r="O82" s="74">
        <v>10843200</v>
      </c>
      <c r="P82" s="311">
        <v>100</v>
      </c>
      <c r="Q82" s="74">
        <v>10664314.289999999</v>
      </c>
      <c r="R82" s="74">
        <v>0</v>
      </c>
      <c r="S82" s="216">
        <v>0</v>
      </c>
      <c r="T82" s="326">
        <v>100</v>
      </c>
      <c r="U82" s="248">
        <f t="shared" si="19"/>
        <v>10664314.289999999</v>
      </c>
      <c r="V82" s="75">
        <v>0</v>
      </c>
      <c r="W82" s="261">
        <v>0</v>
      </c>
      <c r="X82" s="620"/>
    </row>
    <row r="83" spans="1:26" ht="64.5" customHeight="1">
      <c r="A83" s="379" t="s">
        <v>432</v>
      </c>
      <c r="B83" s="328" t="s">
        <v>192</v>
      </c>
      <c r="C83" s="213" t="s">
        <v>182</v>
      </c>
      <c r="D83" s="288">
        <f>AVERAGE(H83,L83,P83,T83)</f>
        <v>37</v>
      </c>
      <c r="E83" s="74">
        <f t="shared" si="16"/>
        <v>41810228.579999998</v>
      </c>
      <c r="F83" s="74">
        <f t="shared" si="20"/>
        <v>13</v>
      </c>
      <c r="G83" s="74">
        <f t="shared" si="18"/>
        <v>10843200</v>
      </c>
      <c r="H83" s="311">
        <v>37</v>
      </c>
      <c r="I83" s="74">
        <v>0</v>
      </c>
      <c r="J83" s="404">
        <v>37</v>
      </c>
      <c r="K83" s="248">
        <v>0</v>
      </c>
      <c r="L83" s="311">
        <v>37</v>
      </c>
      <c r="M83" s="643">
        <v>20481600</v>
      </c>
      <c r="N83" s="404">
        <v>15</v>
      </c>
      <c r="O83" s="74">
        <v>10843200</v>
      </c>
      <c r="P83" s="311">
        <v>37</v>
      </c>
      <c r="Q83" s="74">
        <v>10664314.289999999</v>
      </c>
      <c r="R83" s="74">
        <v>0</v>
      </c>
      <c r="S83" s="216">
        <v>0</v>
      </c>
      <c r="T83" s="311">
        <v>37</v>
      </c>
      <c r="U83" s="248">
        <f t="shared" si="19"/>
        <v>10664314.289999999</v>
      </c>
      <c r="V83" s="75">
        <v>0</v>
      </c>
      <c r="W83" s="261">
        <v>0</v>
      </c>
      <c r="X83" s="634">
        <f>5/37*100</f>
        <v>13.513513513513514</v>
      </c>
    </row>
    <row r="84" spans="1:26" ht="51" customHeight="1">
      <c r="A84" s="379" t="s">
        <v>0</v>
      </c>
      <c r="B84" s="328" t="s">
        <v>192</v>
      </c>
      <c r="C84" s="329" t="s">
        <v>433</v>
      </c>
      <c r="D84" s="288">
        <f>AVERAGE(H84,L84,P84,T84)</f>
        <v>1</v>
      </c>
      <c r="E84" s="74">
        <f t="shared" si="16"/>
        <v>523321800</v>
      </c>
      <c r="F84" s="74">
        <f t="shared" si="20"/>
        <v>0.375</v>
      </c>
      <c r="G84" s="74">
        <f t="shared" si="18"/>
        <v>252283363</v>
      </c>
      <c r="H84" s="311">
        <v>1</v>
      </c>
      <c r="I84" s="74">
        <v>142467600</v>
      </c>
      <c r="J84" s="404">
        <v>1</v>
      </c>
      <c r="K84" s="248">
        <v>142467600</v>
      </c>
      <c r="L84" s="311">
        <v>1</v>
      </c>
      <c r="M84" s="643">
        <v>136639200</v>
      </c>
      <c r="N84" s="440">
        <v>0.5</v>
      </c>
      <c r="O84" s="74">
        <v>109815763</v>
      </c>
      <c r="P84" s="311">
        <v>1</v>
      </c>
      <c r="Q84" s="74">
        <v>122107499.99999999</v>
      </c>
      <c r="R84" s="74">
        <v>0</v>
      </c>
      <c r="S84" s="74">
        <v>0</v>
      </c>
      <c r="T84" s="311">
        <v>1</v>
      </c>
      <c r="U84" s="248">
        <f t="shared" si="19"/>
        <v>122107499.99999999</v>
      </c>
      <c r="V84" s="75">
        <v>0</v>
      </c>
      <c r="W84" s="261">
        <v>0</v>
      </c>
      <c r="X84" s="620"/>
    </row>
    <row r="85" spans="1:26" ht="44.25" customHeight="1">
      <c r="A85" s="388" t="s">
        <v>434</v>
      </c>
      <c r="B85" s="328" t="s">
        <v>192</v>
      </c>
      <c r="C85" s="213" t="s">
        <v>1</v>
      </c>
      <c r="D85" s="288">
        <f>AVERAGE(H85,L85,P85,T85)</f>
        <v>90</v>
      </c>
      <c r="E85" s="74">
        <f t="shared" si="16"/>
        <v>140307532.63999999</v>
      </c>
      <c r="F85" s="74">
        <f t="shared" si="20"/>
        <v>39</v>
      </c>
      <c r="G85" s="74">
        <f t="shared" si="18"/>
        <v>20883200</v>
      </c>
      <c r="H85" s="311">
        <v>90</v>
      </c>
      <c r="I85" s="74">
        <v>0</v>
      </c>
      <c r="J85" s="417">
        <v>90</v>
      </c>
      <c r="K85" s="248"/>
      <c r="L85" s="311">
        <v>90</v>
      </c>
      <c r="M85" s="643">
        <v>34105034</v>
      </c>
      <c r="N85" s="404">
        <v>66</v>
      </c>
      <c r="O85" s="74">
        <v>20883200</v>
      </c>
      <c r="P85" s="311">
        <v>90</v>
      </c>
      <c r="Q85" s="74">
        <v>53101249.319999993</v>
      </c>
      <c r="R85" s="74">
        <v>0</v>
      </c>
      <c r="S85" s="216">
        <v>0</v>
      </c>
      <c r="T85" s="311">
        <v>90</v>
      </c>
      <c r="U85" s="248">
        <f t="shared" si="19"/>
        <v>53101249.319999993</v>
      </c>
      <c r="V85" s="75">
        <v>0</v>
      </c>
      <c r="W85" s="261">
        <v>0</v>
      </c>
      <c r="X85" s="620"/>
    </row>
    <row r="86" spans="1:26" ht="44.25" customHeight="1">
      <c r="A86" s="379" t="s">
        <v>532</v>
      </c>
      <c r="B86" s="328"/>
      <c r="C86" s="213" t="s">
        <v>533</v>
      </c>
      <c r="D86" s="288"/>
      <c r="E86" s="74">
        <f t="shared" si="16"/>
        <v>38268307</v>
      </c>
      <c r="F86" s="74"/>
      <c r="G86" s="74">
        <f t="shared" si="18"/>
        <v>38184219</v>
      </c>
      <c r="H86" s="311"/>
      <c r="I86" s="454">
        <v>38268307</v>
      </c>
      <c r="J86" s="404"/>
      <c r="K86" s="248">
        <v>38184219</v>
      </c>
      <c r="L86" s="311"/>
      <c r="M86" s="643"/>
      <c r="N86" s="404"/>
      <c r="O86" s="74"/>
      <c r="P86" s="311"/>
      <c r="Q86" s="74">
        <v>0</v>
      </c>
      <c r="R86" s="74"/>
      <c r="S86" s="216"/>
      <c r="T86" s="311"/>
      <c r="U86" s="248">
        <f t="shared" si="19"/>
        <v>0</v>
      </c>
      <c r="V86" s="75"/>
      <c r="W86" s="261"/>
      <c r="X86" s="620"/>
    </row>
    <row r="87" spans="1:26" ht="36">
      <c r="A87" s="229" t="s">
        <v>435</v>
      </c>
      <c r="B87" s="230"/>
      <c r="C87" s="242"/>
      <c r="D87" s="242"/>
      <c r="E87" s="243">
        <f>+E88+E95</f>
        <v>7424340798.6000004</v>
      </c>
      <c r="F87" s="242"/>
      <c r="G87" s="243">
        <f>+G88+G95</f>
        <v>2632646295</v>
      </c>
      <c r="H87" s="243"/>
      <c r="I87" s="243">
        <f>+I88+I95</f>
        <v>2323036400</v>
      </c>
      <c r="J87" s="416"/>
      <c r="K87" s="231">
        <f>+K88+K95</f>
        <v>2267296514</v>
      </c>
      <c r="L87" s="243"/>
      <c r="M87" s="243">
        <f>+M88+M95</f>
        <v>2684364557</v>
      </c>
      <c r="N87" s="243"/>
      <c r="O87" s="243">
        <f>+O88+O95</f>
        <v>365349781</v>
      </c>
      <c r="P87" s="243"/>
      <c r="Q87" s="243">
        <f>+Q88+Q95</f>
        <v>1216939842</v>
      </c>
      <c r="R87" s="243"/>
      <c r="S87" s="243">
        <f>+S88+S95</f>
        <v>0</v>
      </c>
      <c r="T87" s="243"/>
      <c r="U87" s="243">
        <f>+U88+U95</f>
        <v>1199999999.5999999</v>
      </c>
      <c r="V87" s="243"/>
      <c r="W87" s="387">
        <f>+W88+W95</f>
        <v>0</v>
      </c>
      <c r="X87" s="620"/>
    </row>
    <row r="88" spans="1:26" ht="36">
      <c r="A88" s="225" t="s">
        <v>514</v>
      </c>
      <c r="B88" s="233"/>
      <c r="C88" s="268"/>
      <c r="D88" s="268"/>
      <c r="E88" s="293">
        <f>SUM(E89:E94)</f>
        <v>2193036399.5</v>
      </c>
      <c r="F88" s="253"/>
      <c r="G88" s="293">
        <f>SUM(G89:G94)</f>
        <v>617329212</v>
      </c>
      <c r="H88" s="316">
        <v>0</v>
      </c>
      <c r="I88" s="293">
        <f>SUM(I89:I94)</f>
        <v>473036400</v>
      </c>
      <c r="J88" s="418"/>
      <c r="K88" s="269">
        <f>SUM(K89:K94)</f>
        <v>426062257</v>
      </c>
      <c r="L88" s="252">
        <v>0</v>
      </c>
      <c r="M88" s="616">
        <f>SUM(M89:M94)</f>
        <v>720000000</v>
      </c>
      <c r="N88" s="252">
        <v>0</v>
      </c>
      <c r="O88" s="293">
        <f>SUM(O89:O94)</f>
        <v>191266955</v>
      </c>
      <c r="P88" s="293">
        <v>0</v>
      </c>
      <c r="Q88" s="293">
        <f>SUM(Q89:Q94)</f>
        <v>500000000</v>
      </c>
      <c r="R88" s="293">
        <v>0</v>
      </c>
      <c r="S88" s="293">
        <f>SUM(S89:S94)</f>
        <v>0</v>
      </c>
      <c r="T88" s="252">
        <v>0</v>
      </c>
      <c r="U88" s="293">
        <f>SUM(U89:U94)</f>
        <v>499999999.5</v>
      </c>
      <c r="V88" s="294"/>
      <c r="W88" s="389">
        <f>SUM(W89:W94)</f>
        <v>0</v>
      </c>
      <c r="X88" s="620"/>
      <c r="Z88" s="620">
        <v>500000000</v>
      </c>
    </row>
    <row r="89" spans="1:26" ht="92.25" customHeight="1">
      <c r="A89" s="390" t="s">
        <v>436</v>
      </c>
      <c r="B89" s="251" t="s">
        <v>190</v>
      </c>
      <c r="C89" s="213" t="s">
        <v>181</v>
      </c>
      <c r="D89" s="288">
        <f>AVERAGE(H89,L89,P89,T89)</f>
        <v>100</v>
      </c>
      <c r="E89" s="74">
        <f t="shared" ref="E89:E99" si="21">+I89+M89+Q89+U89</f>
        <v>323932977</v>
      </c>
      <c r="F89" s="74">
        <f>AVERAGE(J89,N89,R89,V89)</f>
        <v>40</v>
      </c>
      <c r="G89" s="74">
        <f t="shared" ref="G89:G94" si="22">+K89+O89+S89+W89</f>
        <v>109092381</v>
      </c>
      <c r="H89" s="311">
        <v>100</v>
      </c>
      <c r="I89" s="74"/>
      <c r="J89" s="404">
        <v>100</v>
      </c>
      <c r="K89" s="248"/>
      <c r="L89" s="311">
        <v>100</v>
      </c>
      <c r="M89" s="643">
        <f>+'[1]PROYECTO 5.1'!$E$8+'[1]PROYECTO 5.1'!$E$9+'[1]PROYECTO 5.1'!$E$10</f>
        <v>109100000</v>
      </c>
      <c r="N89" s="404">
        <v>60</v>
      </c>
      <c r="O89" s="74">
        <v>109092381</v>
      </c>
      <c r="P89" s="311">
        <v>100</v>
      </c>
      <c r="Q89" s="74">
        <v>108395500</v>
      </c>
      <c r="R89" s="74">
        <v>0</v>
      </c>
      <c r="S89" s="216">
        <v>0</v>
      </c>
      <c r="T89" s="311">
        <v>100</v>
      </c>
      <c r="U89" s="74">
        <f>106437478-1</f>
        <v>106437477</v>
      </c>
      <c r="V89" s="75">
        <v>0</v>
      </c>
      <c r="W89" s="261">
        <v>0</v>
      </c>
      <c r="X89" s="620"/>
      <c r="Z89" s="620">
        <f>+U88-Z88</f>
        <v>-0.5</v>
      </c>
    </row>
    <row r="90" spans="1:26" ht="92.25" customHeight="1">
      <c r="A90" s="373" t="s">
        <v>437</v>
      </c>
      <c r="B90" s="251" t="s">
        <v>190</v>
      </c>
      <c r="C90" s="213" t="s">
        <v>181</v>
      </c>
      <c r="D90" s="288">
        <f>AVERAGE(H90,L90,P90,T90)</f>
        <v>100</v>
      </c>
      <c r="E90" s="74">
        <f t="shared" si="21"/>
        <v>257762487.5</v>
      </c>
      <c r="F90" s="74">
        <f>AVERAGE(J90,N90,R90,V90)</f>
        <v>45</v>
      </c>
      <c r="G90" s="74">
        <f t="shared" si="22"/>
        <v>152792666</v>
      </c>
      <c r="H90" s="311">
        <v>100</v>
      </c>
      <c r="I90" s="74">
        <v>114548800</v>
      </c>
      <c r="J90" s="404">
        <v>100</v>
      </c>
      <c r="K90" s="248">
        <v>109118666</v>
      </c>
      <c r="L90" s="311">
        <v>100</v>
      </c>
      <c r="M90" s="643">
        <f>+'[1]PROYECTO 5.1'!$E$12</f>
        <v>47500000</v>
      </c>
      <c r="N90" s="404">
        <v>80</v>
      </c>
      <c r="O90" s="74">
        <v>43674000</v>
      </c>
      <c r="P90" s="311">
        <v>100</v>
      </c>
      <c r="Q90" s="74">
        <v>47737499.999999993</v>
      </c>
      <c r="R90" s="74">
        <v>0</v>
      </c>
      <c r="S90" s="216">
        <v>0</v>
      </c>
      <c r="T90" s="311">
        <v>100</v>
      </c>
      <c r="U90" s="74">
        <f>+Q90*1.005</f>
        <v>47976187.499999985</v>
      </c>
      <c r="V90" s="75">
        <v>0</v>
      </c>
      <c r="W90" s="261">
        <v>0</v>
      </c>
      <c r="X90" s="620"/>
    </row>
    <row r="91" spans="1:26" ht="62.25" customHeight="1">
      <c r="A91" s="373" t="s">
        <v>438</v>
      </c>
      <c r="B91" s="251" t="s">
        <v>509</v>
      </c>
      <c r="C91" s="213" t="s">
        <v>1</v>
      </c>
      <c r="D91" s="288">
        <f>+H91+L91+P91+T91</f>
        <v>100</v>
      </c>
      <c r="E91" s="74">
        <f t="shared" si="21"/>
        <v>220000000</v>
      </c>
      <c r="F91" s="74">
        <f>+J91+N91+R91+V91</f>
        <v>75</v>
      </c>
      <c r="G91" s="74">
        <f t="shared" si="22"/>
        <v>70451225</v>
      </c>
      <c r="H91" s="311">
        <v>70</v>
      </c>
      <c r="I91" s="74">
        <v>100000000</v>
      </c>
      <c r="J91" s="404">
        <v>70</v>
      </c>
      <c r="K91" s="248">
        <v>70451225</v>
      </c>
      <c r="L91" s="311">
        <v>30</v>
      </c>
      <c r="M91" s="643">
        <f>+'[1]PROYECTO 5.1'!$E$13</f>
        <v>120000000</v>
      </c>
      <c r="N91" s="404">
        <v>5</v>
      </c>
      <c r="O91" s="74">
        <v>0</v>
      </c>
      <c r="P91" s="311">
        <v>0</v>
      </c>
      <c r="Q91" s="74"/>
      <c r="R91" s="74">
        <v>0</v>
      </c>
      <c r="S91" s="216">
        <v>0</v>
      </c>
      <c r="T91" s="311">
        <v>0</v>
      </c>
      <c r="U91" s="74">
        <f>+Q91*1.005</f>
        <v>0</v>
      </c>
      <c r="V91" s="75">
        <v>0</v>
      </c>
      <c r="W91" s="261">
        <v>0</v>
      </c>
      <c r="X91" s="620"/>
    </row>
    <row r="92" spans="1:26" ht="82.5" customHeight="1">
      <c r="A92" s="348" t="s">
        <v>439</v>
      </c>
      <c r="B92" s="216" t="s">
        <v>188</v>
      </c>
      <c r="C92" s="213" t="s">
        <v>440</v>
      </c>
      <c r="D92" s="288">
        <f>+H92+L92+P92+T92</f>
        <v>26</v>
      </c>
      <c r="E92" s="74">
        <f t="shared" si="21"/>
        <v>1076608700</v>
      </c>
      <c r="F92" s="74">
        <f>+J92+N92+R92+V92</f>
        <v>5</v>
      </c>
      <c r="G92" s="74">
        <f t="shared" si="22"/>
        <v>221356634</v>
      </c>
      <c r="H92" s="311">
        <v>5</v>
      </c>
      <c r="I92" s="74">
        <v>225358700</v>
      </c>
      <c r="J92" s="404">
        <v>5</v>
      </c>
      <c r="K92" s="248">
        <v>221356634</v>
      </c>
      <c r="L92" s="311">
        <v>8</v>
      </c>
      <c r="M92" s="643">
        <v>350000000</v>
      </c>
      <c r="N92" s="404">
        <v>0</v>
      </c>
      <c r="O92" s="74">
        <v>0</v>
      </c>
      <c r="P92" s="311">
        <v>8</v>
      </c>
      <c r="Q92" s="74">
        <v>250000000</v>
      </c>
      <c r="R92" s="74">
        <v>0</v>
      </c>
      <c r="S92" s="74">
        <v>0</v>
      </c>
      <c r="T92" s="311">
        <v>5</v>
      </c>
      <c r="U92" s="74">
        <f>+Q92*1.005</f>
        <v>251249999.99999997</v>
      </c>
      <c r="V92" s="73">
        <v>0</v>
      </c>
      <c r="W92" s="261">
        <v>0</v>
      </c>
      <c r="X92" s="620"/>
    </row>
    <row r="93" spans="1:26" ht="60.75" customHeight="1">
      <c r="A93" s="385" t="s">
        <v>441</v>
      </c>
      <c r="B93" s="216" t="s">
        <v>188</v>
      </c>
      <c r="C93" s="213" t="s">
        <v>528</v>
      </c>
      <c r="D93" s="288">
        <v>1</v>
      </c>
      <c r="E93" s="74">
        <f t="shared" si="21"/>
        <v>150751250</v>
      </c>
      <c r="F93" s="74">
        <f>+J93+N93+R93+V93</f>
        <v>0</v>
      </c>
      <c r="G93" s="74">
        <f t="shared" si="22"/>
        <v>0</v>
      </c>
      <c r="H93" s="311">
        <v>0</v>
      </c>
      <c r="I93" s="74"/>
      <c r="J93" s="404">
        <v>0</v>
      </c>
      <c r="K93" s="248"/>
      <c r="L93" s="311">
        <v>1</v>
      </c>
      <c r="M93" s="643">
        <f>+'[1]PROYECTO 5.1'!$E$16</f>
        <v>50000000</v>
      </c>
      <c r="N93" s="404">
        <v>0</v>
      </c>
      <c r="O93" s="74">
        <v>0</v>
      </c>
      <c r="P93" s="311">
        <v>0</v>
      </c>
      <c r="Q93" s="74">
        <v>50249999.999999993</v>
      </c>
      <c r="R93" s="74">
        <v>0</v>
      </c>
      <c r="S93" s="216">
        <v>0</v>
      </c>
      <c r="T93" s="311">
        <v>0</v>
      </c>
      <c r="U93" s="74">
        <f>+Q93*1.005</f>
        <v>50501249.999999985</v>
      </c>
      <c r="V93" s="75">
        <v>0</v>
      </c>
      <c r="W93" s="261">
        <v>0</v>
      </c>
      <c r="X93" s="620"/>
    </row>
    <row r="94" spans="1:26" ht="60.75" customHeight="1">
      <c r="A94" s="379" t="s">
        <v>532</v>
      </c>
      <c r="B94" s="328"/>
      <c r="C94" s="213" t="s">
        <v>533</v>
      </c>
      <c r="D94" s="213">
        <v>0</v>
      </c>
      <c r="E94" s="74">
        <f t="shared" si="21"/>
        <v>163980985</v>
      </c>
      <c r="F94" s="74"/>
      <c r="G94" s="74">
        <f t="shared" si="22"/>
        <v>63636306</v>
      </c>
      <c r="H94" s="311"/>
      <c r="I94" s="74">
        <v>33128900</v>
      </c>
      <c r="J94" s="404">
        <v>0</v>
      </c>
      <c r="K94" s="248">
        <v>25135732</v>
      </c>
      <c r="L94" s="311"/>
      <c r="M94" s="643">
        <f>+'[1]PROYECTO 5.1'!$E$18+'[1]PROYECTO 5.1'!$E$19+'[1]PROYECTO 5.1'!$E$20</f>
        <v>43400000</v>
      </c>
      <c r="N94" s="404"/>
      <c r="O94" s="74">
        <v>38500574</v>
      </c>
      <c r="P94" s="311"/>
      <c r="Q94" s="74">
        <v>43616999.999999993</v>
      </c>
      <c r="R94" s="74"/>
      <c r="S94" s="216"/>
      <c r="T94" s="311"/>
      <c r="U94" s="74">
        <f>+Q94*1.005</f>
        <v>43835084.999999985</v>
      </c>
      <c r="V94" s="75"/>
      <c r="W94" s="261"/>
      <c r="X94" s="620"/>
    </row>
    <row r="95" spans="1:26" ht="60.75" customHeight="1">
      <c r="A95" s="350" t="s">
        <v>517</v>
      </c>
      <c r="B95" s="226"/>
      <c r="C95" s="247"/>
      <c r="D95" s="247"/>
      <c r="E95" s="246">
        <f>SUM(E96:E99)</f>
        <v>5231304399.1000004</v>
      </c>
      <c r="F95" s="247"/>
      <c r="G95" s="246">
        <f>SUM(G96:G99)</f>
        <v>2015317083</v>
      </c>
      <c r="H95" s="315">
        <v>0</v>
      </c>
      <c r="I95" s="246">
        <f>SUM(I96:I99)</f>
        <v>1850000000</v>
      </c>
      <c r="J95" s="416"/>
      <c r="K95" s="357">
        <f>SUM(K96:K99)</f>
        <v>1841234257</v>
      </c>
      <c r="L95" s="245">
        <v>0</v>
      </c>
      <c r="M95" s="243">
        <f>SUM(M96:M99)</f>
        <v>1964364557</v>
      </c>
      <c r="N95" s="245">
        <v>0</v>
      </c>
      <c r="O95" s="246">
        <f>SUM(O96:O99)</f>
        <v>174082826</v>
      </c>
      <c r="P95" s="246">
        <v>0</v>
      </c>
      <c r="Q95" s="243">
        <f>SUM(Q96:Q99)</f>
        <v>716939842</v>
      </c>
      <c r="R95" s="246">
        <v>0</v>
      </c>
      <c r="S95" s="246">
        <f>SUM(S96:S99)</f>
        <v>0</v>
      </c>
      <c r="T95" s="245">
        <v>0</v>
      </c>
      <c r="U95" s="243">
        <f>SUM(U96:U99)</f>
        <v>700000000.10000002</v>
      </c>
      <c r="V95" s="295"/>
      <c r="W95" s="382">
        <f>SUM(W96:W99)</f>
        <v>0</v>
      </c>
      <c r="X95" s="620"/>
      <c r="Z95" s="620">
        <v>700000000</v>
      </c>
    </row>
    <row r="96" spans="1:26" ht="60.75" customHeight="1">
      <c r="A96" s="379" t="s">
        <v>442</v>
      </c>
      <c r="B96" s="251" t="s">
        <v>188</v>
      </c>
      <c r="C96" s="213" t="s">
        <v>443</v>
      </c>
      <c r="D96" s="288">
        <f>+H96+L96+P96+T96</f>
        <v>4</v>
      </c>
      <c r="E96" s="74">
        <f>+I96+M96+Q96+U96</f>
        <v>2199397622</v>
      </c>
      <c r="F96" s="74">
        <f>+J96+N96+R96+V96</f>
        <v>1.5</v>
      </c>
      <c r="G96" s="74">
        <f>+K96+O96+S96+W96</f>
        <v>1405282284</v>
      </c>
      <c r="H96" s="311">
        <v>1</v>
      </c>
      <c r="I96" s="74">
        <v>1406644400</v>
      </c>
      <c r="J96" s="404">
        <v>1</v>
      </c>
      <c r="K96" s="248">
        <v>1405282284</v>
      </c>
      <c r="L96" s="311">
        <v>1</v>
      </c>
      <c r="M96" s="643">
        <v>587753222</v>
      </c>
      <c r="N96" s="440">
        <v>0.5</v>
      </c>
      <c r="O96" s="74">
        <v>0</v>
      </c>
      <c r="P96" s="305">
        <v>1</v>
      </c>
      <c r="Q96" s="74">
        <v>100000000</v>
      </c>
      <c r="R96" s="74">
        <v>0</v>
      </c>
      <c r="S96" s="74">
        <v>0</v>
      </c>
      <c r="T96" s="305">
        <v>1</v>
      </c>
      <c r="U96" s="74">
        <f>+Q96*1.05</f>
        <v>105000000</v>
      </c>
      <c r="V96" s="73">
        <v>0</v>
      </c>
      <c r="W96" s="261">
        <v>0</v>
      </c>
      <c r="X96" s="620"/>
      <c r="Z96" s="620">
        <f>+U95-Z95</f>
        <v>0.10000002384185791</v>
      </c>
    </row>
    <row r="97" spans="1:26" ht="60.75" customHeight="1">
      <c r="A97" s="379" t="s">
        <v>444</v>
      </c>
      <c r="B97" s="251" t="s">
        <v>188</v>
      </c>
      <c r="C97" s="213" t="s">
        <v>131</v>
      </c>
      <c r="D97" s="288">
        <f>+H97+L97+P97+T97</f>
        <v>4</v>
      </c>
      <c r="E97" s="74">
        <f t="shared" si="21"/>
        <v>577713166</v>
      </c>
      <c r="F97" s="74">
        <f>+J97+N97+R97+V97</f>
        <v>1.5</v>
      </c>
      <c r="G97" s="74">
        <f>+K97+O97+S97+W97</f>
        <v>0</v>
      </c>
      <c r="H97" s="311">
        <v>1</v>
      </c>
      <c r="I97" s="74"/>
      <c r="J97" s="404">
        <v>1</v>
      </c>
      <c r="K97" s="248">
        <v>0</v>
      </c>
      <c r="L97" s="311">
        <v>1</v>
      </c>
      <c r="M97" s="643">
        <f>+'[1]PROYECTO 5.2'!$E$10</f>
        <v>200000000</v>
      </c>
      <c r="N97" s="440">
        <v>0.5</v>
      </c>
      <c r="O97" s="74">
        <v>0</v>
      </c>
      <c r="P97" s="305">
        <v>1</v>
      </c>
      <c r="Q97" s="74">
        <v>210000000</v>
      </c>
      <c r="R97" s="74">
        <v>0</v>
      </c>
      <c r="S97" s="74">
        <v>0</v>
      </c>
      <c r="T97" s="305">
        <v>1</v>
      </c>
      <c r="U97" s="74">
        <v>167713166</v>
      </c>
      <c r="V97" s="73">
        <v>0</v>
      </c>
      <c r="W97" s="261">
        <v>0</v>
      </c>
      <c r="X97" s="620"/>
    </row>
    <row r="98" spans="1:26" ht="60.75" customHeight="1">
      <c r="A98" s="379" t="s">
        <v>445</v>
      </c>
      <c r="B98" s="251" t="s">
        <v>190</v>
      </c>
      <c r="C98" s="213" t="s">
        <v>1</v>
      </c>
      <c r="D98" s="288">
        <v>100</v>
      </c>
      <c r="E98" s="74">
        <f t="shared" si="21"/>
        <v>1275316058.0999999</v>
      </c>
      <c r="F98" s="74"/>
      <c r="G98" s="74">
        <f>+K98+O98+S98+W98</f>
        <v>100400000</v>
      </c>
      <c r="H98" s="311">
        <v>0</v>
      </c>
      <c r="I98" s="74">
        <v>104000000</v>
      </c>
      <c r="J98" s="404">
        <v>0</v>
      </c>
      <c r="K98" s="248">
        <v>100400000</v>
      </c>
      <c r="L98" s="311">
        <v>20</v>
      </c>
      <c r="M98" s="643">
        <v>849589382</v>
      </c>
      <c r="N98" s="404">
        <v>0</v>
      </c>
      <c r="O98" s="74">
        <v>0</v>
      </c>
      <c r="P98" s="305">
        <v>75</v>
      </c>
      <c r="Q98" s="74">
        <v>156939842</v>
      </c>
      <c r="R98" s="74">
        <v>0</v>
      </c>
      <c r="S98" s="216">
        <v>0</v>
      </c>
      <c r="T98" s="305">
        <v>100</v>
      </c>
      <c r="U98" s="74">
        <f>+Q98*1.05</f>
        <v>164786834.09999999</v>
      </c>
      <c r="V98" s="75">
        <v>0</v>
      </c>
      <c r="W98" s="261">
        <v>0</v>
      </c>
      <c r="X98" s="620"/>
    </row>
    <row r="99" spans="1:26" ht="92.25" customHeight="1">
      <c r="A99" s="379" t="s">
        <v>446</v>
      </c>
      <c r="B99" s="216" t="s">
        <v>190</v>
      </c>
      <c r="C99" s="213" t="s">
        <v>447</v>
      </c>
      <c r="D99" s="288">
        <f>AVERAGE(H99,L99,P99,T99)</f>
        <v>38</v>
      </c>
      <c r="E99" s="74">
        <f t="shared" si="21"/>
        <v>1178877553</v>
      </c>
      <c r="F99" s="74">
        <f>+J99+N99+R99+V99</f>
        <v>76</v>
      </c>
      <c r="G99" s="74">
        <f>+K99+O99+S99+W99</f>
        <v>509634799</v>
      </c>
      <c r="H99" s="311">
        <v>38</v>
      </c>
      <c r="I99" s="74">
        <v>339355600</v>
      </c>
      <c r="J99" s="404">
        <v>38</v>
      </c>
      <c r="K99" s="248">
        <v>335551973</v>
      </c>
      <c r="L99" s="311">
        <v>38</v>
      </c>
      <c r="M99" s="643">
        <v>327021953</v>
      </c>
      <c r="N99" s="404">
        <v>38</v>
      </c>
      <c r="O99" s="74">
        <v>174082826</v>
      </c>
      <c r="P99" s="305">
        <v>38</v>
      </c>
      <c r="Q99" s="74">
        <v>250000000</v>
      </c>
      <c r="R99" s="74">
        <v>0</v>
      </c>
      <c r="S99" s="216">
        <v>0</v>
      </c>
      <c r="T99" s="305">
        <v>38</v>
      </c>
      <c r="U99" s="74">
        <f>+Q99*1.05</f>
        <v>262500000</v>
      </c>
      <c r="V99" s="75">
        <v>0</v>
      </c>
      <c r="W99" s="261">
        <v>0</v>
      </c>
      <c r="X99" s="620"/>
    </row>
    <row r="100" spans="1:26" ht="57.75" customHeight="1">
      <c r="A100" s="229" t="s">
        <v>448</v>
      </c>
      <c r="B100" s="254"/>
      <c r="C100" s="242"/>
      <c r="D100" s="242"/>
      <c r="E100" s="243">
        <f>+E101+E111</f>
        <v>12224963630.5065</v>
      </c>
      <c r="F100" s="242"/>
      <c r="G100" s="243">
        <f>+G101+G111</f>
        <v>5816886385</v>
      </c>
      <c r="H100" s="243">
        <f>+H101+H111</f>
        <v>0</v>
      </c>
      <c r="I100" s="243">
        <f>+I101+I111</f>
        <v>4172562737</v>
      </c>
      <c r="J100" s="416"/>
      <c r="K100" s="231">
        <f>+K101+K111</f>
        <v>4055938669</v>
      </c>
      <c r="L100" s="243"/>
      <c r="M100" s="243">
        <f>+M101+M111</f>
        <v>3602400893</v>
      </c>
      <c r="N100" s="243"/>
      <c r="O100" s="243">
        <f>+O101+O111</f>
        <v>1760947716</v>
      </c>
      <c r="P100" s="243"/>
      <c r="Q100" s="243">
        <f>+Q101+Q111</f>
        <v>2250000000.3000002</v>
      </c>
      <c r="R100" s="243"/>
      <c r="S100" s="243">
        <f>+S101+S111</f>
        <v>0</v>
      </c>
      <c r="T100" s="243"/>
      <c r="U100" s="243">
        <f>+U101+U111</f>
        <v>2200000000.2065001</v>
      </c>
      <c r="V100" s="243"/>
      <c r="W100" s="387">
        <f>+W101+W111</f>
        <v>0</v>
      </c>
      <c r="X100" s="620"/>
    </row>
    <row r="101" spans="1:26" ht="36">
      <c r="A101" s="346" t="s">
        <v>516</v>
      </c>
      <c r="B101" s="255"/>
      <c r="C101" s="247"/>
      <c r="D101" s="247"/>
      <c r="E101" s="246">
        <f>SUM(E102:E110)</f>
        <v>6414963630.5065002</v>
      </c>
      <c r="F101" s="253"/>
      <c r="G101" s="246">
        <f>SUM(G102:G110)</f>
        <v>3879986635</v>
      </c>
      <c r="H101" s="316">
        <v>0</v>
      </c>
      <c r="I101" s="246">
        <f>SUM(I102:I110)</f>
        <v>2562562737</v>
      </c>
      <c r="J101" s="416"/>
      <c r="K101" s="357">
        <f>SUM(K102:K110)</f>
        <v>2493141500</v>
      </c>
      <c r="L101" s="245">
        <v>0</v>
      </c>
      <c r="M101" s="246">
        <f>SUM(M102:M110)</f>
        <v>2202400893</v>
      </c>
      <c r="N101" s="252">
        <v>0</v>
      </c>
      <c r="O101" s="246">
        <f>SUM(O102:O110)</f>
        <v>1386845135</v>
      </c>
      <c r="P101" s="246">
        <v>0</v>
      </c>
      <c r="Q101" s="246">
        <f>SUM(Q102:Q110)</f>
        <v>950000000.29999995</v>
      </c>
      <c r="R101" s="246">
        <v>0</v>
      </c>
      <c r="S101" s="246">
        <f>SUM(S102:S110)</f>
        <v>0</v>
      </c>
      <c r="T101" s="252">
        <v>0</v>
      </c>
      <c r="U101" s="246">
        <f>SUM(U102:U110)</f>
        <v>700000000.20649993</v>
      </c>
      <c r="V101" s="266"/>
      <c r="W101" s="382">
        <f>SUM(W102:W110)</f>
        <v>0</v>
      </c>
      <c r="X101" s="620"/>
      <c r="Z101" s="620">
        <v>700000000</v>
      </c>
    </row>
    <row r="102" spans="1:26" ht="36">
      <c r="A102" s="379" t="s">
        <v>449</v>
      </c>
      <c r="B102" s="216" t="s">
        <v>190</v>
      </c>
      <c r="C102" s="213" t="s">
        <v>529</v>
      </c>
      <c r="D102" s="288">
        <f>AVERAGE(H102,L102,P102,T102)</f>
        <v>1</v>
      </c>
      <c r="E102" s="74">
        <f>+I102+M102+Q102+U102</f>
        <v>430415791.35999995</v>
      </c>
      <c r="F102" s="757">
        <f>AVERAGE(J102,N102,R102,V102)</f>
        <v>0.4</v>
      </c>
      <c r="G102" s="74">
        <f t="shared" ref="G102:G110" si="23">+K102+O102+S102+W102</f>
        <v>171741228</v>
      </c>
      <c r="H102" s="311">
        <v>1</v>
      </c>
      <c r="I102" s="74">
        <v>119232028</v>
      </c>
      <c r="J102" s="404">
        <v>1</v>
      </c>
      <c r="K102" s="248">
        <v>119232028</v>
      </c>
      <c r="L102" s="311">
        <v>1</v>
      </c>
      <c r="M102" s="643">
        <v>101592147</v>
      </c>
      <c r="N102" s="440">
        <v>0.6</v>
      </c>
      <c r="O102" s="74">
        <v>52509200</v>
      </c>
      <c r="P102" s="311">
        <v>1</v>
      </c>
      <c r="Q102" s="74">
        <v>104534471.99999999</v>
      </c>
      <c r="R102" s="74">
        <v>0</v>
      </c>
      <c r="S102" s="74">
        <v>0</v>
      </c>
      <c r="T102" s="311">
        <v>1</v>
      </c>
      <c r="U102" s="74">
        <f>+Q102*1.005</f>
        <v>105057144.35999997</v>
      </c>
      <c r="V102" s="73">
        <v>0</v>
      </c>
      <c r="W102" s="261">
        <v>0</v>
      </c>
      <c r="X102" s="620"/>
      <c r="Z102" s="620">
        <f>+U101-Z101</f>
        <v>0.20649993419647217</v>
      </c>
    </row>
    <row r="103" spans="1:26" ht="36">
      <c r="A103" s="379" t="s">
        <v>450</v>
      </c>
      <c r="B103" s="216" t="s">
        <v>188</v>
      </c>
      <c r="C103" s="213" t="s">
        <v>1</v>
      </c>
      <c r="D103" s="288">
        <v>100</v>
      </c>
      <c r="E103" s="74">
        <f t="shared" ref="E103:E117" si="24">+I103+M103+Q103+U103</f>
        <v>1820290976</v>
      </c>
      <c r="F103" s="74">
        <f>AVERAGE(J103,N103,R103,V103)</f>
        <v>16.25</v>
      </c>
      <c r="G103" s="74">
        <f t="shared" si="23"/>
        <v>822705703</v>
      </c>
      <c r="H103" s="311">
        <v>25</v>
      </c>
      <c r="I103" s="74">
        <v>567360065</v>
      </c>
      <c r="J103" s="404">
        <v>25</v>
      </c>
      <c r="K103" s="248">
        <v>567360065</v>
      </c>
      <c r="L103" s="311">
        <v>50</v>
      </c>
      <c r="M103" s="643">
        <v>450930911</v>
      </c>
      <c r="N103" s="440">
        <v>40</v>
      </c>
      <c r="O103" s="74">
        <v>255345638</v>
      </c>
      <c r="P103" s="311">
        <v>75</v>
      </c>
      <c r="Q103" s="74">
        <v>400000000</v>
      </c>
      <c r="R103" s="74">
        <v>0</v>
      </c>
      <c r="S103" s="216">
        <v>0</v>
      </c>
      <c r="T103" s="311">
        <v>100</v>
      </c>
      <c r="U103" s="74">
        <f t="shared" ref="U103:U110" si="25">+Q103*1.005</f>
        <v>401999999.99999994</v>
      </c>
      <c r="V103" s="75">
        <v>0</v>
      </c>
      <c r="W103" s="261">
        <v>0</v>
      </c>
      <c r="X103" s="620"/>
    </row>
    <row r="104" spans="1:26" ht="44.25" customHeight="1">
      <c r="A104" s="379" t="s">
        <v>451</v>
      </c>
      <c r="B104" s="216" t="s">
        <v>190</v>
      </c>
      <c r="C104" s="213" t="s">
        <v>180</v>
      </c>
      <c r="D104" s="288">
        <f>AVERAGE(H104,L104,P104,T104)</f>
        <v>1</v>
      </c>
      <c r="E104" s="74">
        <f t="shared" si="24"/>
        <v>50350851</v>
      </c>
      <c r="F104" s="74">
        <f>AVERAGE(J104,N104,R104,V104)</f>
        <v>0.42499999999999999</v>
      </c>
      <c r="G104" s="74">
        <f t="shared" si="23"/>
        <v>10039996</v>
      </c>
      <c r="H104" s="311">
        <v>1</v>
      </c>
      <c r="I104" s="74">
        <v>0</v>
      </c>
      <c r="J104" s="404">
        <v>1</v>
      </c>
      <c r="K104" s="248">
        <v>0</v>
      </c>
      <c r="L104" s="311">
        <v>1</v>
      </c>
      <c r="M104" s="643">
        <v>30120000</v>
      </c>
      <c r="N104" s="440">
        <v>0.7</v>
      </c>
      <c r="O104" s="74">
        <v>10039996</v>
      </c>
      <c r="P104" s="311">
        <v>1</v>
      </c>
      <c r="Q104" s="74">
        <v>10090199.999999998</v>
      </c>
      <c r="R104" s="74">
        <v>0</v>
      </c>
      <c r="S104" s="74">
        <v>0</v>
      </c>
      <c r="T104" s="311">
        <v>1</v>
      </c>
      <c r="U104" s="74">
        <f t="shared" si="25"/>
        <v>10140650.999999996</v>
      </c>
      <c r="V104" s="73">
        <v>0</v>
      </c>
      <c r="W104" s="261">
        <v>0</v>
      </c>
      <c r="X104" s="620"/>
    </row>
    <row r="105" spans="1:26" ht="69" customHeight="1">
      <c r="A105" s="379" t="s">
        <v>452</v>
      </c>
      <c r="B105" s="216" t="s">
        <v>188</v>
      </c>
      <c r="C105" s="213" t="s">
        <v>194</v>
      </c>
      <c r="D105" s="288">
        <f>+H105+L105+P105+T105</f>
        <v>1</v>
      </c>
      <c r="E105" s="74">
        <f t="shared" si="24"/>
        <v>0</v>
      </c>
      <c r="F105" s="74">
        <f>+J105+N105+R105+V105</f>
        <v>1</v>
      </c>
      <c r="G105" s="74">
        <f t="shared" si="23"/>
        <v>0</v>
      </c>
      <c r="H105" s="311">
        <v>1</v>
      </c>
      <c r="I105" s="74">
        <v>0</v>
      </c>
      <c r="J105" s="404">
        <v>1</v>
      </c>
      <c r="K105" s="248">
        <v>0</v>
      </c>
      <c r="L105" s="311">
        <v>0</v>
      </c>
      <c r="M105" s="643">
        <v>0</v>
      </c>
      <c r="N105" s="404">
        <v>0</v>
      </c>
      <c r="O105" s="74">
        <v>0</v>
      </c>
      <c r="P105" s="311">
        <v>0</v>
      </c>
      <c r="Q105" s="74">
        <v>0</v>
      </c>
      <c r="R105" s="74">
        <v>0</v>
      </c>
      <c r="S105" s="74">
        <v>0</v>
      </c>
      <c r="T105" s="311">
        <v>0</v>
      </c>
      <c r="U105" s="74">
        <f t="shared" si="25"/>
        <v>0</v>
      </c>
      <c r="V105" s="73">
        <v>0</v>
      </c>
      <c r="W105" s="261">
        <v>0</v>
      </c>
      <c r="X105" s="620"/>
    </row>
    <row r="106" spans="1:26" ht="72">
      <c r="A106" s="379" t="s">
        <v>453</v>
      </c>
      <c r="B106" s="216" t="s">
        <v>188</v>
      </c>
      <c r="C106" s="213" t="s">
        <v>454</v>
      </c>
      <c r="D106" s="288">
        <f>+H106+L106+P106+T106</f>
        <v>4</v>
      </c>
      <c r="E106" s="74">
        <f t="shared" si="24"/>
        <v>3284619862</v>
      </c>
      <c r="F106" s="74">
        <f>+J106+N106+R106+V106</f>
        <v>1.5</v>
      </c>
      <c r="G106" s="74">
        <f t="shared" si="23"/>
        <v>2805516548</v>
      </c>
      <c r="H106" s="311">
        <v>1</v>
      </c>
      <c r="I106" s="74">
        <v>1813723379</v>
      </c>
      <c r="J106" s="404">
        <v>1</v>
      </c>
      <c r="K106" s="248">
        <v>1744310456</v>
      </c>
      <c r="L106" s="311">
        <v>1</v>
      </c>
      <c r="M106" s="643">
        <v>1208007458</v>
      </c>
      <c r="N106" s="440">
        <v>0.5</v>
      </c>
      <c r="O106" s="74">
        <v>1061206092</v>
      </c>
      <c r="P106" s="311">
        <v>1</v>
      </c>
      <c r="Q106" s="74">
        <v>100000000</v>
      </c>
      <c r="R106" s="74">
        <v>0</v>
      </c>
      <c r="S106" s="74">
        <v>0</v>
      </c>
      <c r="T106" s="311">
        <v>1</v>
      </c>
      <c r="U106" s="74">
        <v>162889025</v>
      </c>
      <c r="V106" s="73">
        <v>0</v>
      </c>
      <c r="W106" s="261">
        <v>0</v>
      </c>
      <c r="X106" s="620"/>
    </row>
    <row r="107" spans="1:26" ht="39.75" customHeight="1">
      <c r="A107" s="379" t="s">
        <v>455</v>
      </c>
      <c r="B107" s="216" t="s">
        <v>188</v>
      </c>
      <c r="C107" s="213" t="s">
        <v>511</v>
      </c>
      <c r="D107" s="288">
        <f>+H107+L107+P107+T107</f>
        <v>3</v>
      </c>
      <c r="E107" s="74">
        <f t="shared" si="24"/>
        <v>655825249</v>
      </c>
      <c r="F107" s="74">
        <f>+J107+N107+R107+V107</f>
        <v>1.5</v>
      </c>
      <c r="G107" s="74">
        <f t="shared" si="23"/>
        <v>4456023</v>
      </c>
      <c r="H107" s="311">
        <v>1</v>
      </c>
      <c r="I107" s="256">
        <v>0</v>
      </c>
      <c r="J107" s="411">
        <v>1</v>
      </c>
      <c r="K107" s="257">
        <v>0</v>
      </c>
      <c r="L107" s="313">
        <v>1</v>
      </c>
      <c r="M107" s="645">
        <v>340264030</v>
      </c>
      <c r="N107" s="647">
        <v>0.5</v>
      </c>
      <c r="O107" s="256">
        <v>4456023</v>
      </c>
      <c r="P107" s="313">
        <v>1</v>
      </c>
      <c r="Q107" s="74">
        <v>315561219</v>
      </c>
      <c r="R107" s="256">
        <v>0</v>
      </c>
      <c r="S107" s="256">
        <v>0</v>
      </c>
      <c r="T107" s="313">
        <v>0</v>
      </c>
      <c r="U107" s="74"/>
      <c r="V107" s="73">
        <v>0</v>
      </c>
      <c r="W107" s="261">
        <v>0</v>
      </c>
      <c r="X107" s="620"/>
    </row>
    <row r="108" spans="1:26" ht="39.75" customHeight="1">
      <c r="A108" s="379" t="s">
        <v>456</v>
      </c>
      <c r="B108" s="216" t="s">
        <v>190</v>
      </c>
      <c r="C108" s="213" t="s">
        <v>193</v>
      </c>
      <c r="D108" s="288">
        <f>AVERAGE(H108,L108,P108,T108)</f>
        <v>1</v>
      </c>
      <c r="E108" s="74">
        <f t="shared" si="24"/>
        <v>27200301.146499999</v>
      </c>
      <c r="F108" s="74">
        <f>AVERAGE(J108,N108,R108,V108)</f>
        <v>0.25</v>
      </c>
      <c r="G108" s="74">
        <f t="shared" si="23"/>
        <v>4584866</v>
      </c>
      <c r="H108" s="311">
        <v>1</v>
      </c>
      <c r="I108" s="256">
        <v>4584866</v>
      </c>
      <c r="J108" s="411">
        <v>1</v>
      </c>
      <c r="K108" s="257">
        <v>4584866</v>
      </c>
      <c r="L108" s="313">
        <v>1</v>
      </c>
      <c r="M108" s="645">
        <v>12963146</v>
      </c>
      <c r="N108" s="411">
        <v>0</v>
      </c>
      <c r="O108" s="256">
        <v>0</v>
      </c>
      <c r="P108" s="313">
        <v>1</v>
      </c>
      <c r="Q108" s="74">
        <v>4814109.3</v>
      </c>
      <c r="R108" s="256">
        <v>0</v>
      </c>
      <c r="S108" s="256">
        <v>0</v>
      </c>
      <c r="T108" s="313">
        <v>1</v>
      </c>
      <c r="U108" s="74">
        <f t="shared" si="25"/>
        <v>4838179.8464999991</v>
      </c>
      <c r="V108" s="73">
        <v>0</v>
      </c>
      <c r="W108" s="261">
        <v>0</v>
      </c>
      <c r="X108" s="620"/>
    </row>
    <row r="109" spans="1:26" ht="48.75" customHeight="1">
      <c r="A109" s="379" t="s">
        <v>457</v>
      </c>
      <c r="B109" s="216" t="s">
        <v>188</v>
      </c>
      <c r="C109" s="213" t="s">
        <v>131</v>
      </c>
      <c r="D109" s="288">
        <f>+H109+L109+P109+T109</f>
        <v>2</v>
      </c>
      <c r="E109" s="74">
        <f t="shared" si="24"/>
        <v>100400000</v>
      </c>
      <c r="F109" s="74">
        <f>+J109+N109+R109+V109</f>
        <v>1</v>
      </c>
      <c r="G109" s="74">
        <f t="shared" si="23"/>
        <v>50191686</v>
      </c>
      <c r="H109" s="313">
        <v>1</v>
      </c>
      <c r="I109" s="256">
        <v>50200000</v>
      </c>
      <c r="J109" s="404">
        <v>1</v>
      </c>
      <c r="K109" s="248">
        <v>50191686</v>
      </c>
      <c r="L109" s="311">
        <v>1</v>
      </c>
      <c r="M109" s="643">
        <v>50200000</v>
      </c>
      <c r="N109" s="404">
        <v>0</v>
      </c>
      <c r="O109" s="74">
        <v>0</v>
      </c>
      <c r="P109" s="311">
        <v>0</v>
      </c>
      <c r="Q109" s="74"/>
      <c r="R109" s="74">
        <v>0</v>
      </c>
      <c r="S109" s="74">
        <v>0</v>
      </c>
      <c r="T109" s="311">
        <v>0</v>
      </c>
      <c r="U109" s="74">
        <f t="shared" si="25"/>
        <v>0</v>
      </c>
      <c r="V109" s="73">
        <v>0</v>
      </c>
      <c r="W109" s="261">
        <v>0</v>
      </c>
      <c r="X109" s="620"/>
    </row>
    <row r="110" spans="1:26" ht="48.75" customHeight="1">
      <c r="A110" s="379" t="s">
        <v>532</v>
      </c>
      <c r="B110" s="328"/>
      <c r="C110" s="213" t="s">
        <v>533</v>
      </c>
      <c r="D110" s="213">
        <v>0</v>
      </c>
      <c r="E110" s="74">
        <f t="shared" si="24"/>
        <v>45860600</v>
      </c>
      <c r="F110" s="256"/>
      <c r="G110" s="74">
        <f t="shared" si="23"/>
        <v>10750585</v>
      </c>
      <c r="H110" s="313"/>
      <c r="I110" s="256">
        <v>7462399</v>
      </c>
      <c r="J110" s="411">
        <v>0</v>
      </c>
      <c r="K110" s="257">
        <v>7462399</v>
      </c>
      <c r="L110" s="313"/>
      <c r="M110" s="645">
        <f>+'[1]PROYECTO 6.1'!$E$44+'[1]PROYECTO 6.1'!$E$45+'[1]PROYECTO 6.1'!$E$46</f>
        <v>8323201</v>
      </c>
      <c r="N110" s="411"/>
      <c r="O110" s="256">
        <v>3288186</v>
      </c>
      <c r="P110" s="313"/>
      <c r="Q110" s="74">
        <v>15000000</v>
      </c>
      <c r="R110" s="256"/>
      <c r="S110" s="256"/>
      <c r="T110" s="311"/>
      <c r="U110" s="74">
        <f t="shared" si="25"/>
        <v>15074999.999999998</v>
      </c>
      <c r="V110" s="341"/>
      <c r="W110" s="342"/>
      <c r="X110" s="620"/>
    </row>
    <row r="111" spans="1:26" ht="50.25" customHeight="1">
      <c r="A111" s="352" t="s">
        <v>515</v>
      </c>
      <c r="B111" s="268"/>
      <c r="C111" s="240"/>
      <c r="D111" s="269"/>
      <c r="E111" s="238">
        <f>SUM(E112:E117)</f>
        <v>5810000000</v>
      </c>
      <c r="F111" s="269"/>
      <c r="G111" s="238">
        <f>SUM(G112:G117)</f>
        <v>1936899750</v>
      </c>
      <c r="H111" s="269"/>
      <c r="I111" s="238">
        <f>SUM(I112:I117)</f>
        <v>1610000000</v>
      </c>
      <c r="J111" s="412"/>
      <c r="K111" s="269">
        <f>SUM(K112:K117)</f>
        <v>1562797169</v>
      </c>
      <c r="L111" s="234"/>
      <c r="M111" s="238">
        <f>SUM(M112:M117)</f>
        <v>1400000000</v>
      </c>
      <c r="N111" s="234"/>
      <c r="O111" s="238">
        <f>SUM(O112:O117)</f>
        <v>374102581</v>
      </c>
      <c r="P111" s="238"/>
      <c r="Q111" s="238">
        <f>SUM(Q112:Q117)</f>
        <v>1300000000</v>
      </c>
      <c r="R111" s="238"/>
      <c r="S111" s="238">
        <f>SUM(S112:S117)</f>
        <v>0</v>
      </c>
      <c r="T111" s="222"/>
      <c r="U111" s="238">
        <f>SUM(U112:U117)</f>
        <v>1500000000</v>
      </c>
      <c r="V111" s="266"/>
      <c r="W111" s="380">
        <f>SUM(W112:W117)</f>
        <v>0</v>
      </c>
      <c r="X111" s="620"/>
      <c r="Z111" s="620">
        <v>1500000000</v>
      </c>
    </row>
    <row r="112" spans="1:26" ht="50.25" customHeight="1">
      <c r="A112" s="375" t="s">
        <v>458</v>
      </c>
      <c r="B112" s="216" t="s">
        <v>190</v>
      </c>
      <c r="C112" s="213" t="s">
        <v>1</v>
      </c>
      <c r="D112" s="288">
        <v>100</v>
      </c>
      <c r="E112" s="74">
        <f t="shared" si="24"/>
        <v>0</v>
      </c>
      <c r="F112" s="74">
        <f>AVERAGE(J112,N112,R112,V112)</f>
        <v>15</v>
      </c>
      <c r="G112" s="74">
        <f t="shared" ref="G112:G117" si="26">+K112+O112+S112+W112</f>
        <v>0</v>
      </c>
      <c r="H112" s="311">
        <v>25</v>
      </c>
      <c r="I112" s="256"/>
      <c r="J112" s="419">
        <v>25</v>
      </c>
      <c r="K112" s="257">
        <v>0</v>
      </c>
      <c r="L112" s="313">
        <v>50</v>
      </c>
      <c r="M112" s="646"/>
      <c r="N112" s="411">
        <v>35</v>
      </c>
      <c r="O112" s="256">
        <v>0</v>
      </c>
      <c r="P112" s="311">
        <v>75</v>
      </c>
      <c r="Q112" s="256">
        <v>0</v>
      </c>
      <c r="R112" s="74">
        <v>0</v>
      </c>
      <c r="S112" s="256">
        <v>0</v>
      </c>
      <c r="T112" s="311">
        <v>100</v>
      </c>
      <c r="U112" s="62">
        <v>0</v>
      </c>
      <c r="V112" s="73">
        <v>0</v>
      </c>
      <c r="W112" s="274">
        <v>0</v>
      </c>
      <c r="X112" s="620"/>
      <c r="Z112" s="620">
        <f>+U111-Z111</f>
        <v>0</v>
      </c>
    </row>
    <row r="113" spans="1:24" ht="50.25" customHeight="1">
      <c r="A113" s="384" t="s">
        <v>459</v>
      </c>
      <c r="B113" s="216" t="s">
        <v>461</v>
      </c>
      <c r="C113" s="213" t="s">
        <v>512</v>
      </c>
      <c r="D113" s="288">
        <f>AVERAGE(H113,L113,P113,T113)</f>
        <v>1</v>
      </c>
      <c r="E113" s="74">
        <f t="shared" si="24"/>
        <v>596522963</v>
      </c>
      <c r="F113" s="74">
        <f>AVERAGE(J113,N113,R113,V113)</f>
        <v>0.42499999999999999</v>
      </c>
      <c r="G113" s="74">
        <f t="shared" si="26"/>
        <v>349224170</v>
      </c>
      <c r="H113" s="311">
        <v>1</v>
      </c>
      <c r="I113" s="256">
        <v>264620800</v>
      </c>
      <c r="J113" s="419">
        <v>1</v>
      </c>
      <c r="K113" s="257">
        <v>259667370</v>
      </c>
      <c r="L113" s="313">
        <v>1</v>
      </c>
      <c r="M113" s="645">
        <v>173492800</v>
      </c>
      <c r="N113" s="647">
        <v>0.7</v>
      </c>
      <c r="O113" s="256">
        <v>89556800</v>
      </c>
      <c r="P113" s="313">
        <v>1</v>
      </c>
      <c r="Q113" s="256">
        <v>77272860</v>
      </c>
      <c r="R113" s="256">
        <v>0</v>
      </c>
      <c r="S113" s="256">
        <v>0</v>
      </c>
      <c r="T113" s="313">
        <v>1</v>
      </c>
      <c r="U113" s="256">
        <f>+Q113*1.05</f>
        <v>81136503</v>
      </c>
      <c r="V113" s="73">
        <v>0</v>
      </c>
      <c r="W113" s="261">
        <v>0</v>
      </c>
      <c r="X113" s="620"/>
    </row>
    <row r="114" spans="1:24" ht="50.25" customHeight="1">
      <c r="A114" s="372" t="s">
        <v>460</v>
      </c>
      <c r="B114" s="216" t="s">
        <v>461</v>
      </c>
      <c r="C114" s="213" t="s">
        <v>180</v>
      </c>
      <c r="D114" s="288">
        <f>AVERAGE(H114,L114,P114,T114)</f>
        <v>0.75</v>
      </c>
      <c r="E114" s="74">
        <f t="shared" si="24"/>
        <v>2458279200</v>
      </c>
      <c r="F114" s="288">
        <f>AVERAGE(J114,N114,R114,V114)</f>
        <v>0.36249999999999999</v>
      </c>
      <c r="G114" s="74">
        <f t="shared" si="26"/>
        <v>1156645716</v>
      </c>
      <c r="H114" s="311">
        <v>1</v>
      </c>
      <c r="I114" s="256">
        <v>1188379200</v>
      </c>
      <c r="J114" s="419">
        <v>1</v>
      </c>
      <c r="K114" s="257">
        <v>1156645716</v>
      </c>
      <c r="L114" s="313">
        <v>1</v>
      </c>
      <c r="M114" s="645">
        <f>+'[1]PROYECTO 6.2'!$E$14+'[1]PROYECTO 6.2'!$E$15</f>
        <v>360000000</v>
      </c>
      <c r="N114" s="647">
        <v>0.45</v>
      </c>
      <c r="O114" s="256">
        <v>0</v>
      </c>
      <c r="P114" s="313">
        <v>1</v>
      </c>
      <c r="Q114" s="256">
        <v>378000000</v>
      </c>
      <c r="R114" s="256">
        <v>0</v>
      </c>
      <c r="S114" s="256">
        <v>0</v>
      </c>
      <c r="T114" s="313">
        <v>0</v>
      </c>
      <c r="U114" s="256">
        <v>531900000</v>
      </c>
      <c r="V114" s="73">
        <v>0</v>
      </c>
      <c r="W114" s="261">
        <v>0</v>
      </c>
      <c r="X114" s="620"/>
    </row>
    <row r="115" spans="1:24" ht="57" customHeight="1">
      <c r="A115" s="372" t="s">
        <v>462</v>
      </c>
      <c r="B115" s="216" t="s">
        <v>188</v>
      </c>
      <c r="C115" s="213" t="s">
        <v>513</v>
      </c>
      <c r="D115" s="288">
        <f>+H115+L115+P115+T115</f>
        <v>4</v>
      </c>
      <c r="E115" s="74">
        <f t="shared" si="24"/>
        <v>1055588014</v>
      </c>
      <c r="F115" s="74">
        <f>+J115+N115+R115+V115</f>
        <v>1.5</v>
      </c>
      <c r="G115" s="74">
        <f t="shared" si="26"/>
        <v>0</v>
      </c>
      <c r="H115" s="311">
        <v>1</v>
      </c>
      <c r="I115" s="256"/>
      <c r="J115" s="419">
        <v>1</v>
      </c>
      <c r="K115" s="257">
        <v>0</v>
      </c>
      <c r="L115" s="313">
        <v>1</v>
      </c>
      <c r="M115" s="645">
        <f>+'[1]PROYECTO 6.2'!$E$17</f>
        <v>377109600</v>
      </c>
      <c r="N115" s="647">
        <v>0.5</v>
      </c>
      <c r="O115" s="256">
        <v>0</v>
      </c>
      <c r="P115" s="313">
        <v>1</v>
      </c>
      <c r="Q115" s="256">
        <v>330965080</v>
      </c>
      <c r="R115" s="256">
        <v>0</v>
      </c>
      <c r="S115" s="256">
        <v>0</v>
      </c>
      <c r="T115" s="313">
        <v>1</v>
      </c>
      <c r="U115" s="256">
        <f>+Q115*1.05</f>
        <v>347513334</v>
      </c>
      <c r="V115" s="73">
        <v>0</v>
      </c>
      <c r="W115" s="273">
        <v>0</v>
      </c>
      <c r="X115" s="620"/>
    </row>
    <row r="116" spans="1:24" ht="80.25" customHeight="1" thickBot="1">
      <c r="A116" s="391" t="s">
        <v>463</v>
      </c>
      <c r="B116" s="216" t="s">
        <v>190</v>
      </c>
      <c r="C116" s="213" t="s">
        <v>193</v>
      </c>
      <c r="D116" s="343">
        <f>AVERAGE(H116,L116,P116,T116)</f>
        <v>1</v>
      </c>
      <c r="E116" s="74">
        <f>+I116+M116+Q116+U116</f>
        <v>1630506564</v>
      </c>
      <c r="F116" s="288">
        <f>AVERAGE(J116,N116,R116,V116)</f>
        <v>0.42499999999999999</v>
      </c>
      <c r="G116" s="74">
        <f>+K116+O116+S116+W116</f>
        <v>404688200</v>
      </c>
      <c r="H116" s="313">
        <v>1</v>
      </c>
      <c r="I116" s="256">
        <v>140000000</v>
      </c>
      <c r="J116" s="419">
        <v>1</v>
      </c>
      <c r="K116" s="257">
        <v>132922987</v>
      </c>
      <c r="L116" s="313">
        <v>1</v>
      </c>
      <c r="M116" s="645">
        <v>472870000</v>
      </c>
      <c r="N116" s="647">
        <v>0.7</v>
      </c>
      <c r="O116" s="256">
        <v>271765213</v>
      </c>
      <c r="P116" s="313">
        <v>1</v>
      </c>
      <c r="Q116" s="256">
        <v>496408080</v>
      </c>
      <c r="R116" s="256">
        <v>0</v>
      </c>
      <c r="S116" s="256">
        <v>0</v>
      </c>
      <c r="T116" s="313">
        <v>1</v>
      </c>
      <c r="U116" s="256">
        <f>+Q116*1.05</f>
        <v>521228484</v>
      </c>
      <c r="V116" s="334">
        <v>0</v>
      </c>
      <c r="W116" s="335">
        <v>0</v>
      </c>
      <c r="X116" s="620"/>
    </row>
    <row r="117" spans="1:24" ht="80.25" customHeight="1" thickBot="1">
      <c r="A117" s="379" t="s">
        <v>532</v>
      </c>
      <c r="B117" s="328"/>
      <c r="C117" s="213" t="s">
        <v>533</v>
      </c>
      <c r="D117" s="213">
        <v>0</v>
      </c>
      <c r="E117" s="74">
        <f t="shared" si="24"/>
        <v>69103259</v>
      </c>
      <c r="F117" s="74"/>
      <c r="G117" s="74">
        <f t="shared" si="26"/>
        <v>26341664</v>
      </c>
      <c r="H117" s="311"/>
      <c r="I117" s="74">
        <v>17000000</v>
      </c>
      <c r="J117" s="420"/>
      <c r="K117" s="248">
        <v>13561096</v>
      </c>
      <c r="L117" s="311"/>
      <c r="M117" s="643">
        <f>+'[1]PROYECTO 6.2'!$E$27+'[1]PROYECTO 6.2'!$E$28+'[1]PROYECTO 6.2'!$E$29+'[1]PROYECTO 6.2'!$E$30</f>
        <v>16527600</v>
      </c>
      <c r="N117" s="404"/>
      <c r="O117" s="74">
        <v>12780568</v>
      </c>
      <c r="P117" s="311"/>
      <c r="Q117" s="256">
        <v>17353980</v>
      </c>
      <c r="R117" s="74"/>
      <c r="S117" s="74"/>
      <c r="T117" s="311"/>
      <c r="U117" s="256">
        <f>+Q117*1.05</f>
        <v>18221679</v>
      </c>
      <c r="V117" s="73"/>
      <c r="W117" s="261"/>
      <c r="X117" s="620"/>
    </row>
    <row r="118" spans="1:24" ht="38.25" customHeight="1" thickBot="1">
      <c r="A118" s="767" t="s">
        <v>195</v>
      </c>
      <c r="B118" s="768"/>
      <c r="C118" s="768"/>
      <c r="D118" s="769"/>
      <c r="E118" s="344">
        <f>+E5+E33++E55+E69+E87+E100</f>
        <v>93024045769.6633</v>
      </c>
      <c r="F118" s="344"/>
      <c r="G118" s="344">
        <f>+G5+G33++G55+G69+G87+G100</f>
        <v>42221061395</v>
      </c>
      <c r="H118" s="344"/>
      <c r="I118" s="344">
        <f>+I5+I33++I55+I69+I87+I100+1</f>
        <v>31883600736</v>
      </c>
      <c r="J118" s="421"/>
      <c r="K118" s="360">
        <f>+K5+K33++K55+K69+K87+K100</f>
        <v>31023133223</v>
      </c>
      <c r="L118" s="344"/>
      <c r="M118" s="344">
        <f>+M100+M87+M69+M55+M33+M5</f>
        <v>28065904024.959999</v>
      </c>
      <c r="N118" s="344"/>
      <c r="O118" s="344">
        <f>+O5+O33++O55+O69+O87+O100</f>
        <v>11197928172</v>
      </c>
      <c r="P118" s="344"/>
      <c r="Q118" s="344">
        <f>+Q100+Q87+Q69+Q55+Q33+Q5</f>
        <v>16129358688.190899</v>
      </c>
      <c r="R118" s="344"/>
      <c r="S118" s="344">
        <f>+S5+S33++S55+S69+S87+S100</f>
        <v>0</v>
      </c>
      <c r="T118" s="344"/>
      <c r="U118" s="344">
        <f>+U100+U87+U69+U55+U33+U5</f>
        <v>16945182320.5124</v>
      </c>
      <c r="V118" s="344"/>
      <c r="W118" s="392">
        <f>+W5+W33++W55+W69+W87+W100</f>
        <v>0</v>
      </c>
    </row>
    <row r="119" spans="1:24" ht="3.75" customHeight="1" thickBot="1">
      <c r="A119" s="275"/>
      <c r="B119" s="276"/>
      <c r="C119" s="276"/>
      <c r="D119" s="276"/>
      <c r="E119" s="277"/>
      <c r="F119" s="276"/>
      <c r="G119" s="277"/>
      <c r="H119" s="276"/>
      <c r="I119" s="276"/>
      <c r="J119" s="422"/>
      <c r="K119" s="361"/>
      <c r="L119" s="276"/>
      <c r="M119" s="276"/>
      <c r="N119" s="276"/>
      <c r="O119" s="276"/>
      <c r="P119" s="276"/>
      <c r="Q119" s="276"/>
      <c r="R119" s="278"/>
      <c r="S119" s="278"/>
      <c r="T119" s="276"/>
      <c r="U119" s="279"/>
      <c r="V119" s="280"/>
      <c r="W119" s="281"/>
    </row>
    <row r="120" spans="1:24">
      <c r="E120" s="64"/>
      <c r="G120" s="67"/>
      <c r="H120" s="67"/>
      <c r="I120" s="67"/>
      <c r="J120" s="435"/>
      <c r="K120" s="436"/>
    </row>
    <row r="121" spans="1:24">
      <c r="E121" s="64"/>
      <c r="G121" s="67"/>
      <c r="H121" s="67"/>
      <c r="I121" s="67"/>
      <c r="J121" s="435"/>
      <c r="K121" s="436"/>
    </row>
    <row r="122" spans="1:24">
      <c r="E122" s="64"/>
      <c r="G122" s="67"/>
      <c r="H122" s="67"/>
      <c r="I122" s="67"/>
      <c r="J122" s="435"/>
      <c r="K122" s="436"/>
    </row>
    <row r="123" spans="1:24">
      <c r="E123" s="64"/>
      <c r="G123" s="67"/>
      <c r="H123" s="67"/>
      <c r="I123" s="67"/>
      <c r="J123" s="435"/>
      <c r="K123" s="436"/>
    </row>
    <row r="124" spans="1:24">
      <c r="E124" s="64"/>
      <c r="G124" s="67"/>
      <c r="H124" s="67"/>
      <c r="I124" s="67"/>
      <c r="J124" s="435"/>
      <c r="K124" s="436"/>
    </row>
    <row r="125" spans="1:24">
      <c r="E125" s="64"/>
      <c r="G125" s="67"/>
      <c r="H125" s="67"/>
      <c r="I125" s="67"/>
      <c r="J125" s="435"/>
      <c r="K125" s="436"/>
    </row>
    <row r="126" spans="1:24">
      <c r="E126" s="64"/>
      <c r="G126" s="67"/>
      <c r="H126" s="67"/>
      <c r="I126" s="67"/>
      <c r="J126" s="435"/>
      <c r="K126" s="436"/>
    </row>
    <row r="127" spans="1:24">
      <c r="E127" s="64"/>
      <c r="G127" s="67"/>
      <c r="H127" s="67"/>
      <c r="I127" s="67"/>
      <c r="J127" s="435"/>
      <c r="K127" s="436"/>
    </row>
    <row r="128" spans="1:24">
      <c r="E128" s="64"/>
      <c r="G128" s="67"/>
      <c r="H128" s="67"/>
      <c r="I128" s="67"/>
      <c r="J128" s="435"/>
      <c r="K128" s="436"/>
    </row>
    <row r="129" spans="5:11">
      <c r="E129" s="64"/>
      <c r="G129" s="67"/>
      <c r="H129" s="67"/>
      <c r="I129" s="67"/>
      <c r="J129" s="435"/>
      <c r="K129" s="436"/>
    </row>
    <row r="130" spans="5:11">
      <c r="E130" s="64"/>
      <c r="G130" s="67"/>
      <c r="H130" s="67"/>
      <c r="I130" s="67"/>
      <c r="J130" s="435"/>
      <c r="K130" s="436"/>
    </row>
    <row r="131" spans="5:11">
      <c r="E131" s="64"/>
      <c r="G131" s="67"/>
      <c r="H131" s="67"/>
      <c r="I131" s="67"/>
      <c r="J131" s="435"/>
      <c r="K131" s="436"/>
    </row>
    <row r="132" spans="5:11">
      <c r="E132" s="64"/>
      <c r="G132" s="67"/>
      <c r="H132" s="67"/>
      <c r="I132" s="67"/>
      <c r="J132" s="435"/>
      <c r="K132" s="436"/>
    </row>
    <row r="133" spans="5:11">
      <c r="E133" s="64"/>
      <c r="G133" s="67"/>
      <c r="H133" s="67"/>
      <c r="I133" s="67"/>
      <c r="J133" s="435"/>
      <c r="K133" s="436"/>
    </row>
    <row r="134" spans="5:11">
      <c r="E134" s="64"/>
      <c r="G134" s="67"/>
      <c r="H134" s="67"/>
      <c r="I134" s="67"/>
      <c r="J134" s="435"/>
      <c r="K134" s="436"/>
    </row>
    <row r="135" spans="5:11">
      <c r="E135" s="64"/>
      <c r="G135" s="67"/>
      <c r="H135" s="67"/>
      <c r="I135" s="67"/>
      <c r="J135" s="435"/>
      <c r="K135" s="436"/>
    </row>
    <row r="136" spans="5:11">
      <c r="E136" s="64"/>
      <c r="G136" s="67"/>
      <c r="H136" s="67"/>
      <c r="I136" s="67"/>
      <c r="J136" s="435"/>
      <c r="K136" s="436"/>
    </row>
    <row r="137" spans="5:11">
      <c r="E137" s="64"/>
      <c r="G137" s="64"/>
    </row>
    <row r="138" spans="5:11">
      <c r="E138" s="64"/>
      <c r="G138" s="64"/>
    </row>
    <row r="139" spans="5:11">
      <c r="E139" s="64"/>
      <c r="G139" s="64"/>
    </row>
    <row r="140" spans="5:11">
      <c r="E140" s="64"/>
      <c r="G140" s="64"/>
    </row>
    <row r="141" spans="5:11">
      <c r="E141" s="64"/>
      <c r="G141" s="64"/>
    </row>
    <row r="142" spans="5:11">
      <c r="E142" s="64"/>
      <c r="G142" s="64"/>
    </row>
    <row r="143" spans="5:11">
      <c r="E143" s="64"/>
      <c r="G143" s="64"/>
    </row>
    <row r="144" spans="5:11">
      <c r="E144" s="64"/>
      <c r="G144" s="64"/>
    </row>
    <row r="145" spans="5:7">
      <c r="E145" s="64"/>
      <c r="G145" s="64"/>
    </row>
    <row r="146" spans="5:7">
      <c r="E146" s="64"/>
      <c r="G146" s="64"/>
    </row>
    <row r="147" spans="5:7">
      <c r="E147" s="64"/>
      <c r="G147" s="64"/>
    </row>
    <row r="148" spans="5:7">
      <c r="E148" s="64"/>
      <c r="G148" s="64"/>
    </row>
    <row r="149" spans="5:7">
      <c r="E149" s="64"/>
      <c r="G149" s="64"/>
    </row>
    <row r="150" spans="5:7">
      <c r="E150" s="64"/>
      <c r="G150" s="64"/>
    </row>
    <row r="151" spans="5:7">
      <c r="E151" s="64"/>
      <c r="G151" s="64"/>
    </row>
    <row r="152" spans="5:7">
      <c r="E152" s="64"/>
      <c r="G152" s="64"/>
    </row>
    <row r="153" spans="5:7">
      <c r="E153" s="64"/>
      <c r="G153" s="64"/>
    </row>
    <row r="154" spans="5:7">
      <c r="E154" s="64"/>
      <c r="G154" s="64"/>
    </row>
    <row r="155" spans="5:7">
      <c r="E155" s="64"/>
      <c r="G155" s="64"/>
    </row>
    <row r="156" spans="5:7">
      <c r="E156" s="64"/>
      <c r="G156" s="64"/>
    </row>
    <row r="157" spans="5:7">
      <c r="E157" s="64"/>
      <c r="G157" s="64"/>
    </row>
    <row r="158" spans="5:7">
      <c r="E158" s="64"/>
      <c r="G158" s="64"/>
    </row>
    <row r="159" spans="5:7">
      <c r="E159" s="64"/>
      <c r="G159" s="64"/>
    </row>
    <row r="160" spans="5:7">
      <c r="E160" s="64"/>
      <c r="G160" s="64"/>
    </row>
    <row r="161" spans="5:7">
      <c r="E161" s="64"/>
      <c r="G161" s="64"/>
    </row>
    <row r="162" spans="5:7">
      <c r="E162" s="64"/>
      <c r="G162" s="64"/>
    </row>
    <row r="163" spans="5:7">
      <c r="E163" s="64"/>
      <c r="G163" s="64"/>
    </row>
    <row r="164" spans="5:7">
      <c r="E164" s="64"/>
      <c r="G164" s="64"/>
    </row>
    <row r="165" spans="5:7">
      <c r="E165" s="64"/>
      <c r="G165" s="64"/>
    </row>
    <row r="166" spans="5:7">
      <c r="E166" s="64"/>
      <c r="G166" s="64"/>
    </row>
    <row r="167" spans="5:7">
      <c r="E167" s="64"/>
      <c r="G167" s="64"/>
    </row>
    <row r="168" spans="5:7">
      <c r="E168" s="64"/>
      <c r="G168" s="64"/>
    </row>
    <row r="169" spans="5:7">
      <c r="E169" s="64"/>
      <c r="G169" s="64"/>
    </row>
    <row r="170" spans="5:7">
      <c r="E170" s="64"/>
      <c r="G170" s="64"/>
    </row>
    <row r="171" spans="5:7">
      <c r="E171" s="64"/>
      <c r="G171" s="64"/>
    </row>
    <row r="172" spans="5:7">
      <c r="E172" s="64"/>
      <c r="G172" s="64"/>
    </row>
    <row r="173" spans="5:7">
      <c r="E173" s="64"/>
      <c r="G173" s="64"/>
    </row>
    <row r="174" spans="5:7">
      <c r="E174" s="64"/>
      <c r="G174" s="64"/>
    </row>
    <row r="175" spans="5:7">
      <c r="E175" s="64"/>
      <c r="G175" s="64"/>
    </row>
    <row r="176" spans="5:7">
      <c r="E176" s="64"/>
      <c r="G176" s="64"/>
    </row>
    <row r="177" spans="5:7">
      <c r="E177" s="64"/>
      <c r="G177" s="64"/>
    </row>
    <row r="178" spans="5:7">
      <c r="E178" s="64"/>
      <c r="G178" s="64"/>
    </row>
    <row r="179" spans="5:7">
      <c r="E179" s="64"/>
      <c r="G179" s="64"/>
    </row>
    <row r="180" spans="5:7">
      <c r="E180" s="64"/>
      <c r="G180" s="64"/>
    </row>
    <row r="181" spans="5:7">
      <c r="E181" s="64"/>
      <c r="G181" s="64"/>
    </row>
    <row r="182" spans="5:7">
      <c r="E182" s="64"/>
      <c r="G182" s="64"/>
    </row>
    <row r="183" spans="5:7">
      <c r="E183" s="64"/>
      <c r="G183" s="64"/>
    </row>
    <row r="184" spans="5:7">
      <c r="E184" s="64"/>
      <c r="G184" s="64"/>
    </row>
    <row r="185" spans="5:7">
      <c r="E185" s="64"/>
      <c r="G185" s="64"/>
    </row>
    <row r="186" spans="5:7">
      <c r="E186" s="64"/>
      <c r="G186" s="64"/>
    </row>
    <row r="187" spans="5:7">
      <c r="E187" s="64"/>
      <c r="G187" s="64"/>
    </row>
    <row r="188" spans="5:7">
      <c r="E188" s="64"/>
      <c r="G188" s="64"/>
    </row>
    <row r="189" spans="5:7">
      <c r="E189" s="64"/>
      <c r="G189" s="64"/>
    </row>
    <row r="190" spans="5:7">
      <c r="E190" s="64"/>
      <c r="G190" s="64"/>
    </row>
    <row r="191" spans="5:7">
      <c r="E191" s="64"/>
      <c r="G191" s="64"/>
    </row>
    <row r="192" spans="5:7">
      <c r="E192" s="64"/>
      <c r="G192" s="64"/>
    </row>
    <row r="193" spans="5:7">
      <c r="E193" s="64"/>
      <c r="G193" s="64"/>
    </row>
    <row r="194" spans="5:7">
      <c r="E194" s="64"/>
      <c r="G194" s="64"/>
    </row>
    <row r="195" spans="5:7">
      <c r="E195" s="64"/>
      <c r="G195" s="64"/>
    </row>
    <row r="196" spans="5:7">
      <c r="E196" s="64"/>
      <c r="G196" s="64"/>
    </row>
    <row r="197" spans="5:7">
      <c r="E197" s="64"/>
      <c r="G197" s="64"/>
    </row>
    <row r="198" spans="5:7">
      <c r="E198" s="64"/>
      <c r="G198" s="64"/>
    </row>
    <row r="199" spans="5:7">
      <c r="E199" s="64"/>
      <c r="G199" s="64"/>
    </row>
    <row r="200" spans="5:7">
      <c r="E200" s="64"/>
      <c r="G200" s="64"/>
    </row>
    <row r="201" spans="5:7">
      <c r="E201" s="64"/>
      <c r="G201" s="64"/>
    </row>
    <row r="202" spans="5:7">
      <c r="E202" s="64"/>
      <c r="G202" s="64"/>
    </row>
    <row r="203" spans="5:7">
      <c r="E203" s="64"/>
      <c r="G203" s="64"/>
    </row>
    <row r="204" spans="5:7">
      <c r="E204" s="64"/>
      <c r="G204" s="64"/>
    </row>
    <row r="205" spans="5:7">
      <c r="E205" s="64"/>
      <c r="G205" s="64"/>
    </row>
    <row r="206" spans="5:7">
      <c r="E206" s="64"/>
      <c r="G206" s="64"/>
    </row>
    <row r="207" spans="5:7">
      <c r="E207" s="64"/>
      <c r="G207" s="64"/>
    </row>
    <row r="208" spans="5:7">
      <c r="E208" s="64"/>
      <c r="G208" s="64"/>
    </row>
    <row r="209" spans="5:7">
      <c r="E209" s="64"/>
      <c r="G209" s="64"/>
    </row>
    <row r="210" spans="5:7">
      <c r="E210" s="64"/>
      <c r="G210" s="64"/>
    </row>
    <row r="211" spans="5:7">
      <c r="E211" s="64"/>
      <c r="G211" s="64"/>
    </row>
    <row r="212" spans="5:7">
      <c r="E212" s="64"/>
      <c r="G212" s="64"/>
    </row>
    <row r="213" spans="5:7">
      <c r="E213" s="64"/>
      <c r="G213" s="64"/>
    </row>
  </sheetData>
  <mergeCells count="14">
    <mergeCell ref="A3:A4"/>
    <mergeCell ref="A118:D118"/>
    <mergeCell ref="A1:W1"/>
    <mergeCell ref="A2:U2"/>
    <mergeCell ref="C3:E3"/>
    <mergeCell ref="F3:G3"/>
    <mergeCell ref="H3:I3"/>
    <mergeCell ref="J3:K3"/>
    <mergeCell ref="L3:M3"/>
    <mergeCell ref="N3:O3"/>
    <mergeCell ref="P3:Q3"/>
    <mergeCell ref="R3:S3"/>
    <mergeCell ref="T3:U3"/>
    <mergeCell ref="V3:W3"/>
  </mergeCells>
  <conditionalFormatting sqref="D94">
    <cfRule type="colorScale" priority="1">
      <colorScale>
        <cfvo type="min"/>
        <cfvo type="percentile" val="50"/>
        <cfvo type="max"/>
        <color rgb="FFF8696B"/>
        <color rgb="FFFCFCFF"/>
        <color rgb="FF63BE7B"/>
      </colorScale>
    </cfRule>
  </conditionalFormatting>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75" workbookViewId="0">
      <selection activeCell="B18" sqref="B18"/>
    </sheetView>
  </sheetViews>
  <sheetFormatPr baseColWidth="10" defaultRowHeight="12.75"/>
  <cols>
    <col min="1" max="1" width="33.5703125" customWidth="1"/>
    <col min="2" max="2" width="72.140625" customWidth="1"/>
  </cols>
  <sheetData>
    <row r="1" spans="1:2" ht="14.25" thickBot="1">
      <c r="A1" s="905" t="s">
        <v>47</v>
      </c>
      <c r="B1" s="905"/>
    </row>
    <row r="2" spans="1:2" ht="13.5" customHeight="1">
      <c r="A2" s="901" t="s">
        <v>30</v>
      </c>
      <c r="B2" s="902"/>
    </row>
    <row r="3" spans="1:2" ht="14.25" thickBot="1">
      <c r="A3" s="903" t="s">
        <v>48</v>
      </c>
      <c r="B3" s="904"/>
    </row>
    <row r="4" spans="1:2" ht="13.5" thickBot="1">
      <c r="A4" s="6" t="s">
        <v>32</v>
      </c>
      <c r="B4" s="7" t="s">
        <v>33</v>
      </c>
    </row>
    <row r="5" spans="1:2" ht="26.25" thickBot="1">
      <c r="A5" s="14" t="s">
        <v>14</v>
      </c>
      <c r="B5" s="15" t="s">
        <v>15</v>
      </c>
    </row>
    <row r="6" spans="1:2" ht="30" customHeight="1" thickBot="1">
      <c r="A6" s="14" t="s">
        <v>123</v>
      </c>
      <c r="B6" s="15" t="s">
        <v>125</v>
      </c>
    </row>
    <row r="7" spans="1:2" ht="64.5" thickBot="1">
      <c r="A7" s="13" t="s">
        <v>124</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122</v>
      </c>
    </row>
    <row r="14" spans="1:2" ht="47.25" customHeight="1" thickBot="1">
      <c r="A14" s="13" t="s">
        <v>52</v>
      </c>
      <c r="B14" s="16" t="s">
        <v>53</v>
      </c>
    </row>
    <row r="15" spans="1:2" ht="26.25" thickBot="1">
      <c r="A15" s="13" t="s">
        <v>28</v>
      </c>
      <c r="B15" s="16" t="s">
        <v>16</v>
      </c>
    </row>
    <row r="16" spans="1:2">
      <c r="B16" s="12"/>
    </row>
  </sheetData>
  <mergeCells count="3">
    <mergeCell ref="A2:B2"/>
    <mergeCell ref="A3:B3"/>
    <mergeCell ref="A1:B1"/>
  </mergeCells>
  <phoneticPr fontId="16"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election activeCell="E18" sqref="E18"/>
    </sheetView>
  </sheetViews>
  <sheetFormatPr baseColWidth="10" defaultRowHeight="12.75"/>
  <sheetData>
    <row r="4" spans="4:5">
      <c r="D4" t="s">
        <v>143</v>
      </c>
      <c r="E4">
        <v>57</v>
      </c>
    </row>
    <row r="5" spans="4:5">
      <c r="D5" t="s">
        <v>169</v>
      </c>
      <c r="E5">
        <v>70</v>
      </c>
    </row>
    <row r="6" spans="4:5">
      <c r="D6" t="s">
        <v>138</v>
      </c>
      <c r="E6">
        <v>47</v>
      </c>
    </row>
    <row r="7" spans="4:5">
      <c r="D7" t="s">
        <v>158</v>
      </c>
      <c r="E7">
        <v>67</v>
      </c>
    </row>
    <row r="8" spans="4:5">
      <c r="D8" t="s">
        <v>149</v>
      </c>
      <c r="E8">
        <v>14</v>
      </c>
    </row>
    <row r="9" spans="4:5">
      <c r="D9" t="s">
        <v>145</v>
      </c>
      <c r="E9">
        <v>48</v>
      </c>
    </row>
    <row r="10" spans="4:5">
      <c r="D10" t="s">
        <v>151</v>
      </c>
      <c r="E10">
        <v>18</v>
      </c>
    </row>
    <row r="11" spans="4:5">
      <c r="D11" t="s">
        <v>152</v>
      </c>
      <c r="E11">
        <v>32</v>
      </c>
    </row>
    <row r="12" spans="4:5">
      <c r="D12" t="s">
        <v>140</v>
      </c>
      <c r="E12">
        <v>32</v>
      </c>
    </row>
    <row r="13" spans="4:5">
      <c r="D13" t="s">
        <v>153</v>
      </c>
      <c r="E13">
        <v>78</v>
      </c>
    </row>
    <row r="14" spans="4:5">
      <c r="D14" t="s">
        <v>170</v>
      </c>
      <c r="E14">
        <v>47</v>
      </c>
    </row>
    <row r="15" spans="4:5">
      <c r="D15" t="s">
        <v>171</v>
      </c>
      <c r="E15">
        <v>45</v>
      </c>
    </row>
    <row r="16" spans="4:5">
      <c r="D16" t="s">
        <v>172</v>
      </c>
      <c r="E16">
        <v>99</v>
      </c>
    </row>
    <row r="17" spans="4:5">
      <c r="D17" t="s">
        <v>139</v>
      </c>
      <c r="E17">
        <v>60</v>
      </c>
    </row>
    <row r="18" spans="4:5">
      <c r="E18">
        <f>AVERAGE(E4:E17,E4:E17)</f>
        <v>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zoomScale="90" zoomScaleNormal="90" workbookViewId="0">
      <pane xSplit="3" ySplit="1" topLeftCell="D2" activePane="bottomRight" state="frozen"/>
      <selection pane="topRight" activeCell="D1" sqref="D1"/>
      <selection pane="bottomLeft" activeCell="A2" sqref="A2"/>
      <selection pane="bottomRight" activeCell="D2" sqref="D2:D4"/>
    </sheetView>
  </sheetViews>
  <sheetFormatPr baseColWidth="10" defaultRowHeight="12.75"/>
  <cols>
    <col min="4" max="4" width="21.42578125" customWidth="1"/>
    <col min="5" max="5" width="14.5703125" customWidth="1"/>
    <col min="6" max="6" width="27.85546875" customWidth="1"/>
    <col min="7" max="7" width="21" style="189" customWidth="1"/>
    <col min="8" max="8" width="23.140625" customWidth="1"/>
    <col min="9" max="9" width="24.5703125" customWidth="1"/>
  </cols>
  <sheetData>
    <row r="1" spans="4:9" ht="29.25" customHeight="1">
      <c r="D1" s="192" t="s">
        <v>345</v>
      </c>
      <c r="E1" s="194" t="s">
        <v>346</v>
      </c>
      <c r="F1" s="192" t="s">
        <v>330</v>
      </c>
      <c r="G1" s="194" t="s">
        <v>347</v>
      </c>
      <c r="H1" s="208" t="s">
        <v>354</v>
      </c>
      <c r="I1" s="208" t="s">
        <v>355</v>
      </c>
    </row>
    <row r="2" spans="4:9" ht="51">
      <c r="D2" s="909" t="str">
        <f>+'Anexo 1 Matriz SINA Inf Gestión'!B5</f>
        <v>PROGRAMA 1 Ordenamiento y administracion del recurso hídrico y las cuencas Hidrográficas</v>
      </c>
      <c r="E2" s="906">
        <v>70.865913783143426</v>
      </c>
      <c r="F2" s="190" t="s">
        <v>331</v>
      </c>
      <c r="G2" s="191">
        <v>65</v>
      </c>
      <c r="H2" s="911">
        <v>64</v>
      </c>
      <c r="I2" s="191">
        <v>65</v>
      </c>
    </row>
    <row r="3" spans="4:9" ht="38.25">
      <c r="D3" s="915"/>
      <c r="E3" s="907"/>
      <c r="F3" s="190" t="s">
        <v>332</v>
      </c>
      <c r="G3" s="191">
        <v>84</v>
      </c>
      <c r="H3" s="911"/>
      <c r="I3" s="207">
        <v>65</v>
      </c>
    </row>
    <row r="4" spans="4:9" ht="41.25" customHeight="1">
      <c r="D4" s="910"/>
      <c r="E4" s="908"/>
      <c r="F4" s="190" t="s">
        <v>333</v>
      </c>
      <c r="G4" s="191">
        <v>64</v>
      </c>
      <c r="H4" s="911"/>
      <c r="I4" s="191">
        <v>64</v>
      </c>
    </row>
    <row r="5" spans="4:9" ht="38.25" customHeight="1">
      <c r="D5" s="909" t="str">
        <f>+'Anexo 1 Matriz SINA Inf Gestión'!B33</f>
        <v>PROGRAMA No. 2  BIODIVERSIDAD: FUENTE DE VIDA</v>
      </c>
      <c r="E5" s="906">
        <v>25.946640500887767</v>
      </c>
      <c r="F5" s="190" t="s">
        <v>334</v>
      </c>
      <c r="G5" s="191">
        <v>67</v>
      </c>
      <c r="H5" s="912">
        <v>29</v>
      </c>
      <c r="I5" s="191">
        <v>67</v>
      </c>
    </row>
    <row r="6" spans="4:9" ht="25.5">
      <c r="D6" s="915"/>
      <c r="E6" s="907"/>
      <c r="F6" s="190" t="s">
        <v>335</v>
      </c>
      <c r="G6" s="191">
        <v>0</v>
      </c>
      <c r="H6" s="912"/>
      <c r="I6" s="191">
        <v>0</v>
      </c>
    </row>
    <row r="7" spans="4:9" ht="38.25">
      <c r="D7" s="915"/>
      <c r="E7" s="907"/>
      <c r="F7" s="190" t="s">
        <v>341</v>
      </c>
      <c r="G7" s="191">
        <v>7</v>
      </c>
      <c r="H7" s="912"/>
      <c r="I7" s="207">
        <v>19</v>
      </c>
    </row>
    <row r="8" spans="4:9" ht="38.25">
      <c r="D8" s="910"/>
      <c r="E8" s="908"/>
      <c r="F8" s="190" t="s">
        <v>342</v>
      </c>
      <c r="G8" s="191">
        <v>30</v>
      </c>
      <c r="H8" s="912"/>
      <c r="I8" s="191">
        <v>30</v>
      </c>
    </row>
    <row r="9" spans="4:9" ht="25.5" customHeight="1">
      <c r="D9" s="909" t="str">
        <f>+'Anexo 1 Matriz SINA Inf Gestión'!B55</f>
        <v>PROGRAMA No. 3  ADAPTACIÓN PARA EL CRECIMIENTO VERDE</v>
      </c>
      <c r="E9" s="906">
        <v>46.477840998893633</v>
      </c>
      <c r="F9" s="190" t="s">
        <v>336</v>
      </c>
      <c r="G9" s="191">
        <v>55</v>
      </c>
      <c r="H9" s="912">
        <v>47</v>
      </c>
      <c r="I9" s="191">
        <v>55</v>
      </c>
    </row>
    <row r="10" spans="4:9" ht="45.75" customHeight="1">
      <c r="D10" s="910"/>
      <c r="E10" s="908"/>
      <c r="F10" s="190" t="s">
        <v>337</v>
      </c>
      <c r="G10" s="191">
        <v>38</v>
      </c>
      <c r="H10" s="912"/>
      <c r="I10" s="207">
        <v>39</v>
      </c>
    </row>
    <row r="11" spans="4:9" ht="38.25" customHeight="1">
      <c r="D11" s="909" t="str">
        <f>+'Anexo 1 Matriz SINA Inf Gestión'!B69</f>
        <v xml:space="preserve">PROGRAMA No. 4    CUIDA TU NATURALEZA </v>
      </c>
      <c r="E11" s="909">
        <v>55</v>
      </c>
      <c r="F11" s="190" t="s">
        <v>338</v>
      </c>
      <c r="G11" s="191">
        <v>66</v>
      </c>
      <c r="H11" s="912">
        <v>57</v>
      </c>
      <c r="I11" s="191">
        <v>68</v>
      </c>
    </row>
    <row r="12" spans="4:9" ht="38.25">
      <c r="D12" s="910"/>
      <c r="E12" s="910"/>
      <c r="F12" s="190" t="s">
        <v>339</v>
      </c>
      <c r="G12" s="191">
        <v>44</v>
      </c>
      <c r="H12" s="912"/>
      <c r="I12" s="207">
        <v>46</v>
      </c>
    </row>
    <row r="13" spans="4:9" ht="38.25">
      <c r="D13" s="193" t="e">
        <f>+'Anexo 1 Matriz SINA Inf Gestión'!#REF!</f>
        <v>#REF!</v>
      </c>
      <c r="E13" s="193">
        <v>54</v>
      </c>
      <c r="F13" s="190" t="s">
        <v>340</v>
      </c>
      <c r="G13" s="191">
        <v>54</v>
      </c>
      <c r="H13" s="191">
        <v>54</v>
      </c>
      <c r="I13" s="191">
        <v>54</v>
      </c>
    </row>
    <row r="14" spans="4:9" ht="51">
      <c r="D14" s="909" t="str">
        <f>+'Anexo 1 Matriz SINA Inf Gestión'!B100</f>
        <v>PROGRAMA No. 6  EDUCACIÓN CAMINO DE PAZ</v>
      </c>
      <c r="E14" s="906">
        <v>88.835714285714289</v>
      </c>
      <c r="F14" s="190" t="s">
        <v>343</v>
      </c>
      <c r="G14" s="191">
        <v>100</v>
      </c>
      <c r="H14" s="913">
        <v>89</v>
      </c>
      <c r="I14" s="191">
        <v>100</v>
      </c>
    </row>
    <row r="15" spans="4:9" ht="25.5">
      <c r="D15" s="910"/>
      <c r="E15" s="908"/>
      <c r="F15" s="190" t="s">
        <v>344</v>
      </c>
      <c r="G15" s="191">
        <v>78</v>
      </c>
      <c r="H15" s="914"/>
      <c r="I15" s="191">
        <v>78</v>
      </c>
    </row>
    <row r="18" spans="4:5" ht="15.75">
      <c r="D18" s="195" t="s">
        <v>348</v>
      </c>
      <c r="E18" s="196">
        <f>+'Anexo 1 Matriz SINA Inf Gestión'!K118</f>
        <v>49.055804593045814</v>
      </c>
    </row>
  </sheetData>
  <mergeCells count="15">
    <mergeCell ref="D2:D4"/>
    <mergeCell ref="D5:D8"/>
    <mergeCell ref="D9:D10"/>
    <mergeCell ref="D11:D12"/>
    <mergeCell ref="D14:D15"/>
    <mergeCell ref="H2:H4"/>
    <mergeCell ref="H5:H8"/>
    <mergeCell ref="H9:H10"/>
    <mergeCell ref="H11:H12"/>
    <mergeCell ref="H14:H15"/>
    <mergeCell ref="E2:E4"/>
    <mergeCell ref="E5:E8"/>
    <mergeCell ref="E9:E10"/>
    <mergeCell ref="E11:E12"/>
    <mergeCell ref="E14:E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opLeftCell="B1" zoomScale="60" zoomScaleNormal="60" zoomScaleSheetLayoutView="75" workbookViewId="0">
      <pane xSplit="1" ySplit="5" topLeftCell="C6" activePane="bottomRight" state="frozen"/>
      <selection activeCell="B1" sqref="B1"/>
      <selection pane="topRight" activeCell="C1" sqref="C1"/>
      <selection pane="bottomLeft" activeCell="B6" sqref="B6"/>
      <selection pane="bottomRight" activeCell="F101" sqref="F101"/>
    </sheetView>
  </sheetViews>
  <sheetFormatPr baseColWidth="10" defaultRowHeight="18"/>
  <cols>
    <col min="1" max="1" width="5.7109375" style="29" hidden="1" customWidth="1"/>
    <col min="2" max="2" width="50.7109375" style="29" customWidth="1"/>
    <col min="3" max="3" width="17" style="29" customWidth="1"/>
    <col min="4" max="4" width="15.42578125" style="29" customWidth="1"/>
    <col min="5" max="5" width="16.42578125" style="29" customWidth="1"/>
    <col min="6" max="6" width="23.85546875" style="166" customWidth="1"/>
    <col min="7" max="7" width="17.5703125" style="204" customWidth="1"/>
    <col min="8" max="8" width="18.42578125" style="29" customWidth="1"/>
    <col min="9" max="9" width="14.42578125" style="33" customWidth="1"/>
    <col min="10" max="10" width="12" style="60" customWidth="1"/>
    <col min="11" max="11" width="15.7109375" style="403" customWidth="1"/>
    <col min="12" max="12" width="18.42578125" style="33" customWidth="1"/>
    <col min="13" max="13" width="28.42578125" style="32" customWidth="1"/>
    <col min="14" max="14" width="23.5703125" style="29" customWidth="1"/>
    <col min="15" max="15" width="15.5703125" style="29" customWidth="1"/>
    <col min="16" max="16" width="27.7109375" style="31" customWidth="1"/>
    <col min="17" max="17" width="32.5703125" style="31" customWidth="1"/>
    <col min="18" max="18" width="17.5703125" style="188" customWidth="1"/>
    <col min="19" max="19" width="37.42578125" style="29" customWidth="1"/>
    <col min="20" max="20" width="36.7109375" style="29" customWidth="1"/>
    <col min="21" max="16384" width="11.42578125" style="29"/>
  </cols>
  <sheetData>
    <row r="1" spans="1:19" s="28" customFormat="1" ht="49.5" customHeight="1" thickBot="1">
      <c r="A1" s="27"/>
      <c r="B1" s="782" t="s">
        <v>467</v>
      </c>
      <c r="C1" s="783"/>
      <c r="D1" s="783"/>
      <c r="E1" s="783"/>
      <c r="F1" s="783"/>
      <c r="G1" s="783"/>
      <c r="H1" s="783"/>
      <c r="I1" s="783"/>
      <c r="J1" s="783"/>
      <c r="K1" s="783"/>
      <c r="L1" s="783"/>
      <c r="M1" s="783"/>
      <c r="N1" s="783"/>
      <c r="O1" s="783"/>
      <c r="P1" s="783"/>
      <c r="Q1" s="783"/>
      <c r="R1" s="783"/>
      <c r="S1" s="784"/>
    </row>
    <row r="2" spans="1:19" s="28" customFormat="1" ht="21.75" customHeight="1">
      <c r="A2" s="76"/>
      <c r="B2" s="789" t="s">
        <v>552</v>
      </c>
      <c r="C2" s="790"/>
      <c r="D2" s="790"/>
      <c r="E2" s="790"/>
      <c r="F2" s="790"/>
      <c r="G2" s="790"/>
      <c r="H2" s="790"/>
      <c r="I2" s="790"/>
      <c r="J2" s="790"/>
      <c r="K2" s="790"/>
      <c r="L2" s="790"/>
      <c r="M2" s="790"/>
      <c r="N2" s="790"/>
      <c r="O2" s="790"/>
      <c r="P2" s="790"/>
      <c r="Q2" s="790"/>
      <c r="R2" s="790"/>
      <c r="S2" s="791"/>
    </row>
    <row r="3" spans="1:19" ht="33" customHeight="1">
      <c r="A3" s="61"/>
      <c r="B3" s="785" t="s">
        <v>468</v>
      </c>
      <c r="C3" s="787" t="s">
        <v>163</v>
      </c>
      <c r="D3" s="788"/>
      <c r="E3" s="788"/>
      <c r="F3" s="788"/>
      <c r="G3" s="788"/>
      <c r="H3" s="788"/>
      <c r="I3" s="788"/>
      <c r="J3" s="788"/>
      <c r="K3" s="788"/>
      <c r="L3" s="197"/>
      <c r="M3" s="787" t="s">
        <v>164</v>
      </c>
      <c r="N3" s="788"/>
      <c r="O3" s="788"/>
      <c r="P3" s="788"/>
      <c r="Q3" s="788"/>
      <c r="R3" s="792"/>
      <c r="S3" s="793" t="s">
        <v>24</v>
      </c>
    </row>
    <row r="4" spans="1:19" ht="173.25" customHeight="1" thickBot="1">
      <c r="A4" s="61"/>
      <c r="B4" s="786"/>
      <c r="C4" s="399" t="s">
        <v>25</v>
      </c>
      <c r="D4" s="399" t="s">
        <v>72</v>
      </c>
      <c r="E4" s="399" t="s">
        <v>74</v>
      </c>
      <c r="F4" s="400" t="s">
        <v>54</v>
      </c>
      <c r="G4" s="399" t="s">
        <v>351</v>
      </c>
      <c r="H4" s="399" t="s">
        <v>352</v>
      </c>
      <c r="I4" s="399" t="s">
        <v>69</v>
      </c>
      <c r="J4" s="399" t="s">
        <v>56</v>
      </c>
      <c r="K4" s="402" t="s">
        <v>55</v>
      </c>
      <c r="L4" s="399" t="s">
        <v>71</v>
      </c>
      <c r="M4" s="399" t="s">
        <v>166</v>
      </c>
      <c r="N4" s="399" t="s">
        <v>73</v>
      </c>
      <c r="O4" s="399" t="s">
        <v>58</v>
      </c>
      <c r="P4" s="399" t="s">
        <v>70</v>
      </c>
      <c r="Q4" s="399" t="s">
        <v>59</v>
      </c>
      <c r="R4" s="399" t="s">
        <v>60</v>
      </c>
      <c r="S4" s="793"/>
    </row>
    <row r="5" spans="1:19" ht="71.25" customHeight="1">
      <c r="A5" s="61"/>
      <c r="B5" s="460" t="s">
        <v>536</v>
      </c>
      <c r="C5" s="401"/>
      <c r="D5" s="401"/>
      <c r="E5" s="401"/>
      <c r="F5" s="656">
        <f>AVERAGE(F6,F19,F30)</f>
        <v>30.730349989458148</v>
      </c>
      <c r="G5" s="656"/>
      <c r="H5" s="656">
        <f>AVERAGE(H6,H19,H30)</f>
        <v>31.040584955607091</v>
      </c>
      <c r="I5" s="458">
        <f>AVERAGE(I6,I19,I30)</f>
        <v>743.35</v>
      </c>
      <c r="J5" s="458">
        <f>AVERAGE(J6,J19,J30)</f>
        <v>360.05068181818177</v>
      </c>
      <c r="K5" s="653">
        <f>+(J5/I5)*100</f>
        <v>48.436225441337427</v>
      </c>
      <c r="L5" s="401"/>
      <c r="M5" s="457">
        <f>+M6+M19+M30</f>
        <v>14139144350.459999</v>
      </c>
      <c r="N5" s="458">
        <f>+N6+N19+N30</f>
        <v>6000792036</v>
      </c>
      <c r="O5" s="458">
        <f>+(N5/M5)*100</f>
        <v>42.440984314618532</v>
      </c>
      <c r="P5" s="459">
        <f>+P6+P19+P30</f>
        <v>43725531516.794991</v>
      </c>
      <c r="Q5" s="459">
        <f>+Q6+Q19+Q24</f>
        <v>17241971865</v>
      </c>
      <c r="R5" s="458">
        <f>+(Q5/P5)*100</f>
        <v>39.432275073379849</v>
      </c>
      <c r="S5" s="660">
        <f>+P5-'MATRIZ GENERAL CONSOLIDADA'!E5</f>
        <v>0</v>
      </c>
    </row>
    <row r="6" spans="1:19" ht="111.75" customHeight="1">
      <c r="A6" s="61"/>
      <c r="B6" s="461" t="s">
        <v>357</v>
      </c>
      <c r="C6" s="393"/>
      <c r="D6" s="393"/>
      <c r="E6" s="395"/>
      <c r="F6" s="395">
        <f>AVERAGE(F7:F17)</f>
        <v>33.814705882352939</v>
      </c>
      <c r="G6" s="395"/>
      <c r="H6" s="395">
        <f>AVERAGE(H7:H17)</f>
        <v>33.814705882352939</v>
      </c>
      <c r="I6" s="395">
        <f>AVERAGE(I7:I18)</f>
        <v>39.75</v>
      </c>
      <c r="J6" s="395">
        <f>AVERAGE(J7:J17)</f>
        <v>7.5745454545454542</v>
      </c>
      <c r="K6" s="395">
        <f>+(J6/I6)*100</f>
        <v>19.055460263007433</v>
      </c>
      <c r="L6" s="394"/>
      <c r="M6" s="395">
        <f>SUM(M7:M18)</f>
        <v>2714691753</v>
      </c>
      <c r="N6" s="395">
        <f>SUM(N7:N18)</f>
        <v>1309189350</v>
      </c>
      <c r="O6" s="395">
        <f>+N6/M6*100</f>
        <v>48.22607754833372</v>
      </c>
      <c r="P6" s="393">
        <f>SUM(P7:P18)</f>
        <v>11094903992.424999</v>
      </c>
      <c r="Q6" s="395">
        <f>SUM(Q7:Q18)</f>
        <v>6079492966</v>
      </c>
      <c r="R6" s="395">
        <f>+(Q6/P6)*100</f>
        <v>54.795363440285286</v>
      </c>
      <c r="S6" s="661"/>
    </row>
    <row r="7" spans="1:19" ht="108.75" customHeight="1">
      <c r="A7" s="61"/>
      <c r="B7" s="462" t="s">
        <v>373</v>
      </c>
      <c r="C7" s="463" t="s">
        <v>413</v>
      </c>
      <c r="D7" s="465">
        <f>+'MATRIZ GENERAL CONSOLIDADA'!L7</f>
        <v>100</v>
      </c>
      <c r="E7" s="464">
        <f>+'MATRIZ GENERAL CONSOLIDADA'!N7</f>
        <v>25</v>
      </c>
      <c r="F7" s="465">
        <f t="shared" ref="F7:F16" si="0">+(E7/D7)*100</f>
        <v>25</v>
      </c>
      <c r="G7" s="466"/>
      <c r="H7" s="452">
        <f>+(E7*100)/D7</f>
        <v>25</v>
      </c>
      <c r="I7" s="465">
        <f>+'MATRIZ GENERAL CONSOLIDADA'!D7</f>
        <v>100</v>
      </c>
      <c r="J7" s="467">
        <f>+'MATRIZ GENERAL CONSOLIDADA'!F7</f>
        <v>21.25</v>
      </c>
      <c r="K7" s="452">
        <f>+J7/I7*100</f>
        <v>21.25</v>
      </c>
      <c r="L7" s="468"/>
      <c r="M7" s="467"/>
      <c r="N7" s="465"/>
      <c r="O7" s="467"/>
      <c r="P7" s="467">
        <f>+'MATRIZ GENERAL CONSOLIDADA'!E7</f>
        <v>0</v>
      </c>
      <c r="Q7" s="467">
        <f>+'MATRIZ GENERAL CONSOLIDADA'!G7</f>
        <v>0</v>
      </c>
      <c r="R7" s="658">
        <v>0</v>
      </c>
      <c r="S7" s="467"/>
    </row>
    <row r="8" spans="1:19" ht="120" customHeight="1">
      <c r="A8" s="61"/>
      <c r="B8" s="469" t="s">
        <v>377</v>
      </c>
      <c r="C8" s="470" t="s">
        <v>128</v>
      </c>
      <c r="D8" s="465">
        <f>+'MATRIZ GENERAL CONSOLIDADA'!L8</f>
        <v>5</v>
      </c>
      <c r="E8" s="650">
        <f>+'MATRIZ GENERAL CONSOLIDADA'!N8</f>
        <v>1.25</v>
      </c>
      <c r="F8" s="465">
        <f t="shared" si="0"/>
        <v>25</v>
      </c>
      <c r="G8" s="466"/>
      <c r="H8" s="452">
        <f>+(E8*100)/D8</f>
        <v>25</v>
      </c>
      <c r="I8" s="465">
        <f>+'MATRIZ GENERAL CONSOLIDADA'!D8</f>
        <v>5</v>
      </c>
      <c r="J8" s="467">
        <f>+'MATRIZ GENERAL CONSOLIDADA'!F8</f>
        <v>1.0625</v>
      </c>
      <c r="K8" s="452">
        <f t="shared" ref="K8:K13" si="1">+J8/I8*100</f>
        <v>21.25</v>
      </c>
      <c r="L8" s="468"/>
      <c r="M8" s="467">
        <f>+'MATRIZ GENERAL CONSOLIDADA'!M8</f>
        <v>100000000</v>
      </c>
      <c r="N8" s="465">
        <f>+'MATRIZ GENERAL CONSOLIDADA'!O8</f>
        <v>99993280</v>
      </c>
      <c r="O8" s="467">
        <v>0</v>
      </c>
      <c r="P8" s="467">
        <f>+'MATRIZ GENERAL CONSOLIDADA'!E8</f>
        <v>956901995</v>
      </c>
      <c r="Q8" s="467">
        <f>+'MATRIZ GENERAL CONSOLIDADA'!G8</f>
        <v>685232289</v>
      </c>
      <c r="R8" s="658">
        <f t="shared" ref="R8:R18" si="2">+(Q8/P8)*100</f>
        <v>71.609453484314244</v>
      </c>
      <c r="S8" s="662"/>
    </row>
    <row r="9" spans="1:19" ht="130.5" customHeight="1">
      <c r="A9" s="61"/>
      <c r="B9" s="471" t="s">
        <v>370</v>
      </c>
      <c r="C9" s="463" t="s">
        <v>413</v>
      </c>
      <c r="D9" s="465">
        <f>+'MATRIZ GENERAL CONSOLIDADA'!L9</f>
        <v>50</v>
      </c>
      <c r="E9" s="659">
        <f>+'MATRIZ GENERAL CONSOLIDADA'!N9</f>
        <v>28</v>
      </c>
      <c r="F9" s="465">
        <f t="shared" si="0"/>
        <v>56.000000000000007</v>
      </c>
      <c r="G9" s="466"/>
      <c r="H9" s="452">
        <f t="shared" ref="H9:H58" si="3">+(E9*100)/D9</f>
        <v>56</v>
      </c>
      <c r="I9" s="465">
        <f>+'MATRIZ GENERAL CONSOLIDADA'!D9</f>
        <v>100</v>
      </c>
      <c r="J9" s="467">
        <f>+'MATRIZ GENERAL CONSOLIDADA'!F9</f>
        <v>14.5</v>
      </c>
      <c r="K9" s="452">
        <f t="shared" si="1"/>
        <v>14.499999999999998</v>
      </c>
      <c r="L9" s="468"/>
      <c r="M9" s="467">
        <f>+'MATRIZ GENERAL CONSOLIDADA'!M9</f>
        <v>0</v>
      </c>
      <c r="N9" s="465">
        <f>+'MATRIZ GENERAL CONSOLIDADA'!O9</f>
        <v>0</v>
      </c>
      <c r="O9" s="467">
        <v>0</v>
      </c>
      <c r="P9" s="467">
        <f>+'MATRIZ GENERAL CONSOLIDADA'!E9</f>
        <v>0</v>
      </c>
      <c r="Q9" s="467">
        <f>+'MATRIZ GENERAL CONSOLIDADA'!G9</f>
        <v>0</v>
      </c>
      <c r="R9" s="658">
        <v>0</v>
      </c>
      <c r="S9" s="452"/>
    </row>
    <row r="10" spans="1:19" ht="133.5" customHeight="1">
      <c r="A10" s="61"/>
      <c r="B10" s="472" t="s">
        <v>370</v>
      </c>
      <c r="C10" s="470" t="s">
        <v>133</v>
      </c>
      <c r="D10" s="465">
        <f>+'MATRIZ GENERAL CONSOLIDADA'!L10</f>
        <v>2</v>
      </c>
      <c r="E10" s="650">
        <f>+'MATRIZ GENERAL CONSOLIDADA'!N10</f>
        <v>0.56000000000000005</v>
      </c>
      <c r="F10" s="465">
        <f t="shared" si="0"/>
        <v>28.000000000000004</v>
      </c>
      <c r="G10" s="466"/>
      <c r="H10" s="452">
        <f t="shared" si="3"/>
        <v>28.000000000000004</v>
      </c>
      <c r="I10" s="465">
        <f>+'MATRIZ GENERAL CONSOLIDADA'!D10</f>
        <v>10</v>
      </c>
      <c r="J10" s="467">
        <f>+'MATRIZ GENERAL CONSOLIDADA'!F10</f>
        <v>3.56</v>
      </c>
      <c r="K10" s="452">
        <f t="shared" si="1"/>
        <v>35.6</v>
      </c>
      <c r="L10" s="468"/>
      <c r="M10" s="467">
        <f>+'MATRIZ GENERAL CONSOLIDADA'!M10</f>
        <v>650000000</v>
      </c>
      <c r="N10" s="465">
        <f>+'MATRIZ GENERAL CONSOLIDADA'!O10</f>
        <v>649793920</v>
      </c>
      <c r="O10" s="467">
        <f t="shared" ref="O10:O18" si="4">+(N10/M10)*100</f>
        <v>99.968295384615374</v>
      </c>
      <c r="P10" s="467">
        <f>+'MATRIZ GENERAL CONSOLIDADA'!E10</f>
        <v>2229789216</v>
      </c>
      <c r="Q10" s="467">
        <f>+'MATRIZ GENERAL CONSOLIDADA'!G10</f>
        <v>1147783944</v>
      </c>
      <c r="R10" s="658">
        <f t="shared" si="2"/>
        <v>51.474997536269363</v>
      </c>
      <c r="S10" s="452"/>
    </row>
    <row r="11" spans="1:19" ht="126" customHeight="1">
      <c r="A11" s="61"/>
      <c r="B11" s="473" t="s">
        <v>375</v>
      </c>
      <c r="C11" s="474" t="s">
        <v>1</v>
      </c>
      <c r="D11" s="465">
        <f>+'MATRIZ GENERAL CONSOLIDADA'!L11</f>
        <v>34</v>
      </c>
      <c r="E11" s="650">
        <f>+'MATRIZ GENERAL CONSOLIDADA'!N11</f>
        <v>13.65</v>
      </c>
      <c r="F11" s="465">
        <f t="shared" si="0"/>
        <v>40.147058823529413</v>
      </c>
      <c r="G11" s="466"/>
      <c r="H11" s="452">
        <f t="shared" si="3"/>
        <v>40.147058823529413</v>
      </c>
      <c r="I11" s="465">
        <f>+'MATRIZ GENERAL CONSOLIDADA'!D11</f>
        <v>100</v>
      </c>
      <c r="J11" s="467">
        <f>+'MATRIZ GENERAL CONSOLIDADA'!F11</f>
        <v>7.6624999999999996</v>
      </c>
      <c r="K11" s="452">
        <f t="shared" si="1"/>
        <v>7.6624999999999996</v>
      </c>
      <c r="L11" s="468"/>
      <c r="M11" s="467">
        <f>+'MATRIZ GENERAL CONSOLIDADA'!M11</f>
        <v>0</v>
      </c>
      <c r="N11" s="465">
        <f>+'MATRIZ GENERAL CONSOLIDADA'!O11</f>
        <v>0</v>
      </c>
      <c r="O11" s="467">
        <v>0</v>
      </c>
      <c r="P11" s="467">
        <f>+'MATRIZ GENERAL CONSOLIDADA'!E11</f>
        <v>0</v>
      </c>
      <c r="Q11" s="467">
        <f>+'MATRIZ GENERAL CONSOLIDADA'!G11</f>
        <v>0</v>
      </c>
      <c r="R11" s="658">
        <v>0</v>
      </c>
      <c r="S11" s="467"/>
    </row>
    <row r="12" spans="1:19" ht="173.25" customHeight="1">
      <c r="A12" s="61"/>
      <c r="B12" s="469" t="s">
        <v>374</v>
      </c>
      <c r="C12" s="474" t="s">
        <v>525</v>
      </c>
      <c r="D12" s="465">
        <f>+'MATRIZ GENERAL CONSOLIDADA'!L12</f>
        <v>1</v>
      </c>
      <c r="E12" s="650">
        <f>+'MATRIZ GENERAL CONSOLIDADA'!N12</f>
        <v>0.14000000000000001</v>
      </c>
      <c r="F12" s="465">
        <f t="shared" si="0"/>
        <v>14.000000000000002</v>
      </c>
      <c r="G12" s="475"/>
      <c r="H12" s="452">
        <f t="shared" si="3"/>
        <v>14.000000000000002</v>
      </c>
      <c r="I12" s="465">
        <f>+'MATRIZ GENERAL CONSOLIDADA'!D12</f>
        <v>3</v>
      </c>
      <c r="J12" s="467">
        <f>+'MATRIZ GENERAL CONSOLIDADA'!F12</f>
        <v>0.16</v>
      </c>
      <c r="K12" s="452">
        <f t="shared" si="1"/>
        <v>5.3333333333333339</v>
      </c>
      <c r="L12" s="468"/>
      <c r="M12" s="467">
        <f>+'MATRIZ GENERAL CONSOLIDADA'!M12</f>
        <v>661941284</v>
      </c>
      <c r="N12" s="465">
        <f>+'MATRIZ GENERAL CONSOLIDADA'!O12</f>
        <v>164656000</v>
      </c>
      <c r="O12" s="452">
        <f>+N12/M12*100</f>
        <v>24.874713812229906</v>
      </c>
      <c r="P12" s="467">
        <f>+'MATRIZ GENERAL CONSOLIDADA'!E12</f>
        <v>3496334603</v>
      </c>
      <c r="Q12" s="467">
        <f>+'MATRIZ GENERAL CONSOLIDADA'!G12</f>
        <v>1681884834</v>
      </c>
      <c r="R12" s="658">
        <f t="shared" si="2"/>
        <v>48.104229857087276</v>
      </c>
      <c r="S12" s="467"/>
    </row>
    <row r="13" spans="1:19" ht="123" customHeight="1">
      <c r="A13" s="61"/>
      <c r="B13" s="462" t="s">
        <v>376</v>
      </c>
      <c r="C13" s="474" t="s">
        <v>1</v>
      </c>
      <c r="D13" s="465">
        <f>+'MATRIZ GENERAL CONSOLIDADA'!L13</f>
        <v>40</v>
      </c>
      <c r="E13" s="650">
        <f>+'MATRIZ GENERAL CONSOLIDADA'!N13</f>
        <v>0</v>
      </c>
      <c r="F13" s="465">
        <f t="shared" si="0"/>
        <v>0</v>
      </c>
      <c r="G13" s="475"/>
      <c r="H13" s="452">
        <f t="shared" si="3"/>
        <v>0</v>
      </c>
      <c r="I13" s="465">
        <f>+'MATRIZ GENERAL CONSOLIDADA'!D13</f>
        <v>100</v>
      </c>
      <c r="J13" s="467">
        <f>+'MATRIZ GENERAL CONSOLIDADA'!F13</f>
        <v>15</v>
      </c>
      <c r="K13" s="452">
        <f t="shared" si="1"/>
        <v>15</v>
      </c>
      <c r="L13" s="468"/>
      <c r="M13" s="467">
        <f>+'MATRIZ GENERAL CONSOLIDADA'!M13</f>
        <v>0</v>
      </c>
      <c r="N13" s="465">
        <f>+'MATRIZ GENERAL CONSOLIDADA'!O13</f>
        <v>0</v>
      </c>
      <c r="O13" s="452">
        <v>0</v>
      </c>
      <c r="P13" s="467">
        <f>+'MATRIZ GENERAL CONSOLIDADA'!E13</f>
        <v>0</v>
      </c>
      <c r="Q13" s="467">
        <f>+'MATRIZ GENERAL CONSOLIDADA'!G13</f>
        <v>0</v>
      </c>
      <c r="R13" s="658">
        <v>0</v>
      </c>
      <c r="S13" s="467" t="s">
        <v>553</v>
      </c>
    </row>
    <row r="14" spans="1:19" ht="144.75" customHeight="1">
      <c r="A14" s="61"/>
      <c r="B14" s="476" t="s">
        <v>378</v>
      </c>
      <c r="C14" s="463" t="s">
        <v>388</v>
      </c>
      <c r="D14" s="465">
        <f>+'MATRIZ GENERAL CONSOLIDADA'!L14</f>
        <v>6</v>
      </c>
      <c r="E14" s="464">
        <f>+'MATRIZ GENERAL CONSOLIDADA'!N14</f>
        <v>0</v>
      </c>
      <c r="F14" s="465">
        <f t="shared" si="0"/>
        <v>0</v>
      </c>
      <c r="G14" s="475"/>
      <c r="H14" s="452">
        <v>0</v>
      </c>
      <c r="I14" s="465">
        <f>+'MATRIZ GENERAL CONSOLIDADA'!D14</f>
        <v>6</v>
      </c>
      <c r="J14" s="467">
        <f>+'MATRIZ GENERAL CONSOLIDADA'!F14</f>
        <v>0</v>
      </c>
      <c r="K14" s="452">
        <v>0</v>
      </c>
      <c r="L14" s="468"/>
      <c r="M14" s="467">
        <f>+'MATRIZ GENERAL CONSOLIDADA'!M14</f>
        <v>176118750</v>
      </c>
      <c r="N14" s="465">
        <f>+'MATRIZ GENERAL CONSOLIDADA'!O14</f>
        <v>0</v>
      </c>
      <c r="O14" s="452">
        <f t="shared" si="4"/>
        <v>0</v>
      </c>
      <c r="P14" s="467">
        <f>+'MATRIZ GENERAL CONSOLIDADA'!E14</f>
        <v>702625620.375</v>
      </c>
      <c r="Q14" s="467">
        <f>+'MATRIZ GENERAL CONSOLIDADA'!G14</f>
        <v>147411261</v>
      </c>
      <c r="R14" s="658">
        <f t="shared" si="2"/>
        <v>20.980057761247703</v>
      </c>
      <c r="S14" s="467"/>
    </row>
    <row r="15" spans="1:19" ht="140.25" customHeight="1">
      <c r="A15" s="61"/>
      <c r="B15" s="476" t="s">
        <v>372</v>
      </c>
      <c r="C15" s="465" t="s">
        <v>387</v>
      </c>
      <c r="D15" s="465">
        <f>+'MATRIZ GENERAL CONSOLIDADA'!L15</f>
        <v>1</v>
      </c>
      <c r="E15" s="464">
        <f>+'MATRIZ GENERAL CONSOLIDADA'!N15</f>
        <v>0.5</v>
      </c>
      <c r="F15" s="465">
        <f t="shared" si="0"/>
        <v>50</v>
      </c>
      <c r="G15" s="475"/>
      <c r="H15" s="452">
        <f t="shared" si="3"/>
        <v>50</v>
      </c>
      <c r="I15" s="465">
        <f>+'MATRIZ GENERAL CONSOLIDADA'!D15</f>
        <v>1</v>
      </c>
      <c r="J15" s="467">
        <f>+'MATRIZ GENERAL CONSOLIDADA'!F15</f>
        <v>0.375</v>
      </c>
      <c r="K15" s="452">
        <v>25</v>
      </c>
      <c r="L15" s="468"/>
      <c r="M15" s="467">
        <f>+'MATRIZ GENERAL CONSOLIDADA'!M15</f>
        <v>260000000</v>
      </c>
      <c r="N15" s="465">
        <f>+'MATRIZ GENERAL CONSOLIDADA'!O15</f>
        <v>0</v>
      </c>
      <c r="O15" s="452">
        <f t="shared" si="4"/>
        <v>0</v>
      </c>
      <c r="P15" s="467">
        <f>+'MATRIZ GENERAL CONSOLIDADA'!E15</f>
        <v>362678952</v>
      </c>
      <c r="Q15" s="467">
        <f>+'MATRIZ GENERAL CONSOLIDADA'!G15</f>
        <v>102678852</v>
      </c>
      <c r="R15" s="658">
        <f t="shared" si="2"/>
        <v>28.311224413155355</v>
      </c>
      <c r="S15" s="467"/>
    </row>
    <row r="16" spans="1:19" ht="140.25" customHeight="1">
      <c r="A16" s="61"/>
      <c r="B16" s="476" t="s">
        <v>379</v>
      </c>
      <c r="C16" s="465" t="s">
        <v>510</v>
      </c>
      <c r="D16" s="465">
        <f>+'MATRIZ GENERAL CONSOLIDADA'!L16</f>
        <v>37</v>
      </c>
      <c r="E16" s="464">
        <f>+'MATRIZ GENERAL CONSOLIDADA'!N16</f>
        <v>37</v>
      </c>
      <c r="F16" s="465">
        <f t="shared" si="0"/>
        <v>100</v>
      </c>
      <c r="G16" s="475"/>
      <c r="H16" s="452">
        <f t="shared" si="3"/>
        <v>100</v>
      </c>
      <c r="I16" s="465">
        <f>+'MATRIZ GENERAL CONSOLIDADA'!D16</f>
        <v>37</v>
      </c>
      <c r="J16" s="467">
        <f>+'MATRIZ GENERAL CONSOLIDADA'!F16</f>
        <v>18.5</v>
      </c>
      <c r="K16" s="452">
        <f>+J16/I16*100</f>
        <v>50</v>
      </c>
      <c r="L16" s="468"/>
      <c r="M16" s="467">
        <f>+'MATRIZ GENERAL CONSOLIDADA'!M16</f>
        <v>866631719</v>
      </c>
      <c r="N16" s="465">
        <f>+'MATRIZ GENERAL CONSOLIDADA'!O16</f>
        <v>394746150</v>
      </c>
      <c r="O16" s="452">
        <f t="shared" si="4"/>
        <v>45.549469439624787</v>
      </c>
      <c r="P16" s="467">
        <f>+'MATRIZ GENERAL CONSOLIDADA'!E16</f>
        <v>1759988957</v>
      </c>
      <c r="Q16" s="467">
        <f>+'MATRIZ GENERAL CONSOLIDADA'!G16</f>
        <v>1266333595</v>
      </c>
      <c r="R16" s="658">
        <f t="shared" si="2"/>
        <v>71.951223896230388</v>
      </c>
      <c r="S16" s="467"/>
    </row>
    <row r="17" spans="1:19" ht="140.25" customHeight="1">
      <c r="A17" s="61"/>
      <c r="B17" s="476" t="s">
        <v>380</v>
      </c>
      <c r="C17" s="474" t="s">
        <v>381</v>
      </c>
      <c r="D17" s="465" t="s">
        <v>538</v>
      </c>
      <c r="E17" s="464">
        <f>+'MATRIZ GENERAL CONSOLIDADA'!N17</f>
        <v>0</v>
      </c>
      <c r="F17" s="465" t="s">
        <v>538</v>
      </c>
      <c r="G17" s="475"/>
      <c r="H17" s="452" t="s">
        <v>546</v>
      </c>
      <c r="I17" s="465">
        <f>+'MATRIZ GENERAL CONSOLIDADA'!D17</f>
        <v>13</v>
      </c>
      <c r="J17" s="467">
        <f>+'MATRIZ GENERAL CONSOLIDADA'!F17</f>
        <v>1.25</v>
      </c>
      <c r="K17" s="452">
        <f>+J17/I17*100</f>
        <v>9.6153846153846168</v>
      </c>
      <c r="L17" s="468"/>
      <c r="M17" s="467">
        <f>+'MATRIZ GENERAL CONSOLIDADA'!M17</f>
        <v>0</v>
      </c>
      <c r="N17" s="465">
        <f>+'MATRIZ GENERAL CONSOLIDADA'!O17</f>
        <v>0</v>
      </c>
      <c r="O17" s="452" t="e">
        <f t="shared" si="4"/>
        <v>#DIV/0!</v>
      </c>
      <c r="P17" s="467">
        <f>+'MATRIZ GENERAL CONSOLIDADA'!E17</f>
        <v>501144756.05000001</v>
      </c>
      <c r="Q17" s="467">
        <f>+'MATRIZ GENERAL CONSOLIDADA'!G17</f>
        <v>146899881</v>
      </c>
      <c r="R17" s="658">
        <f t="shared" si="2"/>
        <v>29.312864043087693</v>
      </c>
      <c r="S17" s="467"/>
    </row>
    <row r="18" spans="1:19" s="206" customFormat="1" ht="153.75" customHeight="1">
      <c r="A18" s="205"/>
      <c r="B18" s="476" t="s">
        <v>382</v>
      </c>
      <c r="C18" s="470" t="s">
        <v>194</v>
      </c>
      <c r="D18" s="465">
        <f>+'MATRIZ GENERAL CONSOLIDADA'!L18</f>
        <v>1</v>
      </c>
      <c r="E18" s="650">
        <f>+'MATRIZ GENERAL CONSOLIDADA'!N18</f>
        <v>0.25</v>
      </c>
      <c r="F18" s="465">
        <f>+(E18/D18)*100</f>
        <v>25</v>
      </c>
      <c r="G18" s="475"/>
      <c r="H18" s="452">
        <f t="shared" si="3"/>
        <v>25</v>
      </c>
      <c r="I18" s="465">
        <f>+'MATRIZ GENERAL CONSOLIDADA'!D18</f>
        <v>2</v>
      </c>
      <c r="J18" s="467">
        <f>+'MATRIZ GENERAL CONSOLIDADA'!F18</f>
        <v>0.25</v>
      </c>
      <c r="K18" s="452">
        <v>0</v>
      </c>
      <c r="L18" s="468"/>
      <c r="M18" s="467">
        <f>+'MATRIZ GENERAL CONSOLIDADA'!M18</f>
        <v>0</v>
      </c>
      <c r="N18" s="465">
        <f>+'MATRIZ GENERAL CONSOLIDADA'!O18</f>
        <v>0</v>
      </c>
      <c r="O18" s="452" t="e">
        <f t="shared" si="4"/>
        <v>#DIV/0!</v>
      </c>
      <c r="P18" s="467">
        <f>+'MATRIZ GENERAL CONSOLIDADA'!E18</f>
        <v>1085439893</v>
      </c>
      <c r="Q18" s="467">
        <f>+'MATRIZ GENERAL CONSOLIDADA'!G18</f>
        <v>901268310</v>
      </c>
      <c r="R18" s="658">
        <f t="shared" si="2"/>
        <v>83.032539693103018</v>
      </c>
      <c r="S18" s="467"/>
    </row>
    <row r="19" spans="1:19" ht="62.25" customHeight="1">
      <c r="A19" s="61"/>
      <c r="B19" s="398" t="s">
        <v>383</v>
      </c>
      <c r="C19" s="397"/>
      <c r="D19" s="396"/>
      <c r="E19" s="477"/>
      <c r="F19" s="478">
        <f>AVERAGE(F20:F29)</f>
        <v>8.3763440860215059</v>
      </c>
      <c r="G19" s="478"/>
      <c r="H19" s="478">
        <f>AVERAGE(H20:H29)</f>
        <v>9.3070489844683397</v>
      </c>
      <c r="I19" s="478">
        <f>AVERAGE(I20:I29)</f>
        <v>2189.3000000000002</v>
      </c>
      <c r="J19" s="478">
        <f>AVERAGE(J20:J29)</f>
        <v>1072.2024999999999</v>
      </c>
      <c r="K19" s="478">
        <f>AVERAGE(K20:K29)</f>
        <v>24.732463430814214</v>
      </c>
      <c r="L19" s="395"/>
      <c r="M19" s="479">
        <f>+M20+M21+M22+M23+M24+M25+M26+M27+M28+M29</f>
        <v>9570300818</v>
      </c>
      <c r="N19" s="479">
        <f>SUM(N20:N29)</f>
        <v>2967624789</v>
      </c>
      <c r="O19" s="395">
        <f>+N19/M19*100</f>
        <v>31.00868870723934</v>
      </c>
      <c r="P19" s="480">
        <f>SUM(P20:P29)</f>
        <v>26373881374.909996</v>
      </c>
      <c r="Q19" s="479">
        <f>SUM(Q20:Q29)</f>
        <v>10760417775</v>
      </c>
      <c r="R19" s="395">
        <f>+(Q19/P19)*100</f>
        <v>40.799522914502077</v>
      </c>
      <c r="S19" s="663"/>
    </row>
    <row r="20" spans="1:19" ht="128.25" customHeight="1">
      <c r="A20" s="61"/>
      <c r="B20" s="473" t="s">
        <v>502</v>
      </c>
      <c r="C20" s="463" t="s">
        <v>181</v>
      </c>
      <c r="D20" s="500">
        <f>+'MATRIZ GENERAL CONSOLIDADA'!L20</f>
        <v>100</v>
      </c>
      <c r="E20" s="465">
        <f>+'MATRIZ GENERAL CONSOLIDADA'!N20</f>
        <v>10</v>
      </c>
      <c r="F20" s="465">
        <f>+(E20/D20)*100</f>
        <v>10</v>
      </c>
      <c r="G20" s="475"/>
      <c r="H20" s="452">
        <f>+(E20*100)/D20</f>
        <v>10</v>
      </c>
      <c r="I20" s="465">
        <f>+'MATRIZ GENERAL CONSOLIDADA'!D20</f>
        <v>100</v>
      </c>
      <c r="J20" s="452">
        <f>+'MATRIZ GENERAL CONSOLIDADA'!F20</f>
        <v>55</v>
      </c>
      <c r="K20" s="452">
        <f>+J20/I20*100</f>
        <v>55.000000000000007</v>
      </c>
      <c r="L20" s="468"/>
      <c r="M20" s="452">
        <f>+'MATRIZ GENERAL CONSOLIDADA'!I20</f>
        <v>0</v>
      </c>
      <c r="N20" s="465">
        <f>+'MATRIZ GENERAL CONSOLIDADA'!K20</f>
        <v>0</v>
      </c>
      <c r="O20" s="452">
        <v>0</v>
      </c>
      <c r="P20" s="452">
        <f>+'MATRIZ GENERAL CONSOLIDADA'!E20</f>
        <v>0</v>
      </c>
      <c r="Q20" s="452">
        <f>+'MATRIZ GENERAL CONSOLIDADA'!G20</f>
        <v>0</v>
      </c>
      <c r="R20" s="658">
        <v>0</v>
      </c>
      <c r="S20" s="467"/>
    </row>
    <row r="21" spans="1:19" ht="128.25" customHeight="1">
      <c r="A21" s="61"/>
      <c r="B21" s="469" t="s">
        <v>503</v>
      </c>
      <c r="C21" s="470" t="s">
        <v>504</v>
      </c>
      <c r="D21" s="500">
        <f>+'MATRIZ GENERAL CONSOLIDADA'!L21</f>
        <v>3</v>
      </c>
      <c r="E21" s="635">
        <f>+'MATRIZ GENERAL CONSOLIDADA'!N21</f>
        <v>0.1</v>
      </c>
      <c r="F21" s="465">
        <f>+(E21/D21)*100</f>
        <v>3.3333333333333335</v>
      </c>
      <c r="G21" s="475"/>
      <c r="H21" s="452">
        <f>+(E21*100)/D21</f>
        <v>3.3333333333333335</v>
      </c>
      <c r="I21" s="465">
        <f>+'MATRIZ GENERAL CONSOLIDADA'!D21</f>
        <v>5</v>
      </c>
      <c r="J21" s="452">
        <f>+'MATRIZ GENERAL CONSOLIDADA'!F21</f>
        <v>0.77500000000000002</v>
      </c>
      <c r="K21" s="452">
        <f>+J21/I21*100</f>
        <v>15.5</v>
      </c>
      <c r="L21" s="468"/>
      <c r="M21" s="452">
        <f>+'MATRIZ GENERAL CONSOLIDADA'!M21</f>
        <v>3900245742</v>
      </c>
      <c r="N21" s="465">
        <f>+'MATRIZ GENERAL CONSOLIDADA'!O21</f>
        <v>471239807</v>
      </c>
      <c r="O21" s="452">
        <f t="shared" ref="O21:O28" si="5">+(N21/M21)*100</f>
        <v>12.082310658670286</v>
      </c>
      <c r="P21" s="452">
        <f>+'MATRIZ GENERAL CONSOLIDADA'!E21</f>
        <v>12541175593.16</v>
      </c>
      <c r="Q21" s="452">
        <f>+'MATRIZ GENERAL CONSOLIDADA'!G21</f>
        <v>3185443983</v>
      </c>
      <c r="R21" s="658">
        <f t="shared" ref="R21:R83" si="6">+(Q21/P21)*100</f>
        <v>25.399883442644338</v>
      </c>
      <c r="S21" s="467"/>
    </row>
    <row r="22" spans="1:19" ht="150" customHeight="1">
      <c r="A22" s="61"/>
      <c r="B22" s="473" t="s">
        <v>384</v>
      </c>
      <c r="C22" s="463" t="s">
        <v>413</v>
      </c>
      <c r="D22" s="500">
        <f>+'MATRIZ GENERAL CONSOLIDADA'!L22</f>
        <v>50</v>
      </c>
      <c r="E22" s="465">
        <f>+'MATRIZ GENERAL CONSOLIDADA'!N22</f>
        <v>0</v>
      </c>
      <c r="F22" s="465">
        <f t="shared" ref="F22:F29" si="7">+(E22/D22)*100</f>
        <v>0</v>
      </c>
      <c r="G22" s="475"/>
      <c r="H22" s="452">
        <f>+(E22*100)/D22</f>
        <v>0</v>
      </c>
      <c r="I22" s="465">
        <f>+'MATRIZ GENERAL CONSOLIDADA'!D22</f>
        <v>100</v>
      </c>
      <c r="J22" s="452">
        <f>+'MATRIZ GENERAL CONSOLIDADA'!F22</f>
        <v>0</v>
      </c>
      <c r="K22" s="452">
        <f t="shared" ref="K22:K23" si="8">+J22/I22*100</f>
        <v>0</v>
      </c>
      <c r="L22" s="468"/>
      <c r="M22" s="452">
        <f>+'MATRIZ GENERAL CONSOLIDADA'!M22</f>
        <v>0</v>
      </c>
      <c r="N22" s="465">
        <f>+'MATRIZ GENERAL CONSOLIDADA'!O22</f>
        <v>0</v>
      </c>
      <c r="O22" s="452">
        <v>0</v>
      </c>
      <c r="P22" s="452">
        <f>+'MATRIZ GENERAL CONSOLIDADA'!E22</f>
        <v>0</v>
      </c>
      <c r="Q22" s="452">
        <f>+'MATRIZ GENERAL CONSOLIDADA'!G22</f>
        <v>0</v>
      </c>
      <c r="R22" s="658">
        <v>0</v>
      </c>
      <c r="S22" s="467"/>
    </row>
    <row r="23" spans="1:19" ht="134.25" customHeight="1">
      <c r="A23" s="61"/>
      <c r="B23" s="481" t="s">
        <v>358</v>
      </c>
      <c r="C23" s="482" t="s">
        <v>464</v>
      </c>
      <c r="D23" s="500">
        <f>+'MATRIZ GENERAL CONSOLIDADA'!L23</f>
        <v>200</v>
      </c>
      <c r="E23" s="465">
        <f>+'MATRIZ GENERAL CONSOLIDADA'!N23</f>
        <v>0</v>
      </c>
      <c r="F23" s="465">
        <v>0</v>
      </c>
      <c r="G23" s="475"/>
      <c r="H23" s="452">
        <v>0</v>
      </c>
      <c r="I23" s="465">
        <f>+'MATRIZ GENERAL CONSOLIDADA'!D23</f>
        <v>400</v>
      </c>
      <c r="J23" s="452">
        <f>+'MATRIZ GENERAL CONSOLIDADA'!F23</f>
        <v>0</v>
      </c>
      <c r="K23" s="452">
        <f t="shared" si="8"/>
        <v>0</v>
      </c>
      <c r="L23" s="468"/>
      <c r="M23" s="452">
        <f>+'MATRIZ GENERAL CONSOLIDADA'!M23</f>
        <v>250038171</v>
      </c>
      <c r="N23" s="465">
        <f>+'MATRIZ GENERAL CONSOLIDADA'!O23</f>
        <v>0</v>
      </c>
      <c r="O23" s="452">
        <f t="shared" si="5"/>
        <v>0</v>
      </c>
      <c r="P23" s="452">
        <f>+'MATRIZ GENERAL CONSOLIDADA'!E23</f>
        <v>715405427.21249998</v>
      </c>
      <c r="Q23" s="452">
        <f>+'MATRIZ GENERAL CONSOLIDADA'!G23</f>
        <v>198668508</v>
      </c>
      <c r="R23" s="658">
        <f t="shared" si="6"/>
        <v>27.770058828612804</v>
      </c>
      <c r="S23" s="467"/>
    </row>
    <row r="24" spans="1:19" ht="150.75" customHeight="1">
      <c r="A24" s="61"/>
      <c r="B24" s="483" t="str">
        <f>+'MATRIZ GENERAL CONSOLIDADA'!A24</f>
        <v>Áreas reforestadas gestionadas para la protección de cuencas abastecedoras.</v>
      </c>
      <c r="C24" s="484" t="s">
        <v>464</v>
      </c>
      <c r="D24" s="500">
        <f>+'MATRIZ GENERAL CONSOLIDADA'!L24</f>
        <v>50</v>
      </c>
      <c r="E24" s="465">
        <f>+'MATRIZ GENERAL CONSOLIDADA'!N24</f>
        <v>0</v>
      </c>
      <c r="F24" s="465">
        <f t="shared" si="7"/>
        <v>0</v>
      </c>
      <c r="G24" s="475"/>
      <c r="H24" s="452" t="s">
        <v>538</v>
      </c>
      <c r="I24" s="465">
        <f>+'MATRIZ GENERAL CONSOLIDADA'!D24</f>
        <v>100</v>
      </c>
      <c r="J24" s="452">
        <f>+'MATRIZ GENERAL CONSOLIDADA'!F24</f>
        <v>0</v>
      </c>
      <c r="K24" s="452" t="s">
        <v>538</v>
      </c>
      <c r="L24" s="468"/>
      <c r="M24" s="452">
        <f>+'MATRIZ GENERAL CONSOLIDADA'!M24</f>
        <v>223072583</v>
      </c>
      <c r="N24" s="465">
        <f>+'MATRIZ GENERAL CONSOLIDADA'!O24</f>
        <v>0</v>
      </c>
      <c r="O24" s="452">
        <f t="shared" si="5"/>
        <v>0</v>
      </c>
      <c r="P24" s="452">
        <f>+'MATRIZ GENERAL CONSOLIDADA'!E24</f>
        <v>1120650678.9075</v>
      </c>
      <c r="Q24" s="452">
        <f>+'MATRIZ GENERAL CONSOLIDADA'!G24</f>
        <v>402061124</v>
      </c>
      <c r="R24" s="658">
        <f t="shared" si="6"/>
        <v>35.877471148454696</v>
      </c>
      <c r="S24" s="467"/>
    </row>
    <row r="25" spans="1:19" ht="150.75" customHeight="1">
      <c r="A25" s="61"/>
      <c r="B25" s="483" t="s">
        <v>368</v>
      </c>
      <c r="C25" s="485" t="s">
        <v>464</v>
      </c>
      <c r="D25" s="500">
        <f>+'MATRIZ GENERAL CONSOLIDADA'!L25</f>
        <v>186</v>
      </c>
      <c r="E25" s="465">
        <f>+'MATRIZ GENERAL CONSOLIDADA'!N25</f>
        <v>38</v>
      </c>
      <c r="F25" s="465">
        <f t="shared" si="7"/>
        <v>20.43010752688172</v>
      </c>
      <c r="G25" s="475"/>
      <c r="H25" s="452">
        <f>+(E25*100)/D25</f>
        <v>20.43010752688172</v>
      </c>
      <c r="I25" s="465">
        <f>+'MATRIZ GENERAL CONSOLIDADA'!D25</f>
        <v>489</v>
      </c>
      <c r="J25" s="452">
        <f>+'MATRIZ GENERAL CONSOLIDADA'!F25</f>
        <v>84</v>
      </c>
      <c r="K25" s="452">
        <f>+J25/I25*100</f>
        <v>17.177914110429448</v>
      </c>
      <c r="L25" s="468"/>
      <c r="M25" s="452">
        <f>+'MATRIZ GENERAL CONSOLIDADA'!M25</f>
        <v>98088332</v>
      </c>
      <c r="N25" s="465">
        <f>+'MATRIZ GENERAL CONSOLIDADA'!O25</f>
        <v>0</v>
      </c>
      <c r="O25" s="452">
        <f t="shared" si="5"/>
        <v>0</v>
      </c>
      <c r="P25" s="452">
        <f>+'MATRIZ GENERAL CONSOLIDADA'!E25</f>
        <v>463370533.63000005</v>
      </c>
      <c r="Q25" s="452">
        <f>+'MATRIZ GENERAL CONSOLIDADA'!G25</f>
        <v>154146824</v>
      </c>
      <c r="R25" s="658">
        <f t="shared" si="6"/>
        <v>33.266427796439416</v>
      </c>
      <c r="S25" s="467"/>
    </row>
    <row r="26" spans="1:19" ht="114" customHeight="1">
      <c r="A26" s="61"/>
      <c r="B26" s="483" t="s">
        <v>526</v>
      </c>
      <c r="C26" s="485" t="s">
        <v>464</v>
      </c>
      <c r="D26" s="500">
        <f>+'MATRIZ GENERAL CONSOLIDADA'!L26</f>
        <v>1463</v>
      </c>
      <c r="E26" s="465">
        <f>+'MATRIZ GENERAL CONSOLIDADA'!N26</f>
        <v>0</v>
      </c>
      <c r="F26" s="465">
        <f t="shared" si="7"/>
        <v>0</v>
      </c>
      <c r="G26" s="475"/>
      <c r="H26" s="452">
        <f>+(E26*100)/D26</f>
        <v>0</v>
      </c>
      <c r="I26" s="465">
        <f>+'MATRIZ GENERAL CONSOLIDADA'!D26</f>
        <v>4963</v>
      </c>
      <c r="J26" s="452">
        <f>+'MATRIZ GENERAL CONSOLIDADA'!F26</f>
        <v>9463</v>
      </c>
      <c r="K26" s="452">
        <v>100</v>
      </c>
      <c r="L26" s="468"/>
      <c r="M26" s="452">
        <f>+'MATRIZ GENERAL CONSOLIDADA'!M26</f>
        <v>3231800000</v>
      </c>
      <c r="N26" s="465">
        <f>+'MATRIZ GENERAL CONSOLIDADA'!O26</f>
        <v>2496384982</v>
      </c>
      <c r="O26" s="452">
        <f t="shared" si="5"/>
        <v>77.244414320193073</v>
      </c>
      <c r="P26" s="452">
        <f>+'MATRIZ GENERAL CONSOLIDADA'!E26</f>
        <v>6732916492</v>
      </c>
      <c r="Q26" s="452">
        <f>+'MATRIZ GENERAL CONSOLIDADA'!G26</f>
        <v>5337846211</v>
      </c>
      <c r="R26" s="658">
        <f t="shared" si="6"/>
        <v>79.279851715707267</v>
      </c>
      <c r="S26" s="467"/>
    </row>
    <row r="27" spans="1:19" ht="73.5" customHeight="1">
      <c r="A27" s="61"/>
      <c r="B27" s="483" t="s">
        <v>371</v>
      </c>
      <c r="C27" s="485" t="s">
        <v>464</v>
      </c>
      <c r="D27" s="500">
        <f>+'MATRIZ GENERAL CONSOLIDADA'!L27</f>
        <v>7747</v>
      </c>
      <c r="E27" s="465">
        <f>+'MATRIZ GENERAL CONSOLIDADA'!N27</f>
        <v>0</v>
      </c>
      <c r="F27" s="465">
        <f t="shared" si="7"/>
        <v>0</v>
      </c>
      <c r="G27" s="475"/>
      <c r="H27" s="452">
        <f>+(E27*100)/D27</f>
        <v>0</v>
      </c>
      <c r="I27" s="465">
        <f>+'MATRIZ GENERAL CONSOLIDADA'!D27</f>
        <v>14536</v>
      </c>
      <c r="J27" s="452">
        <f>+'MATRIZ GENERAL CONSOLIDADA'!F27</f>
        <v>863</v>
      </c>
      <c r="K27" s="452">
        <f>+J27/I27*100</f>
        <v>5.9369840396257567</v>
      </c>
      <c r="L27" s="468"/>
      <c r="M27" s="452">
        <f>+'MATRIZ GENERAL CONSOLIDADA'!M27</f>
        <v>1467055990</v>
      </c>
      <c r="N27" s="465">
        <f>+'MATRIZ GENERAL CONSOLIDADA'!O27</f>
        <v>0</v>
      </c>
      <c r="O27" s="452">
        <f t="shared" si="5"/>
        <v>0</v>
      </c>
      <c r="P27" s="452">
        <f>+'MATRIZ GENERAL CONSOLIDADA'!E27</f>
        <v>3926106650</v>
      </c>
      <c r="Q27" s="452">
        <f>+'MATRIZ GENERAL CONSOLIDADA'!G27</f>
        <v>1417995125</v>
      </c>
      <c r="R27" s="658">
        <f t="shared" si="6"/>
        <v>36.117081154685394</v>
      </c>
      <c r="S27" s="467"/>
    </row>
    <row r="28" spans="1:19" ht="73.5" customHeight="1">
      <c r="A28" s="61"/>
      <c r="B28" s="486" t="s">
        <v>369</v>
      </c>
      <c r="C28" s="485" t="s">
        <v>464</v>
      </c>
      <c r="D28" s="500">
        <f>+'MATRIZ GENERAL CONSOLIDADA'!L28</f>
        <v>300</v>
      </c>
      <c r="E28" s="465">
        <f>+'MATRIZ GENERAL CONSOLIDADA'!N28</f>
        <v>0</v>
      </c>
      <c r="F28" s="465">
        <f t="shared" si="7"/>
        <v>0</v>
      </c>
      <c r="G28" s="475"/>
      <c r="H28" s="452">
        <f>+(E28*100)/D28</f>
        <v>0</v>
      </c>
      <c r="I28" s="465">
        <f>+'MATRIZ GENERAL CONSOLIDADA'!D28</f>
        <v>1100</v>
      </c>
      <c r="J28" s="452">
        <f>+'MATRIZ GENERAL CONSOLIDADA'!F28</f>
        <v>250</v>
      </c>
      <c r="K28" s="452">
        <f>+J28/I28*100</f>
        <v>22.727272727272727</v>
      </c>
      <c r="L28" s="468"/>
      <c r="M28" s="452">
        <f>+'MATRIZ GENERAL CONSOLIDADA'!M28</f>
        <v>400000000</v>
      </c>
      <c r="N28" s="465">
        <f>+'MATRIZ GENERAL CONSOLIDADA'!O28</f>
        <v>0</v>
      </c>
      <c r="O28" s="452">
        <f t="shared" si="5"/>
        <v>0</v>
      </c>
      <c r="P28" s="452">
        <f>+'MATRIZ GENERAL CONSOLIDADA'!E28</f>
        <v>874256000</v>
      </c>
      <c r="Q28" s="452">
        <f>+'MATRIZ GENERAL CONSOLIDADA'!G28</f>
        <v>64256000</v>
      </c>
      <c r="R28" s="658">
        <f t="shared" si="6"/>
        <v>7.3497922805219522</v>
      </c>
      <c r="S28" s="467"/>
    </row>
    <row r="29" spans="1:19" ht="73.5" customHeight="1">
      <c r="A29" s="61"/>
      <c r="B29" s="476" t="s">
        <v>497</v>
      </c>
      <c r="C29" s="463" t="s">
        <v>413</v>
      </c>
      <c r="D29" s="500">
        <f>+'MATRIZ GENERAL CONSOLIDADA'!L29</f>
        <v>30</v>
      </c>
      <c r="E29" s="465">
        <f>+'MATRIZ GENERAL CONSOLIDADA'!N29</f>
        <v>15</v>
      </c>
      <c r="F29" s="465">
        <f t="shared" si="7"/>
        <v>50</v>
      </c>
      <c r="G29" s="475"/>
      <c r="H29" s="452">
        <f>+(E29*100)/D29</f>
        <v>50</v>
      </c>
      <c r="I29" s="465">
        <f>+'MATRIZ GENERAL CONSOLIDADA'!D29</f>
        <v>100</v>
      </c>
      <c r="J29" s="452">
        <f>+'MATRIZ GENERAL CONSOLIDADA'!F29</f>
        <v>6.25</v>
      </c>
      <c r="K29" s="452">
        <f>+J29/I29*100</f>
        <v>6.25</v>
      </c>
      <c r="L29" s="468"/>
      <c r="M29" s="452">
        <f>+'MATRIZ GENERAL CONSOLIDADA'!M29</f>
        <v>0</v>
      </c>
      <c r="N29" s="465">
        <f>+'MATRIZ GENERAL CONSOLIDADA'!O29</f>
        <v>0</v>
      </c>
      <c r="O29" s="452">
        <v>0</v>
      </c>
      <c r="P29" s="452">
        <f>+'MATRIZ GENERAL CONSOLIDADA'!E29</f>
        <v>0</v>
      </c>
      <c r="Q29" s="452">
        <f>+'MATRIZ GENERAL CONSOLIDADA'!G29</f>
        <v>0</v>
      </c>
      <c r="R29" s="658">
        <v>0</v>
      </c>
      <c r="S29" s="467"/>
    </row>
    <row r="30" spans="1:19" ht="30">
      <c r="A30" s="61"/>
      <c r="B30" s="398" t="s">
        <v>535</v>
      </c>
      <c r="C30" s="487"/>
      <c r="D30" s="488"/>
      <c r="E30" s="477"/>
      <c r="F30" s="478">
        <f>AVERAGE(F31:F32)</f>
        <v>50</v>
      </c>
      <c r="G30" s="478"/>
      <c r="H30" s="478">
        <f>AVERAGE(H31:H32)</f>
        <v>50</v>
      </c>
      <c r="I30" s="478">
        <f>AVERAGE(I31:I32)</f>
        <v>1</v>
      </c>
      <c r="J30" s="654">
        <f>AVERAGE(J31:J32)</f>
        <v>0.375</v>
      </c>
      <c r="K30" s="395">
        <f>+(J30/I30)*100</f>
        <v>37.5</v>
      </c>
      <c r="L30" s="395"/>
      <c r="M30" s="489">
        <f>SUM(M31:M32)</f>
        <v>1854151779.46</v>
      </c>
      <c r="N30" s="490">
        <f>SUM(N31:N32)</f>
        <v>1723977897</v>
      </c>
      <c r="O30" s="395">
        <f>+N30/M30*100</f>
        <v>92.979329745167277</v>
      </c>
      <c r="P30" s="480">
        <f>SUM(P31:P32)</f>
        <v>6256746149.46</v>
      </c>
      <c r="Q30" s="490">
        <f>SUM(Q31:Q32)</f>
        <v>3601211104</v>
      </c>
      <c r="R30" s="395">
        <f t="shared" si="6"/>
        <v>57.557251292843468</v>
      </c>
      <c r="S30" s="43"/>
    </row>
    <row r="31" spans="1:19" ht="82.5" customHeight="1">
      <c r="A31" s="61"/>
      <c r="B31" s="476" t="s">
        <v>385</v>
      </c>
      <c r="C31" s="474" t="s">
        <v>386</v>
      </c>
      <c r="D31" s="474">
        <f>+'MATRIZ GENERAL CONSOLIDADA'!H31</f>
        <v>1</v>
      </c>
      <c r="E31" s="635">
        <f>+'MATRIZ GENERAL CONSOLIDADA'!N31</f>
        <v>0.5</v>
      </c>
      <c r="F31" s="465">
        <f>+(E31/D31)*100</f>
        <v>50</v>
      </c>
      <c r="G31" s="475"/>
      <c r="H31" s="452">
        <f>+(E31*100)/D31</f>
        <v>50</v>
      </c>
      <c r="I31" s="465">
        <v>1</v>
      </c>
      <c r="J31" s="655">
        <f>+'MATRIZ GENERAL CONSOLIDADA'!F31</f>
        <v>0.375</v>
      </c>
      <c r="K31" s="658">
        <f>+(J31/I31)*100</f>
        <v>37.5</v>
      </c>
      <c r="L31" s="468"/>
      <c r="M31" s="452">
        <f>+'MATRIZ GENERAL CONSOLIDADA'!M31</f>
        <v>1723977896</v>
      </c>
      <c r="N31" s="465">
        <f>+'MATRIZ GENERAL CONSOLIDADA'!O31</f>
        <v>1723977897</v>
      </c>
      <c r="O31" s="452">
        <v>0</v>
      </c>
      <c r="P31" s="452">
        <f>+'MATRIZ GENERAL CONSOLIDADA'!E31</f>
        <v>5618751218</v>
      </c>
      <c r="Q31" s="452">
        <f>+'MATRIZ GENERAL CONSOLIDADA'!G31</f>
        <v>3293890218</v>
      </c>
      <c r="R31" s="658">
        <f t="shared" si="6"/>
        <v>58.623172484445099</v>
      </c>
      <c r="S31" s="467"/>
    </row>
    <row r="32" spans="1:19" ht="45" customHeight="1" thickBot="1">
      <c r="A32" s="61"/>
      <c r="B32" s="476" t="s">
        <v>498</v>
      </c>
      <c r="C32" s="474" t="s">
        <v>530</v>
      </c>
      <c r="D32" s="474">
        <f>+'MATRIZ GENERAL CONSOLIDADA'!H32</f>
        <v>1</v>
      </c>
      <c r="E32" s="635">
        <f>+'MATRIZ GENERAL CONSOLIDADA'!N32</f>
        <v>0.5</v>
      </c>
      <c r="F32" s="465">
        <f>+(E32/D32)*100</f>
        <v>50</v>
      </c>
      <c r="G32" s="475"/>
      <c r="H32" s="452">
        <f>+(E32*100)/D32</f>
        <v>50</v>
      </c>
      <c r="I32" s="465">
        <v>1</v>
      </c>
      <c r="J32" s="655">
        <f>+'MATRIZ GENERAL CONSOLIDADA'!F32</f>
        <v>0.375</v>
      </c>
      <c r="K32" s="452">
        <v>25</v>
      </c>
      <c r="L32" s="468"/>
      <c r="M32" s="452">
        <f>+'MATRIZ GENERAL CONSOLIDADA'!M32</f>
        <v>130173883.45999999</v>
      </c>
      <c r="N32" s="465">
        <f>+'MATRIZ GENERAL CONSOLIDADA'!O32</f>
        <v>0</v>
      </c>
      <c r="O32" s="452">
        <v>0</v>
      </c>
      <c r="P32" s="452">
        <f>+'MATRIZ GENERAL CONSOLIDADA'!E32</f>
        <v>637994931.46000004</v>
      </c>
      <c r="Q32" s="452">
        <f>+'MATRIZ GENERAL CONSOLIDADA'!G32</f>
        <v>307320886</v>
      </c>
      <c r="R32" s="658">
        <f t="shared" si="6"/>
        <v>48.169800549468455</v>
      </c>
      <c r="S32" s="467"/>
    </row>
    <row r="33" spans="1:19" ht="59.25" customHeight="1">
      <c r="A33" s="61"/>
      <c r="B33" s="491" t="s">
        <v>469</v>
      </c>
      <c r="C33" s="492"/>
      <c r="D33" s="492"/>
      <c r="E33" s="493"/>
      <c r="F33" s="494">
        <f>AVERAGE(F34,F46)</f>
        <v>35.516824072222867</v>
      </c>
      <c r="G33" s="494"/>
      <c r="H33" s="494">
        <f>AVERAGE(H34,H46)</f>
        <v>35.516824072222867</v>
      </c>
      <c r="I33" s="494">
        <f>AVERAGE(I34,I46)</f>
        <v>32836.002380952385</v>
      </c>
      <c r="J33" s="494">
        <f>AVERAGE(J34,J46)</f>
        <v>11241.299785714285</v>
      </c>
      <c r="K33" s="653">
        <f t="shared" ref="K33:K40" si="9">+(J33/I33)*100</f>
        <v>34.234678312227118</v>
      </c>
      <c r="L33" s="497"/>
      <c r="M33" s="498">
        <f>+M34+M46</f>
        <v>2239437028</v>
      </c>
      <c r="N33" s="498">
        <f>+N34+N46</f>
        <v>1024980002</v>
      </c>
      <c r="O33" s="497">
        <f>+N33/M33*100</f>
        <v>45.769538914670477</v>
      </c>
      <c r="P33" s="498">
        <f>+P34+P46</f>
        <v>7892697962.8500004</v>
      </c>
      <c r="Q33" s="498">
        <f>+Q34+Q46</f>
        <v>2972406233</v>
      </c>
      <c r="R33" s="458">
        <f t="shared" si="6"/>
        <v>37.660205002025492</v>
      </c>
      <c r="S33" s="467"/>
    </row>
    <row r="34" spans="1:19" ht="64.5" customHeight="1">
      <c r="A34" s="61"/>
      <c r="B34" s="398" t="s">
        <v>470</v>
      </c>
      <c r="C34" s="499"/>
      <c r="D34" s="397"/>
      <c r="E34" s="477"/>
      <c r="F34" s="478">
        <f>AVERAGE(F35:F44)</f>
        <v>21.030303030303031</v>
      </c>
      <c r="G34" s="478"/>
      <c r="H34" s="478">
        <f>AVERAGE(H35:H44)</f>
        <v>21.030303030303031</v>
      </c>
      <c r="I34" s="478">
        <f>AVERAGE(I35:I44)</f>
        <v>22048.433333333334</v>
      </c>
      <c r="J34" s="478">
        <f>AVERAGE(J35:J44)</f>
        <v>3325.4209999999998</v>
      </c>
      <c r="K34" s="654">
        <f t="shared" si="9"/>
        <v>15.082345986789688</v>
      </c>
      <c r="L34" s="395"/>
      <c r="M34" s="489">
        <f>SUM(M35:M45)</f>
        <v>781000000</v>
      </c>
      <c r="N34" s="490">
        <f>SUM(N35:N45)</f>
        <v>655306511</v>
      </c>
      <c r="O34" s="395">
        <f>+N34/M34*100</f>
        <v>83.906083354673498</v>
      </c>
      <c r="P34" s="395">
        <f>SUM(P35:P45)</f>
        <v>1704895252</v>
      </c>
      <c r="Q34" s="490">
        <f>SUM(Q35:Q45)</f>
        <v>956226901</v>
      </c>
      <c r="R34" s="395">
        <f t="shared" si="6"/>
        <v>56.087134964934492</v>
      </c>
      <c r="S34" s="467"/>
    </row>
    <row r="35" spans="1:19" ht="108.75" customHeight="1">
      <c r="A35" s="61"/>
      <c r="B35" s="462" t="s">
        <v>500</v>
      </c>
      <c r="C35" s="465" t="s">
        <v>1</v>
      </c>
      <c r="D35" s="500">
        <f>+'MATRIZ GENERAL CONSOLIDADA'!L35</f>
        <v>80</v>
      </c>
      <c r="E35" s="465">
        <f>+'MATRIZ GENERAL CONSOLIDADA'!N35</f>
        <v>0</v>
      </c>
      <c r="F35" s="465">
        <f>+(E35/D35)*100</f>
        <v>0</v>
      </c>
      <c r="G35" s="475"/>
      <c r="H35" s="452">
        <f t="shared" si="3"/>
        <v>0</v>
      </c>
      <c r="I35" s="465">
        <f>+'MATRIZ GENERAL CONSOLIDADA'!D35</f>
        <v>100</v>
      </c>
      <c r="J35" s="452">
        <f>+'MATRIZ GENERAL CONSOLIDADA'!F35</f>
        <v>15</v>
      </c>
      <c r="K35" s="452">
        <f t="shared" si="9"/>
        <v>15</v>
      </c>
      <c r="L35" s="468">
        <v>0</v>
      </c>
      <c r="M35" s="452">
        <f>+'MATRIZ GENERAL CONSOLIDADA'!I35</f>
        <v>0</v>
      </c>
      <c r="N35" s="465">
        <f>+'MATRIZ GENERAL CONSOLIDADA'!K35</f>
        <v>0</v>
      </c>
      <c r="O35" s="452">
        <v>0</v>
      </c>
      <c r="P35" s="452">
        <f>+'MATRIZ GENERAL CONSOLIDADA'!E35</f>
        <v>0</v>
      </c>
      <c r="Q35" s="452">
        <f>+'MATRIZ GENERAL CONSOLIDADA'!G35</f>
        <v>0</v>
      </c>
      <c r="R35" s="658">
        <v>0</v>
      </c>
      <c r="S35" s="467"/>
    </row>
    <row r="36" spans="1:19" ht="92.25" customHeight="1">
      <c r="A36" s="61"/>
      <c r="B36" s="469" t="s">
        <v>391</v>
      </c>
      <c r="C36" s="485" t="s">
        <v>464</v>
      </c>
      <c r="D36" s="500">
        <f>+'MATRIZ GENERAL CONSOLIDADA'!L36</f>
        <v>175994</v>
      </c>
      <c r="E36" s="465">
        <f>+'MATRIZ GENERAL CONSOLIDADA'!N36</f>
        <v>0</v>
      </c>
      <c r="F36" s="465">
        <f>+(E36/D36)*100</f>
        <v>0</v>
      </c>
      <c r="G36" s="475"/>
      <c r="H36" s="452">
        <f t="shared" si="3"/>
        <v>0</v>
      </c>
      <c r="I36" s="465">
        <f>+'MATRIZ GENERAL CONSOLIDADA'!D36</f>
        <v>220017</v>
      </c>
      <c r="J36" s="452">
        <f>+'MATRIZ GENERAL CONSOLIDADA'!F36</f>
        <v>33160.36</v>
      </c>
      <c r="K36" s="452">
        <f t="shared" si="9"/>
        <v>15.071726275696879</v>
      </c>
      <c r="L36" s="468">
        <v>1</v>
      </c>
      <c r="M36" s="452">
        <f>+'MATRIZ GENERAL CONSOLIDADA'!M36</f>
        <v>512169451</v>
      </c>
      <c r="N36" s="465">
        <f>+'MATRIZ GENERAL CONSOLIDADA'!O36</f>
        <v>512169451</v>
      </c>
      <c r="O36" s="452">
        <f>+(N36/M36)*100</f>
        <v>100</v>
      </c>
      <c r="P36" s="452">
        <f>+'MATRIZ GENERAL CONSOLIDADA'!E36</f>
        <v>829156375</v>
      </c>
      <c r="Q36" s="452">
        <f>+'MATRIZ GENERAL CONSOLIDADA'!G36</f>
        <v>646912275</v>
      </c>
      <c r="R36" s="658">
        <f t="shared" si="6"/>
        <v>78.020539249909277</v>
      </c>
      <c r="S36" s="467"/>
    </row>
    <row r="37" spans="1:19" ht="56.25" customHeight="1">
      <c r="A37" s="61"/>
      <c r="B37" s="501" t="s">
        <v>392</v>
      </c>
      <c r="C37" s="465" t="s">
        <v>505</v>
      </c>
      <c r="D37" s="500">
        <f>+'MATRIZ GENERAL CONSOLIDADA'!L37</f>
        <v>20</v>
      </c>
      <c r="E37" s="465">
        <f>+'MATRIZ GENERAL CONSOLIDADA'!N37</f>
        <v>0</v>
      </c>
      <c r="F37" s="465">
        <f>+(E37/D37)*100</f>
        <v>0</v>
      </c>
      <c r="G37" s="475"/>
      <c r="H37" s="452">
        <f t="shared" si="3"/>
        <v>0</v>
      </c>
      <c r="I37" s="465">
        <f>+'MATRIZ GENERAL CONSOLIDADA'!D37</f>
        <v>33.333333333333336</v>
      </c>
      <c r="J37" s="452">
        <f>+'MATRIZ GENERAL CONSOLIDADA'!F37</f>
        <v>0</v>
      </c>
      <c r="K37" s="452">
        <f t="shared" si="9"/>
        <v>0</v>
      </c>
      <c r="L37" s="468"/>
      <c r="M37" s="452">
        <f>+'MATRIZ GENERAL CONSOLIDADA'!M37</f>
        <v>0</v>
      </c>
      <c r="N37" s="465">
        <f>+'MATRIZ GENERAL CONSOLIDADA'!O37</f>
        <v>0</v>
      </c>
      <c r="O37" s="452">
        <v>0</v>
      </c>
      <c r="P37" s="452">
        <f>+'MATRIZ GENERAL CONSOLIDADA'!E37</f>
        <v>20000000</v>
      </c>
      <c r="Q37" s="452">
        <f>+'MATRIZ GENERAL CONSOLIDADA'!G37</f>
        <v>0</v>
      </c>
      <c r="R37" s="658">
        <f t="shared" si="6"/>
        <v>0</v>
      </c>
      <c r="S37" s="467"/>
    </row>
    <row r="38" spans="1:19" ht="54.75" customHeight="1">
      <c r="A38" s="61"/>
      <c r="B38" s="501" t="s">
        <v>393</v>
      </c>
      <c r="C38" s="474" t="s">
        <v>527</v>
      </c>
      <c r="D38" s="500">
        <f>+'MATRIZ GENERAL CONSOLIDADA'!L38</f>
        <v>30</v>
      </c>
      <c r="E38" s="465">
        <f>+'MATRIZ GENERAL CONSOLIDADA'!N38</f>
        <v>6</v>
      </c>
      <c r="F38" s="465">
        <f>+(E38/D38)*100</f>
        <v>20</v>
      </c>
      <c r="G38" s="475"/>
      <c r="H38" s="452">
        <f t="shared" si="3"/>
        <v>20</v>
      </c>
      <c r="I38" s="465">
        <f>+'MATRIZ GENERAL CONSOLIDADA'!D38</f>
        <v>120</v>
      </c>
      <c r="J38" s="452">
        <f>+'MATRIZ GENERAL CONSOLIDADA'!F38</f>
        <v>36</v>
      </c>
      <c r="K38" s="452">
        <f t="shared" si="9"/>
        <v>30</v>
      </c>
      <c r="L38" s="468"/>
      <c r="M38" s="452">
        <f>+'MATRIZ GENERAL CONSOLIDADA'!M38</f>
        <v>48192000</v>
      </c>
      <c r="N38" s="465">
        <f>+'MATRIZ GENERAL CONSOLIDADA'!O38</f>
        <v>35140000</v>
      </c>
      <c r="O38" s="452">
        <f>+(N38/M38)*100</f>
        <v>72.916666666666657</v>
      </c>
      <c r="P38" s="452">
        <f>+'MATRIZ GENERAL CONSOLIDADA'!E38</f>
        <v>233121583</v>
      </c>
      <c r="Q38" s="452">
        <f>+'MATRIZ GENERAL CONSOLIDADA'!G38</f>
        <v>81820811</v>
      </c>
      <c r="R38" s="658">
        <f t="shared" si="6"/>
        <v>35.097913263569424</v>
      </c>
      <c r="S38" s="467"/>
    </row>
    <row r="39" spans="1:19" ht="54" customHeight="1">
      <c r="A39" s="61"/>
      <c r="B39" s="501" t="s">
        <v>394</v>
      </c>
      <c r="C39" s="502" t="s">
        <v>191</v>
      </c>
      <c r="D39" s="500">
        <f>+'MATRIZ GENERAL CONSOLIDADA'!L39</f>
        <v>3</v>
      </c>
      <c r="E39" s="635">
        <f>+'MATRIZ GENERAL CONSOLIDADA'!N39</f>
        <v>0.9</v>
      </c>
      <c r="F39" s="465">
        <f t="shared" ref="F39:F44" si="10">+(E39/D39)*100</f>
        <v>30</v>
      </c>
      <c r="G39" s="475"/>
      <c r="H39" s="452">
        <f t="shared" si="3"/>
        <v>30</v>
      </c>
      <c r="I39" s="465">
        <f>+'MATRIZ GENERAL CONSOLIDADA'!D39</f>
        <v>3</v>
      </c>
      <c r="J39" s="452">
        <f>+'MATRIZ GENERAL CONSOLIDADA'!F39</f>
        <v>0.97499999999999998</v>
      </c>
      <c r="K39" s="452">
        <f t="shared" si="9"/>
        <v>32.5</v>
      </c>
      <c r="L39" s="468"/>
      <c r="M39" s="452">
        <f>+'MATRIZ GENERAL CONSOLIDADA'!M39</f>
        <v>15060000</v>
      </c>
      <c r="N39" s="465">
        <f>+'MATRIZ GENERAL CONSOLIDADA'!O39</f>
        <v>0</v>
      </c>
      <c r="O39" s="452">
        <f>+(N39/M39)*100</f>
        <v>0</v>
      </c>
      <c r="P39" s="452">
        <f>+'MATRIZ GENERAL CONSOLIDADA'!E39</f>
        <v>50200000</v>
      </c>
      <c r="Q39" s="452">
        <f>+'MATRIZ GENERAL CONSOLIDADA'!G39</f>
        <v>35140000</v>
      </c>
      <c r="R39" s="658">
        <f t="shared" si="6"/>
        <v>70</v>
      </c>
      <c r="S39" s="467"/>
    </row>
    <row r="40" spans="1:19" ht="48.75" customHeight="1">
      <c r="A40" s="61"/>
      <c r="B40" s="501" t="str">
        <f>+'MATRIZ GENERAL CONSOLIDADA'!A40</f>
        <v>Investigación, Conocimiento y/o Manejo de Áreas de Importancia estratégica  y de la Biodiversidad</v>
      </c>
      <c r="C40" s="474" t="str">
        <f>+'MATRIZ GENERAL CONSOLIDADA'!C40</f>
        <v>Áreas estratégicas</v>
      </c>
      <c r="D40" s="500">
        <f>+'MATRIZ GENERAL CONSOLIDADA'!L40</f>
        <v>2</v>
      </c>
      <c r="E40" s="635">
        <f>+'MATRIZ GENERAL CONSOLIDADA'!N40</f>
        <v>0.4</v>
      </c>
      <c r="F40" s="465">
        <f t="shared" si="10"/>
        <v>20</v>
      </c>
      <c r="G40" s="475"/>
      <c r="H40" s="452">
        <f t="shared" si="3"/>
        <v>20</v>
      </c>
      <c r="I40" s="465">
        <f>+'MATRIZ GENERAL CONSOLIDADA'!D40</f>
        <v>7</v>
      </c>
      <c r="J40" s="452">
        <f>+'MATRIZ GENERAL CONSOLIDADA'!F40</f>
        <v>1.4</v>
      </c>
      <c r="K40" s="452">
        <f t="shared" si="9"/>
        <v>20</v>
      </c>
      <c r="L40" s="468"/>
      <c r="M40" s="452">
        <f>+'MATRIZ GENERAL CONSOLIDADA'!M40</f>
        <v>139907860</v>
      </c>
      <c r="N40" s="465">
        <f>+'MATRIZ GENERAL CONSOLIDADA'!O40</f>
        <v>88536000</v>
      </c>
      <c r="O40" s="452">
        <f>+(N40/M40)*100</f>
        <v>63.281648364859556</v>
      </c>
      <c r="P40" s="452">
        <f>+'MATRIZ GENERAL CONSOLIDADA'!E40</f>
        <v>419933440</v>
      </c>
      <c r="Q40" s="452">
        <f>+'MATRIZ GENERAL CONSOLIDADA'!G40</f>
        <v>137730345</v>
      </c>
      <c r="R40" s="658">
        <f t="shared" si="6"/>
        <v>32.798137009522272</v>
      </c>
      <c r="S40" s="467"/>
    </row>
    <row r="41" spans="1:19" ht="55.5" customHeight="1">
      <c r="A41" s="61"/>
      <c r="B41" s="473" t="s">
        <v>389</v>
      </c>
      <c r="C41" s="474" t="s">
        <v>1</v>
      </c>
      <c r="D41" s="500">
        <f>+'MATRIZ GENERAL CONSOLIDADA'!L41</f>
        <v>33</v>
      </c>
      <c r="E41" s="635">
        <f>+'MATRIZ GENERAL CONSOLIDADA'!N41</f>
        <v>10</v>
      </c>
      <c r="F41" s="465">
        <f t="shared" si="10"/>
        <v>30.303030303030305</v>
      </c>
      <c r="G41" s="475"/>
      <c r="H41" s="452">
        <f t="shared" si="3"/>
        <v>30.303030303030305</v>
      </c>
      <c r="I41" s="465">
        <f>+'MATRIZ GENERAL CONSOLIDADA'!D41</f>
        <v>100</v>
      </c>
      <c r="J41" s="452">
        <f>+'MATRIZ GENERAL CONSOLIDADA'!F41</f>
        <v>2.5</v>
      </c>
      <c r="K41" s="452">
        <v>0</v>
      </c>
      <c r="L41" s="468"/>
      <c r="M41" s="452">
        <f>+'MATRIZ GENERAL CONSOLIDADA'!M41</f>
        <v>0</v>
      </c>
      <c r="N41" s="465">
        <f>+'MATRIZ GENERAL CONSOLIDADA'!O41</f>
        <v>0</v>
      </c>
      <c r="O41" s="452">
        <v>0</v>
      </c>
      <c r="P41" s="452">
        <f>+'MATRIZ GENERAL CONSOLIDADA'!E41</f>
        <v>0</v>
      </c>
      <c r="Q41" s="452">
        <f>+'MATRIZ GENERAL CONSOLIDADA'!G41</f>
        <v>0</v>
      </c>
      <c r="R41" s="658">
        <v>0</v>
      </c>
      <c r="S41" s="467"/>
    </row>
    <row r="42" spans="1:19" ht="30" customHeight="1">
      <c r="A42" s="61"/>
      <c r="B42" s="469" t="s">
        <v>395</v>
      </c>
      <c r="C42" s="474" t="s">
        <v>133</v>
      </c>
      <c r="D42" s="500">
        <f>+'MATRIZ GENERAL CONSOLIDADA'!L42</f>
        <v>1</v>
      </c>
      <c r="E42" s="635">
        <f>+'MATRIZ GENERAL CONSOLIDADA'!N42</f>
        <v>0.1</v>
      </c>
      <c r="F42" s="465">
        <f>+(E42/D42)*100</f>
        <v>10</v>
      </c>
      <c r="G42" s="475"/>
      <c r="H42" s="452">
        <f t="shared" si="3"/>
        <v>10</v>
      </c>
      <c r="I42" s="465">
        <f>+'MATRIZ GENERAL CONSOLIDADA'!D42</f>
        <v>3</v>
      </c>
      <c r="J42" s="452">
        <f>+'MATRIZ GENERAL CONSOLIDADA'!F42</f>
        <v>0.1</v>
      </c>
      <c r="K42" s="452">
        <v>0</v>
      </c>
      <c r="L42" s="468"/>
      <c r="M42" s="452">
        <f>+'MATRIZ GENERAL CONSOLIDADA'!M42</f>
        <v>36144000</v>
      </c>
      <c r="N42" s="465">
        <f>+'MATRIZ GENERAL CONSOLIDADA'!O42</f>
        <v>0</v>
      </c>
      <c r="O42" s="452">
        <v>0</v>
      </c>
      <c r="P42" s="452">
        <f>+'MATRIZ GENERAL CONSOLIDADA'!E42</f>
        <v>36144000</v>
      </c>
      <c r="Q42" s="452">
        <f>+'MATRIZ GENERAL CONSOLIDADA'!G42</f>
        <v>0</v>
      </c>
      <c r="R42" s="658">
        <f t="shared" si="6"/>
        <v>0</v>
      </c>
      <c r="S42" s="467"/>
    </row>
    <row r="43" spans="1:19" ht="30" customHeight="1">
      <c r="A43" s="61"/>
      <c r="B43" s="473" t="s">
        <v>390</v>
      </c>
      <c r="C43" s="474" t="s">
        <v>1</v>
      </c>
      <c r="D43" s="500">
        <f>+'MATRIZ GENERAL CONSOLIDADA'!L43</f>
        <v>100</v>
      </c>
      <c r="E43" s="465">
        <f>+'MATRIZ GENERAL CONSOLIDADA'!N43</f>
        <v>50</v>
      </c>
      <c r="F43" s="465">
        <f t="shared" si="10"/>
        <v>50</v>
      </c>
      <c r="G43" s="475"/>
      <c r="H43" s="452">
        <f t="shared" si="3"/>
        <v>50</v>
      </c>
      <c r="I43" s="465">
        <f>+'MATRIZ GENERAL CONSOLIDADA'!D43</f>
        <v>100</v>
      </c>
      <c r="J43" s="452">
        <f>+'MATRIZ GENERAL CONSOLIDADA'!F43</f>
        <v>37.5</v>
      </c>
      <c r="K43" s="452">
        <f>+(J43/I43)*100</f>
        <v>37.5</v>
      </c>
      <c r="L43" s="468"/>
      <c r="M43" s="452">
        <f>+'MATRIZ GENERAL CONSOLIDADA'!M43</f>
        <v>0</v>
      </c>
      <c r="N43" s="465">
        <f>+'MATRIZ GENERAL CONSOLIDADA'!O43</f>
        <v>0</v>
      </c>
      <c r="O43" s="452">
        <v>0</v>
      </c>
      <c r="P43" s="452">
        <f>+'MATRIZ GENERAL CONSOLIDADA'!E43</f>
        <v>0</v>
      </c>
      <c r="Q43" s="452">
        <f>+'MATRIZ GENERAL CONSOLIDADA'!G43</f>
        <v>0</v>
      </c>
      <c r="R43" s="658">
        <v>0</v>
      </c>
      <c r="S43" s="467"/>
    </row>
    <row r="44" spans="1:19" ht="42.75" customHeight="1">
      <c r="A44" s="61"/>
      <c r="B44" s="469" t="s">
        <v>396</v>
      </c>
      <c r="C44" s="474" t="s">
        <v>397</v>
      </c>
      <c r="D44" s="500">
        <f>+'MATRIZ GENERAL CONSOLIDADA'!L44</f>
        <v>1</v>
      </c>
      <c r="E44" s="635">
        <f>+'MATRIZ GENERAL CONSOLIDADA'!N44</f>
        <v>0.5</v>
      </c>
      <c r="F44" s="465">
        <f t="shared" si="10"/>
        <v>50</v>
      </c>
      <c r="G44" s="475"/>
      <c r="H44" s="452">
        <f t="shared" si="3"/>
        <v>50</v>
      </c>
      <c r="I44" s="651">
        <f>+'MATRIZ GENERAL CONSOLIDADA'!D44</f>
        <v>1</v>
      </c>
      <c r="J44" s="452">
        <f>+'MATRIZ GENERAL CONSOLIDADA'!F44</f>
        <v>0.375</v>
      </c>
      <c r="K44" s="452">
        <f>+(J44/I44)*100</f>
        <v>37.5</v>
      </c>
      <c r="L44" s="468"/>
      <c r="M44" s="452">
        <f>+'MATRIZ GENERAL CONSOLIDADA'!M44</f>
        <v>5832289</v>
      </c>
      <c r="N44" s="465">
        <f>+'MATRIZ GENERAL CONSOLIDADA'!O44</f>
        <v>0</v>
      </c>
      <c r="O44" s="452">
        <v>0</v>
      </c>
      <c r="P44" s="452">
        <f>+'MATRIZ GENERAL CONSOLIDADA'!E44</f>
        <v>5832289</v>
      </c>
      <c r="Q44" s="452">
        <f>+'MATRIZ GENERAL CONSOLIDADA'!G44</f>
        <v>0</v>
      </c>
      <c r="R44" s="658">
        <f t="shared" si="6"/>
        <v>0</v>
      </c>
      <c r="S44" s="467"/>
    </row>
    <row r="45" spans="1:19" ht="30" customHeight="1">
      <c r="A45" s="61"/>
      <c r="B45" s="501" t="s">
        <v>532</v>
      </c>
      <c r="C45" s="474" t="s">
        <v>533</v>
      </c>
      <c r="D45" s="500">
        <f>+'MATRIZ GENERAL CONSOLIDADA'!L45</f>
        <v>0</v>
      </c>
      <c r="E45" s="465">
        <f>+'MATRIZ GENERAL CONSOLIDADA'!N45</f>
        <v>0</v>
      </c>
      <c r="F45" s="465" t="s">
        <v>538</v>
      </c>
      <c r="G45" s="475"/>
      <c r="H45" s="452" t="s">
        <v>538</v>
      </c>
      <c r="I45" s="465" t="s">
        <v>538</v>
      </c>
      <c r="J45" s="452" t="s">
        <v>538</v>
      </c>
      <c r="K45" s="452" t="s">
        <v>538</v>
      </c>
      <c r="L45" s="468"/>
      <c r="M45" s="452">
        <f>+'MATRIZ GENERAL CONSOLIDADA'!M45</f>
        <v>23694400</v>
      </c>
      <c r="N45" s="465">
        <f>+'MATRIZ GENERAL CONSOLIDADA'!O45</f>
        <v>19461060</v>
      </c>
      <c r="O45" s="452">
        <v>0</v>
      </c>
      <c r="P45" s="452">
        <f>+'MATRIZ GENERAL CONSOLIDADA'!E45</f>
        <v>110507565</v>
      </c>
      <c r="Q45" s="452">
        <f>+'MATRIZ GENERAL CONSOLIDADA'!G45</f>
        <v>54623470</v>
      </c>
      <c r="R45" s="658">
        <f t="shared" si="6"/>
        <v>49.429620497022078</v>
      </c>
      <c r="S45" s="467"/>
    </row>
    <row r="46" spans="1:19" ht="63.75" customHeight="1">
      <c r="A46" s="61"/>
      <c r="B46" s="398" t="s">
        <v>471</v>
      </c>
      <c r="C46" s="397"/>
      <c r="D46" s="396"/>
      <c r="E46" s="477"/>
      <c r="F46" s="478">
        <f>AVERAGE(F47:F53)</f>
        <v>50.003345114142704</v>
      </c>
      <c r="G46" s="478"/>
      <c r="H46" s="478">
        <f>AVERAGE(H47:H53)</f>
        <v>50.003345114142704</v>
      </c>
      <c r="I46" s="478">
        <f>AVERAGE(I47:I53)</f>
        <v>43623.571428571428</v>
      </c>
      <c r="J46" s="478">
        <f>AVERAGE(J47:J53)</f>
        <v>19157.178571428572</v>
      </c>
      <c r="K46" s="395">
        <f>+(J46/I46)*100</f>
        <v>43.914741375075735</v>
      </c>
      <c r="L46" s="395"/>
      <c r="M46" s="480">
        <f>SUM(M48:M54)</f>
        <v>1458437028</v>
      </c>
      <c r="N46" s="490">
        <f>SUM(N47:N54)</f>
        <v>369673491</v>
      </c>
      <c r="O46" s="480">
        <f>+(N46/M46)*100</f>
        <v>25.347237069737922</v>
      </c>
      <c r="P46" s="480">
        <f>SUM(P47:P54)</f>
        <v>6187802710.8500004</v>
      </c>
      <c r="Q46" s="490">
        <f>SUM(Q47:Q54)</f>
        <v>2016179332</v>
      </c>
      <c r="R46" s="395">
        <f t="shared" si="6"/>
        <v>32.583122413788843</v>
      </c>
      <c r="S46" s="467"/>
    </row>
    <row r="47" spans="1:19" ht="111.75" customHeight="1">
      <c r="A47" s="61"/>
      <c r="B47" s="473" t="s">
        <v>398</v>
      </c>
      <c r="C47" s="465" t="s">
        <v>1</v>
      </c>
      <c r="D47" s="465">
        <f>+'MATRIZ GENERAL CONSOLIDADA'!L47</f>
        <v>100</v>
      </c>
      <c r="E47" s="465">
        <f>+'MATRIZ GENERAL CONSOLIDADA'!N47</f>
        <v>25</v>
      </c>
      <c r="F47" s="465">
        <f>+(E47/D47)*100</f>
        <v>25</v>
      </c>
      <c r="G47" s="475"/>
      <c r="H47" s="452">
        <f t="shared" si="3"/>
        <v>25</v>
      </c>
      <c r="I47" s="465">
        <f>+'MATRIZ GENERAL CONSOLIDADA'!D47</f>
        <v>100</v>
      </c>
      <c r="J47" s="503">
        <f>+'MATRIZ GENERAL CONSOLIDADA'!F47</f>
        <v>31.25</v>
      </c>
      <c r="K47" s="452">
        <f t="shared" ref="K47:K52" si="11">+(J47/I47)*100</f>
        <v>31.25</v>
      </c>
      <c r="L47" s="468"/>
      <c r="M47" s="504"/>
      <c r="N47" s="465">
        <f>+'MATRIZ GENERAL CONSOLIDADA'!K47</f>
        <v>0</v>
      </c>
      <c r="O47" s="452">
        <v>0</v>
      </c>
      <c r="P47" s="452">
        <f>+'MATRIZ GENERAL CONSOLIDADA'!E47</f>
        <v>0</v>
      </c>
      <c r="Q47" s="452">
        <f>+'MATRIZ GENERAL CONSOLIDADA'!G47</f>
        <v>0</v>
      </c>
      <c r="R47" s="658">
        <v>0</v>
      </c>
      <c r="S47" s="467"/>
    </row>
    <row r="48" spans="1:19" ht="78" customHeight="1">
      <c r="A48" s="61"/>
      <c r="B48" s="469" t="str">
        <f>+'MATRIZ GENERAL CONSOLIDADA'!A48</f>
        <v xml:space="preserve">Áreas protegidas registradas con planes de manejo en ejcución </v>
      </c>
      <c r="C48" s="485" t="s">
        <v>464</v>
      </c>
      <c r="D48" s="465">
        <f>+'MATRIZ GENERAL CONSOLIDADA'!L48</f>
        <v>66787</v>
      </c>
      <c r="E48" s="465">
        <f>+'MATRIZ GENERAL CONSOLIDADA'!N48</f>
        <v>16697</v>
      </c>
      <c r="F48" s="465">
        <f t="shared" ref="F48:F53" si="12">+(E48/D48)*100</f>
        <v>25.000374324344559</v>
      </c>
      <c r="G48" s="475"/>
      <c r="H48" s="452">
        <f t="shared" si="3"/>
        <v>25.000374324344559</v>
      </c>
      <c r="I48" s="465">
        <f>+'MATRIZ GENERAL CONSOLIDADA'!D48</f>
        <v>192128</v>
      </c>
      <c r="J48" s="503">
        <f>+'MATRIZ GENERAL CONSOLIDADA'!F48</f>
        <v>12959.25</v>
      </c>
      <c r="K48" s="452">
        <f t="shared" si="11"/>
        <v>6.7451126332445028</v>
      </c>
      <c r="L48" s="468"/>
      <c r="M48" s="452">
        <f>+'MATRIZ GENERAL CONSOLIDADA'!M48</f>
        <v>150600000</v>
      </c>
      <c r="N48" s="465">
        <f>+'MATRIZ GENERAL CONSOLIDADA'!O48</f>
        <v>73292000</v>
      </c>
      <c r="O48" s="452">
        <f>+N48/M48*100</f>
        <v>48.666666666666671</v>
      </c>
      <c r="P48" s="452">
        <f>+'MATRIZ GENERAL CONSOLIDADA'!E48</f>
        <v>1867043422</v>
      </c>
      <c r="Q48" s="452">
        <f>+'MATRIZ GENERAL CONSOLIDADA'!G48</f>
        <v>1486799357</v>
      </c>
      <c r="R48" s="658">
        <f t="shared" si="6"/>
        <v>79.633892789023747</v>
      </c>
      <c r="S48" s="467"/>
    </row>
    <row r="49" spans="1:19" ht="78" customHeight="1">
      <c r="A49" s="61"/>
      <c r="B49" s="469" t="str">
        <f>+'MATRIZ GENERAL CONSOLIDADA'!A49</f>
        <v xml:space="preserve">Áreas protegidas inscritas con planes de manejo en ejcución </v>
      </c>
      <c r="C49" s="485" t="s">
        <v>464</v>
      </c>
      <c r="D49" s="465">
        <f>+'MATRIZ GENERAL CONSOLIDADA'!L49</f>
        <v>220884</v>
      </c>
      <c r="E49" s="465">
        <f>+'MATRIZ GENERAL CONSOLIDADA'!N49</f>
        <v>55221</v>
      </c>
      <c r="F49" s="465">
        <f t="shared" si="12"/>
        <v>25</v>
      </c>
      <c r="G49" s="475"/>
      <c r="H49" s="452">
        <f t="shared" si="3"/>
        <v>25</v>
      </c>
      <c r="I49" s="465">
        <f>+'MATRIZ GENERAL CONSOLIDADA'!D49</f>
        <v>112666</v>
      </c>
      <c r="J49" s="503">
        <f>+'MATRIZ GENERAL CONSOLIDADA'!F49</f>
        <v>120982</v>
      </c>
      <c r="K49" s="452">
        <f t="shared" si="11"/>
        <v>107.38110876395719</v>
      </c>
      <c r="L49" s="468"/>
      <c r="M49" s="452">
        <f>+'MATRIZ GENERAL CONSOLIDADA'!M49</f>
        <v>932246601</v>
      </c>
      <c r="N49" s="465">
        <f>+'MATRIZ GENERAL CONSOLIDADA'!O49</f>
        <v>239454000</v>
      </c>
      <c r="O49" s="452">
        <f>+N49/M49*100</f>
        <v>25.685693006887135</v>
      </c>
      <c r="P49" s="452">
        <f>+'MATRIZ GENERAL CONSOLIDADA'!E49</f>
        <v>2882246601</v>
      </c>
      <c r="Q49" s="452">
        <f>+'MATRIZ GENERAL CONSOLIDADA'!G49</f>
        <v>239454000</v>
      </c>
      <c r="R49" s="658">
        <f t="shared" si="6"/>
        <v>8.3078942626533436</v>
      </c>
      <c r="S49" s="467"/>
    </row>
    <row r="50" spans="1:19" ht="56.25" customHeight="1">
      <c r="A50" s="61"/>
      <c r="B50" s="473" t="s">
        <v>399</v>
      </c>
      <c r="C50" s="465" t="s">
        <v>1</v>
      </c>
      <c r="D50" s="465">
        <f>+'MATRIZ GENERAL CONSOLIDADA'!L50</f>
        <v>25</v>
      </c>
      <c r="E50" s="465">
        <f>+'MATRIZ GENERAL CONSOLIDADA'!N50</f>
        <v>10</v>
      </c>
      <c r="F50" s="465">
        <f t="shared" si="12"/>
        <v>40</v>
      </c>
      <c r="G50" s="475"/>
      <c r="H50" s="452">
        <f t="shared" si="3"/>
        <v>40</v>
      </c>
      <c r="I50" s="465">
        <f>+'MATRIZ GENERAL CONSOLIDADA'!D50</f>
        <v>100</v>
      </c>
      <c r="J50" s="503">
        <f>+'MATRIZ GENERAL CONSOLIDADA'!F50</f>
        <v>8.75</v>
      </c>
      <c r="K50" s="452">
        <f t="shared" si="11"/>
        <v>8.75</v>
      </c>
      <c r="L50" s="468"/>
      <c r="M50" s="452">
        <f>+'MATRIZ GENERAL CONSOLIDADA'!M50</f>
        <v>0</v>
      </c>
      <c r="N50" s="465">
        <f>+'MATRIZ GENERAL CONSOLIDADA'!O50</f>
        <v>0</v>
      </c>
      <c r="O50" s="452">
        <v>0</v>
      </c>
      <c r="P50" s="452">
        <f>+'MATRIZ GENERAL CONSOLIDADA'!E50</f>
        <v>0</v>
      </c>
      <c r="Q50" s="452">
        <f>+'MATRIZ GENERAL CONSOLIDADA'!G50</f>
        <v>0</v>
      </c>
      <c r="R50" s="658">
        <v>0</v>
      </c>
      <c r="S50" s="467"/>
    </row>
    <row r="51" spans="1:19" ht="54.75" customHeight="1">
      <c r="A51" s="61"/>
      <c r="B51" s="469" t="s">
        <v>401</v>
      </c>
      <c r="C51" s="474" t="s">
        <v>189</v>
      </c>
      <c r="D51" s="465">
        <f>+'MATRIZ GENERAL CONSOLIDADA'!L51</f>
        <v>217</v>
      </c>
      <c r="E51" s="465">
        <f>+'MATRIZ GENERAL CONSOLIDADA'!N51</f>
        <v>76</v>
      </c>
      <c r="F51" s="465">
        <f t="shared" si="12"/>
        <v>35.023041474654377</v>
      </c>
      <c r="G51" s="475"/>
      <c r="H51" s="452">
        <f t="shared" si="3"/>
        <v>35.023041474654377</v>
      </c>
      <c r="I51" s="465">
        <f>+'MATRIZ GENERAL CONSOLIDADA'!D51</f>
        <v>267</v>
      </c>
      <c r="J51" s="503">
        <f>+'MATRIZ GENERAL CONSOLIDADA'!F51</f>
        <v>67</v>
      </c>
      <c r="K51" s="452">
        <f t="shared" si="11"/>
        <v>25.0936329588015</v>
      </c>
      <c r="L51" s="468"/>
      <c r="M51" s="452">
        <f>+'MATRIZ GENERAL CONSOLIDADA'!M51</f>
        <v>228002690</v>
      </c>
      <c r="N51" s="465">
        <f>+'MATRIZ GENERAL CONSOLIDADA'!O51</f>
        <v>0</v>
      </c>
      <c r="O51" s="452">
        <f>+N51/M51*100</f>
        <v>0</v>
      </c>
      <c r="P51" s="452">
        <f>+'MATRIZ GENERAL CONSOLIDADA'!E51</f>
        <v>878201284</v>
      </c>
      <c r="Q51" s="452">
        <f>+'MATRIZ GENERAL CONSOLIDADA'!G51</f>
        <v>160448537</v>
      </c>
      <c r="R51" s="658">
        <f t="shared" si="6"/>
        <v>18.270132362958378</v>
      </c>
      <c r="S51" s="467"/>
    </row>
    <row r="52" spans="1:19" ht="107.25" customHeight="1">
      <c r="A52" s="61"/>
      <c r="B52" s="473" t="s">
        <v>400</v>
      </c>
      <c r="C52" s="474" t="s">
        <v>181</v>
      </c>
      <c r="D52" s="465">
        <f>+'MATRIZ GENERAL CONSOLIDADA'!L52</f>
        <v>100</v>
      </c>
      <c r="E52" s="465">
        <f>+'MATRIZ GENERAL CONSOLIDADA'!N52</f>
        <v>100</v>
      </c>
      <c r="F52" s="465">
        <f t="shared" si="12"/>
        <v>100</v>
      </c>
      <c r="G52" s="475"/>
      <c r="H52" s="452">
        <f t="shared" si="3"/>
        <v>100</v>
      </c>
      <c r="I52" s="465">
        <f>+'MATRIZ GENERAL CONSOLIDADA'!D52</f>
        <v>100</v>
      </c>
      <c r="J52" s="503">
        <f>+'MATRIZ GENERAL CONSOLIDADA'!F52</f>
        <v>50</v>
      </c>
      <c r="K52" s="452">
        <f t="shared" si="11"/>
        <v>50</v>
      </c>
      <c r="L52" s="468"/>
      <c r="M52" s="452">
        <f>+'MATRIZ GENERAL CONSOLIDADA'!M52</f>
        <v>0</v>
      </c>
      <c r="N52" s="465">
        <f>+'MATRIZ GENERAL CONSOLIDADA'!O52</f>
        <v>0</v>
      </c>
      <c r="O52" s="452">
        <v>0</v>
      </c>
      <c r="P52" s="452">
        <f>+'MATRIZ GENERAL CONSOLIDADA'!E52</f>
        <v>0</v>
      </c>
      <c r="Q52" s="452">
        <f>+'MATRIZ GENERAL CONSOLIDADA'!G52</f>
        <v>0</v>
      </c>
      <c r="R52" s="658">
        <v>0</v>
      </c>
      <c r="S52" s="467"/>
    </row>
    <row r="53" spans="1:19" ht="107.25" customHeight="1">
      <c r="A53" s="61"/>
      <c r="B53" s="469" t="s">
        <v>466</v>
      </c>
      <c r="C53" s="463" t="s">
        <v>397</v>
      </c>
      <c r="D53" s="465">
        <f>+'MATRIZ GENERAL CONSOLIDADA'!L53</f>
        <v>4</v>
      </c>
      <c r="E53" s="635">
        <f>+'MATRIZ GENERAL CONSOLIDADA'!N53</f>
        <v>4</v>
      </c>
      <c r="F53" s="465">
        <f t="shared" si="12"/>
        <v>100</v>
      </c>
      <c r="G53" s="475"/>
      <c r="H53" s="452">
        <f t="shared" si="3"/>
        <v>100</v>
      </c>
      <c r="I53" s="465">
        <f>+'MATRIZ GENERAL CONSOLIDADA'!D53</f>
        <v>4</v>
      </c>
      <c r="J53" s="503">
        <f>+'MATRIZ GENERAL CONSOLIDADA'!F53</f>
        <v>2</v>
      </c>
      <c r="K53" s="452">
        <v>25</v>
      </c>
      <c r="L53" s="468"/>
      <c r="M53" s="452">
        <f>+'MATRIZ GENERAL CONSOLIDADA'!M53</f>
        <v>118973737</v>
      </c>
      <c r="N53" s="465">
        <f>+'MATRIZ GENERAL CONSOLIDADA'!O53</f>
        <v>33132000</v>
      </c>
      <c r="O53" s="452">
        <f>+N53/M53*100</f>
        <v>27.848162826052945</v>
      </c>
      <c r="P53" s="452">
        <f>+'MATRIZ GENERAL CONSOLIDADA'!E53</f>
        <v>464038524.85000002</v>
      </c>
      <c r="Q53" s="452">
        <f>+'MATRIZ GENERAL CONSOLIDADA'!G53</f>
        <v>97150744</v>
      </c>
      <c r="R53" s="658">
        <f t="shared" si="6"/>
        <v>20.935922083495949</v>
      </c>
      <c r="S53" s="467"/>
    </row>
    <row r="54" spans="1:19" ht="107.25" customHeight="1" thickBot="1">
      <c r="A54" s="61"/>
      <c r="B54" s="501" t="s">
        <v>532</v>
      </c>
      <c r="C54" s="474" t="s">
        <v>533</v>
      </c>
      <c r="D54" s="465">
        <f>+'MATRIZ GENERAL CONSOLIDADA'!L54</f>
        <v>0</v>
      </c>
      <c r="E54" s="465">
        <f>+'MATRIZ GENERAL CONSOLIDADA'!N54</f>
        <v>0</v>
      </c>
      <c r="F54" s="465" t="s">
        <v>538</v>
      </c>
      <c r="G54" s="475"/>
      <c r="H54" s="452" t="s">
        <v>538</v>
      </c>
      <c r="I54" s="465" t="s">
        <v>538</v>
      </c>
      <c r="J54" s="503" t="s">
        <v>538</v>
      </c>
      <c r="K54" s="452" t="s">
        <v>546</v>
      </c>
      <c r="L54" s="468"/>
      <c r="M54" s="452">
        <f>+'MATRIZ GENERAL CONSOLIDADA'!M54</f>
        <v>28614000</v>
      </c>
      <c r="N54" s="465">
        <f>+'MATRIZ GENERAL CONSOLIDADA'!O54</f>
        <v>23795491</v>
      </c>
      <c r="O54" s="452">
        <f>+N54/M54*100</f>
        <v>83.160309638638424</v>
      </c>
      <c r="P54" s="452">
        <f>+'MATRIZ GENERAL CONSOLIDADA'!E54</f>
        <v>96272879</v>
      </c>
      <c r="Q54" s="452">
        <f>+'MATRIZ GENERAL CONSOLIDADA'!G54</f>
        <v>32326694</v>
      </c>
      <c r="R54" s="658">
        <f t="shared" si="6"/>
        <v>33.578193916897405</v>
      </c>
      <c r="S54" s="467"/>
    </row>
    <row r="55" spans="1:19" ht="66.75" customHeight="1">
      <c r="A55" s="61"/>
      <c r="B55" s="491" t="s">
        <v>472</v>
      </c>
      <c r="C55" s="492"/>
      <c r="D55" s="495"/>
      <c r="E55" s="505"/>
      <c r="F55" s="494">
        <f>AVERAGE(F56,F64)</f>
        <v>31.209876543209873</v>
      </c>
      <c r="G55" s="494"/>
      <c r="H55" s="494">
        <f>AVERAGE(H56,H64)</f>
        <v>31.20987654320988</v>
      </c>
      <c r="I55" s="754">
        <f>AVERAGE(I56,I69,I80)</f>
        <v>31.083333333333332</v>
      </c>
      <c r="J55" s="754">
        <f>AVERAGE(J56,J69,J80)</f>
        <v>10.519444444444444</v>
      </c>
      <c r="K55" s="497">
        <f>AVERAGE(K56,K64)</f>
        <v>105.16208133971293</v>
      </c>
      <c r="L55" s="497"/>
      <c r="M55" s="506">
        <f>+M56+M64</f>
        <v>2912925458</v>
      </c>
      <c r="N55" s="506">
        <f>+N56+N64</f>
        <v>283450009</v>
      </c>
      <c r="O55" s="497">
        <f>+N55/M55*100</f>
        <v>9.7307676796719456</v>
      </c>
      <c r="P55" s="506">
        <f>+P56+P64</f>
        <v>12047232820.75</v>
      </c>
      <c r="Q55" s="506">
        <f>+Q56+Q64</f>
        <v>6594925746</v>
      </c>
      <c r="R55" s="458">
        <f t="shared" si="6"/>
        <v>54.742245328246533</v>
      </c>
      <c r="S55" s="467"/>
    </row>
    <row r="56" spans="1:19" ht="47.25" customHeight="1">
      <c r="A56" s="61"/>
      <c r="B56" s="398" t="s">
        <v>473</v>
      </c>
      <c r="C56" s="507"/>
      <c r="D56" s="396"/>
      <c r="E56" s="508"/>
      <c r="F56" s="478">
        <f>AVERAGE(F57:F62)</f>
        <v>53.253086419753082</v>
      </c>
      <c r="G56" s="478"/>
      <c r="H56" s="478">
        <f>AVERAGE(H57:H63)</f>
        <v>53.253086419753089</v>
      </c>
      <c r="I56" s="478">
        <f>AVERAGE(I57:I62)</f>
        <v>36.916666666666664</v>
      </c>
      <c r="J56" s="478">
        <f>AVERAGE(J57:J62)</f>
        <v>10</v>
      </c>
      <c r="K56" s="395">
        <f>SUM(K57:K62)</f>
        <v>176.11363636363637</v>
      </c>
      <c r="L56" s="395"/>
      <c r="M56" s="393">
        <f>+SUM(M57:M63)</f>
        <v>2068741758</v>
      </c>
      <c r="N56" s="490">
        <f>SUM(N57:N63)</f>
        <v>266001259</v>
      </c>
      <c r="O56" s="395">
        <f>+N56/M56*100</f>
        <v>12.858118127666277</v>
      </c>
      <c r="P56" s="480">
        <f>SUM(P57:P63)</f>
        <v>10056254887.75</v>
      </c>
      <c r="Q56" s="490">
        <f>SUM(Q57:Q63)</f>
        <v>6453870826</v>
      </c>
      <c r="R56" s="395">
        <f t="shared" si="6"/>
        <v>64.177677455866458</v>
      </c>
      <c r="S56" s="467"/>
    </row>
    <row r="57" spans="1:19" ht="93.75" customHeight="1">
      <c r="A57" s="61"/>
      <c r="B57" s="462" t="s">
        <v>404</v>
      </c>
      <c r="C57" s="474" t="s">
        <v>1</v>
      </c>
      <c r="D57" s="465">
        <f>+'MATRIZ GENERAL CONSOLIDADA'!L57</f>
        <v>25</v>
      </c>
      <c r="E57" s="465">
        <f>+'MATRIZ GENERAL CONSOLIDADA'!N57</f>
        <v>19</v>
      </c>
      <c r="F57" s="465">
        <f t="shared" ref="F57:F62" si="13">+(E57/D57)*100</f>
        <v>76</v>
      </c>
      <c r="G57" s="475"/>
      <c r="H57" s="452">
        <f>+(E57*100)/D57</f>
        <v>76</v>
      </c>
      <c r="I57" s="465">
        <f>+'MATRIZ GENERAL CONSOLIDADA'!D57</f>
        <v>100</v>
      </c>
      <c r="J57" s="452">
        <f>+'MATRIZ GENERAL CONSOLIDADA'!F57</f>
        <v>44</v>
      </c>
      <c r="K57" s="452">
        <f t="shared" ref="K57:K62" si="14">+(J57/I57)*100</f>
        <v>44</v>
      </c>
      <c r="L57" s="468"/>
      <c r="M57" s="452">
        <f>+'MATRIZ GENERAL CONSOLIDADA'!M57</f>
        <v>227361200</v>
      </c>
      <c r="N57" s="465">
        <f>+'MATRIZ GENERAL CONSOLIDADA'!O57</f>
        <v>169073600</v>
      </c>
      <c r="O57" s="452">
        <f>+N57/M57*100</f>
        <v>74.363435801711105</v>
      </c>
      <c r="P57" s="452">
        <f>+'MATRIZ GENERAL CONSOLIDADA'!E57</f>
        <v>718283600</v>
      </c>
      <c r="Q57" s="452">
        <f>+'MATRIZ GENERAL CONSOLIDADA'!G57</f>
        <v>249996000</v>
      </c>
      <c r="R57" s="658">
        <f t="shared" si="6"/>
        <v>34.804637054222034</v>
      </c>
      <c r="S57" s="467"/>
    </row>
    <row r="58" spans="1:19" ht="93.75" customHeight="1">
      <c r="A58" s="61"/>
      <c r="B58" s="473" t="s">
        <v>405</v>
      </c>
      <c r="C58" s="474" t="s">
        <v>1</v>
      </c>
      <c r="D58" s="465">
        <f>+'MATRIZ GENERAL CONSOLIDADA'!L58</f>
        <v>27</v>
      </c>
      <c r="E58" s="465">
        <f>+'MATRIZ GENERAL CONSOLIDADA'!N58</f>
        <v>14</v>
      </c>
      <c r="F58" s="465">
        <f t="shared" si="13"/>
        <v>51.851851851851848</v>
      </c>
      <c r="G58" s="475"/>
      <c r="H58" s="452">
        <f t="shared" si="3"/>
        <v>51.851851851851855</v>
      </c>
      <c r="I58" s="465">
        <f>+'MATRIZ GENERAL CONSOLIDADA'!D58</f>
        <v>100</v>
      </c>
      <c r="J58" s="452">
        <f>+'MATRIZ GENERAL CONSOLIDADA'!F58</f>
        <v>8.25</v>
      </c>
      <c r="K58" s="452">
        <f t="shared" si="14"/>
        <v>8.25</v>
      </c>
      <c r="L58" s="468"/>
      <c r="M58" s="452">
        <f>+'MATRIZ GENERAL CONSOLIDADA'!M58</f>
        <v>0</v>
      </c>
      <c r="N58" s="465">
        <f>+'MATRIZ GENERAL CONSOLIDADA'!O58</f>
        <v>0</v>
      </c>
      <c r="O58" s="452">
        <v>0</v>
      </c>
      <c r="P58" s="452">
        <f>+'MATRIZ GENERAL CONSOLIDADA'!E58</f>
        <v>0</v>
      </c>
      <c r="Q58" s="452">
        <f>+'MATRIZ GENERAL CONSOLIDADA'!G58</f>
        <v>0</v>
      </c>
      <c r="R58" s="658">
        <v>0</v>
      </c>
      <c r="S58" s="467"/>
    </row>
    <row r="59" spans="1:19" ht="57.75" customHeight="1">
      <c r="A59" s="61"/>
      <c r="B59" s="510" t="s">
        <v>406</v>
      </c>
      <c r="C59" s="474" t="s">
        <v>507</v>
      </c>
      <c r="D59" s="465">
        <f>+'MATRIZ GENERAL CONSOLIDADA'!L59</f>
        <v>3</v>
      </c>
      <c r="E59" s="465">
        <f>+'MATRIZ GENERAL CONSOLIDADA'!N59</f>
        <v>2</v>
      </c>
      <c r="F59" s="465">
        <f t="shared" si="13"/>
        <v>66.666666666666657</v>
      </c>
      <c r="G59" s="475"/>
      <c r="H59" s="452">
        <f>+(E59*100)/D59</f>
        <v>66.666666666666671</v>
      </c>
      <c r="I59" s="465">
        <f>+'MATRIZ GENERAL CONSOLIDADA'!D59</f>
        <v>11</v>
      </c>
      <c r="J59" s="452">
        <f>+'MATRIZ GENERAL CONSOLIDADA'!F59</f>
        <v>4</v>
      </c>
      <c r="K59" s="452">
        <f t="shared" si="14"/>
        <v>36.363636363636367</v>
      </c>
      <c r="L59" s="468"/>
      <c r="M59" s="452">
        <f>+'MATRIZ GENERAL CONSOLIDADA'!M59</f>
        <v>460000000</v>
      </c>
      <c r="N59" s="465">
        <f>+'MATRIZ GENERAL CONSOLIDADA'!O59</f>
        <v>18072000</v>
      </c>
      <c r="O59" s="452">
        <f>+N59/M59*100</f>
        <v>3.9286956521739129</v>
      </c>
      <c r="P59" s="452">
        <f>+'MATRIZ GENERAL CONSOLIDADA'!E59</f>
        <v>2530828382</v>
      </c>
      <c r="Q59" s="452">
        <f>+'MATRIZ GENERAL CONSOLIDADA'!G59</f>
        <v>1415126484</v>
      </c>
      <c r="R59" s="658">
        <f t="shared" si="6"/>
        <v>55.915545047020899</v>
      </c>
      <c r="S59" s="467"/>
    </row>
    <row r="60" spans="1:19" ht="61.5" customHeight="1">
      <c r="A60" s="61"/>
      <c r="B60" s="511" t="s">
        <v>539</v>
      </c>
      <c r="C60" s="474" t="s">
        <v>408</v>
      </c>
      <c r="D60" s="465">
        <f>+'MATRIZ GENERAL CONSOLIDADA'!L60</f>
        <v>1</v>
      </c>
      <c r="E60" s="635">
        <f>+'MATRIZ GENERAL CONSOLIDADA'!N60</f>
        <v>0.5</v>
      </c>
      <c r="F60" s="465">
        <f t="shared" si="13"/>
        <v>50</v>
      </c>
      <c r="G60" s="475"/>
      <c r="H60" s="452">
        <f>+(E60*100)/D60</f>
        <v>50</v>
      </c>
      <c r="I60" s="465">
        <f>+'MATRIZ GENERAL CONSOLIDADA'!D60</f>
        <v>1</v>
      </c>
      <c r="J60" s="452">
        <f>+'MATRIZ GENERAL CONSOLIDADA'!F60</f>
        <v>0.375</v>
      </c>
      <c r="K60" s="452">
        <v>25</v>
      </c>
      <c r="L60" s="468"/>
      <c r="M60" s="452">
        <f>+'MATRIZ GENERAL CONSOLIDADA'!M60</f>
        <v>49818800</v>
      </c>
      <c r="N60" s="465">
        <f>+'MATRIZ GENERAL CONSOLIDADA'!O60</f>
        <v>33132000</v>
      </c>
      <c r="O60" s="452">
        <f>+N60/M60*100</f>
        <v>66.505014171357004</v>
      </c>
      <c r="P60" s="452">
        <f>+'MATRIZ GENERAL CONSOLIDADA'!E60</f>
        <v>180547367</v>
      </c>
      <c r="Q60" s="452">
        <f>+'MATRIZ GENERAL CONSOLIDADA'!G60</f>
        <v>56625600</v>
      </c>
      <c r="R60" s="658">
        <f t="shared" si="6"/>
        <v>31.363293157302042</v>
      </c>
      <c r="S60" s="467"/>
    </row>
    <row r="61" spans="1:19" ht="56.25" customHeight="1">
      <c r="A61" s="61"/>
      <c r="B61" s="511" t="s">
        <v>409</v>
      </c>
      <c r="C61" s="474" t="s">
        <v>410</v>
      </c>
      <c r="D61" s="465">
        <f>+'MATRIZ GENERAL CONSOLIDADA'!L61</f>
        <v>2</v>
      </c>
      <c r="E61" s="465">
        <f>+'MATRIZ GENERAL CONSOLIDADA'!N61</f>
        <v>1</v>
      </c>
      <c r="F61" s="465">
        <f t="shared" si="13"/>
        <v>50</v>
      </c>
      <c r="G61" s="475"/>
      <c r="H61" s="452">
        <f>+(E61*100)/D61</f>
        <v>50</v>
      </c>
      <c r="I61" s="465">
        <f>+'MATRIZ GENERAL CONSOLIDADA'!D61</f>
        <v>8</v>
      </c>
      <c r="J61" s="452">
        <f>+'MATRIZ GENERAL CONSOLIDADA'!F61</f>
        <v>3</v>
      </c>
      <c r="K61" s="452">
        <f t="shared" si="14"/>
        <v>37.5</v>
      </c>
      <c r="L61" s="468"/>
      <c r="M61" s="452">
        <f>+'MATRIZ GENERAL CONSOLIDADA'!M61</f>
        <v>10000000</v>
      </c>
      <c r="N61" s="465">
        <f>+'MATRIZ GENERAL CONSOLIDADA'!O61</f>
        <v>0</v>
      </c>
      <c r="O61" s="452">
        <v>0</v>
      </c>
      <c r="P61" s="452">
        <f>+'MATRIZ GENERAL CONSOLIDADA'!E61</f>
        <v>53050000</v>
      </c>
      <c r="Q61" s="452">
        <f>+'MATRIZ GENERAL CONSOLIDADA'!G61</f>
        <v>0</v>
      </c>
      <c r="R61" s="658">
        <f t="shared" si="6"/>
        <v>0</v>
      </c>
      <c r="S61" s="467"/>
    </row>
    <row r="62" spans="1:19" ht="102" customHeight="1">
      <c r="A62" s="61"/>
      <c r="B62" s="501" t="s">
        <v>411</v>
      </c>
      <c r="C62" s="474" t="s">
        <v>410</v>
      </c>
      <c r="D62" s="465">
        <f>+'MATRIZ GENERAL CONSOLIDADA'!L62</f>
        <v>2</v>
      </c>
      <c r="E62" s="635">
        <f>+'MATRIZ GENERAL CONSOLIDADA'!N62</f>
        <v>0.5</v>
      </c>
      <c r="F62" s="465">
        <f t="shared" si="13"/>
        <v>25</v>
      </c>
      <c r="G62" s="475"/>
      <c r="H62" s="452">
        <f>+(E62*100)/D62</f>
        <v>25</v>
      </c>
      <c r="I62" s="465">
        <f>+'MATRIZ GENERAL CONSOLIDADA'!D62</f>
        <v>1.5</v>
      </c>
      <c r="J62" s="452">
        <f>+'MATRIZ GENERAL CONSOLIDADA'!F62</f>
        <v>0.375</v>
      </c>
      <c r="K62" s="452">
        <f t="shared" si="14"/>
        <v>25</v>
      </c>
      <c r="L62" s="468"/>
      <c r="M62" s="452">
        <f>+'MATRIZ GENERAL CONSOLIDADA'!M62</f>
        <v>1303441758</v>
      </c>
      <c r="N62" s="465">
        <f>+'MATRIZ GENERAL CONSOLIDADA'!O62</f>
        <v>30923200</v>
      </c>
      <c r="O62" s="452">
        <f>+N62/M62*100</f>
        <v>2.3724266780779319</v>
      </c>
      <c r="P62" s="452">
        <f>+'MATRIZ GENERAL CONSOLIDADA'!E62</f>
        <v>6497904275.75</v>
      </c>
      <c r="Q62" s="452">
        <f>+'MATRIZ GENERAL CONSOLIDADA'!G62</f>
        <v>4699834444</v>
      </c>
      <c r="R62" s="658">
        <f t="shared" si="6"/>
        <v>72.328465372130097</v>
      </c>
      <c r="S62" s="467"/>
    </row>
    <row r="63" spans="1:19" ht="56.25" customHeight="1">
      <c r="A63" s="61"/>
      <c r="B63" s="501" t="s">
        <v>532</v>
      </c>
      <c r="C63" s="474" t="s">
        <v>533</v>
      </c>
      <c r="D63" s="465">
        <f>+'MATRIZ GENERAL CONSOLIDADA'!L63</f>
        <v>0</v>
      </c>
      <c r="E63" s="465">
        <v>0</v>
      </c>
      <c r="F63" s="465" t="s">
        <v>538</v>
      </c>
      <c r="G63" s="465"/>
      <c r="H63" s="465" t="s">
        <v>538</v>
      </c>
      <c r="I63" s="465" t="s">
        <v>538</v>
      </c>
      <c r="J63" s="452" t="s">
        <v>538</v>
      </c>
      <c r="K63" s="452" t="s">
        <v>538</v>
      </c>
      <c r="L63" s="468"/>
      <c r="M63" s="452">
        <f>+'MATRIZ GENERAL CONSOLIDADA'!M63</f>
        <v>18120000</v>
      </c>
      <c r="N63" s="465">
        <f>+'MATRIZ GENERAL CONSOLIDADA'!O63</f>
        <v>14800459</v>
      </c>
      <c r="O63" s="452">
        <f>+N63/M63*100</f>
        <v>81.680237306843267</v>
      </c>
      <c r="P63" s="452">
        <f>+'MATRIZ GENERAL CONSOLIDADA'!E63</f>
        <v>75641263</v>
      </c>
      <c r="Q63" s="452">
        <f>+'MATRIZ GENERAL CONSOLIDADA'!G63</f>
        <v>32288298</v>
      </c>
      <c r="R63" s="658">
        <f t="shared" si="6"/>
        <v>42.686090527071187</v>
      </c>
      <c r="S63" s="467"/>
    </row>
    <row r="64" spans="1:19" ht="61.5" customHeight="1">
      <c r="A64" s="61"/>
      <c r="B64" s="398" t="s">
        <v>474</v>
      </c>
      <c r="C64" s="397"/>
      <c r="D64" s="396"/>
      <c r="E64" s="508"/>
      <c r="F64" s="478">
        <f>AVERAGE(F65:F68)</f>
        <v>9.1666666666666661</v>
      </c>
      <c r="G64" s="478"/>
      <c r="H64" s="478">
        <f>AVERAGE(H65:H68)</f>
        <v>9.1666666666666679</v>
      </c>
      <c r="I64" s="478">
        <f>AVERAGE(I65:I68)</f>
        <v>28.5</v>
      </c>
      <c r="J64" s="478">
        <f>AVERAGE(J65:J68)</f>
        <v>9.75</v>
      </c>
      <c r="K64" s="395">
        <f t="shared" ref="K64:K70" si="15">+(J64/I64)*100</f>
        <v>34.210526315789473</v>
      </c>
      <c r="L64" s="395"/>
      <c r="M64" s="512">
        <f>SUM(M65:M68)</f>
        <v>844183700</v>
      </c>
      <c r="N64" s="490">
        <f>SUM(N65:N68)</f>
        <v>17448750</v>
      </c>
      <c r="O64" s="395">
        <f>+N64/M64*100</f>
        <v>2.0669375634710789</v>
      </c>
      <c r="P64" s="395">
        <f>SUM(P65:P68)</f>
        <v>1990977933</v>
      </c>
      <c r="Q64" s="490">
        <f>SUM(Q65:Q68)</f>
        <v>141054920</v>
      </c>
      <c r="R64" s="490">
        <f t="shared" si="6"/>
        <v>7.084705343140536</v>
      </c>
      <c r="S64" s="467"/>
    </row>
    <row r="65" spans="1:19" ht="54.75" customHeight="1">
      <c r="A65" s="61"/>
      <c r="B65" s="462" t="s">
        <v>412</v>
      </c>
      <c r="C65" s="474" t="s">
        <v>1</v>
      </c>
      <c r="D65" s="465">
        <f>+'MATRIZ GENERAL CONSOLIDADA'!L65</f>
        <v>30</v>
      </c>
      <c r="E65" s="465">
        <f>+'MATRIZ GENERAL CONSOLIDADA'!N65</f>
        <v>5</v>
      </c>
      <c r="F65" s="465">
        <f t="shared" ref="F65:F115" si="16">+(E65/D65)*100</f>
        <v>16.666666666666664</v>
      </c>
      <c r="G65" s="475"/>
      <c r="H65" s="452">
        <f t="shared" ref="H65:H115" si="17">+(E65*100)/D65</f>
        <v>16.666666666666668</v>
      </c>
      <c r="I65" s="465">
        <f>+'MATRIZ GENERAL CONSOLIDADA'!D65</f>
        <v>100</v>
      </c>
      <c r="J65" s="452">
        <f>+'MATRIZ GENERAL CONSOLIDADA'!F65</f>
        <v>35</v>
      </c>
      <c r="K65" s="452">
        <f t="shared" si="15"/>
        <v>35</v>
      </c>
      <c r="L65" s="468"/>
      <c r="M65" s="452">
        <f>+'MATRIZ GENERAL CONSOLIDADA'!I65</f>
        <v>0</v>
      </c>
      <c r="N65" s="465">
        <f>+'MATRIZ GENERAL CONSOLIDADA'!K65</f>
        <v>0</v>
      </c>
      <c r="O65" s="452">
        <v>0</v>
      </c>
      <c r="P65" s="452">
        <f>+'MATRIZ GENERAL CONSOLIDADA'!E65</f>
        <v>0</v>
      </c>
      <c r="Q65" s="452">
        <f>+'MATRIZ GENERAL CONSOLIDADA'!G65</f>
        <v>0</v>
      </c>
      <c r="R65" s="658">
        <v>0</v>
      </c>
      <c r="S65" s="467"/>
    </row>
    <row r="66" spans="1:19" ht="66" customHeight="1">
      <c r="A66" s="61"/>
      <c r="B66" s="481" t="s">
        <v>414</v>
      </c>
      <c r="C66" s="463" t="s">
        <v>131</v>
      </c>
      <c r="D66" s="465">
        <f>+'MATRIZ GENERAL CONSOLIDADA'!L66</f>
        <v>2</v>
      </c>
      <c r="E66" s="465">
        <f>+'MATRIZ GENERAL CONSOLIDADA'!N66</f>
        <v>0</v>
      </c>
      <c r="F66" s="465">
        <f t="shared" si="16"/>
        <v>0</v>
      </c>
      <c r="G66" s="475"/>
      <c r="H66" s="452">
        <f t="shared" si="17"/>
        <v>0</v>
      </c>
      <c r="I66" s="465">
        <f>+'MATRIZ GENERAL CONSOLIDADA'!D66</f>
        <v>8</v>
      </c>
      <c r="J66" s="452">
        <f>+'MATRIZ GENERAL CONSOLIDADA'!F66</f>
        <v>2</v>
      </c>
      <c r="K66" s="452">
        <f t="shared" si="15"/>
        <v>25</v>
      </c>
      <c r="L66" s="468"/>
      <c r="M66" s="452">
        <f>+'MATRIZ GENERAL CONSOLIDADA'!M66</f>
        <v>150000000</v>
      </c>
      <c r="N66" s="465">
        <f>+'MATRIZ GENERAL CONSOLIDADA'!O66</f>
        <v>0</v>
      </c>
      <c r="O66" s="452">
        <v>0</v>
      </c>
      <c r="P66" s="452">
        <f>+'MATRIZ GENERAL CONSOLIDADA'!E66</f>
        <v>348000000</v>
      </c>
      <c r="Q66" s="452">
        <f>+'MATRIZ GENERAL CONSOLIDADA'!G66</f>
        <v>0</v>
      </c>
      <c r="R66" s="658">
        <f t="shared" si="6"/>
        <v>0</v>
      </c>
      <c r="S66" s="467"/>
    </row>
    <row r="67" spans="1:19" ht="56.25" customHeight="1">
      <c r="A67" s="61"/>
      <c r="B67" s="476" t="s">
        <v>415</v>
      </c>
      <c r="C67" s="474" t="s">
        <v>417</v>
      </c>
      <c r="D67" s="465">
        <f>+'MATRIZ GENERAL CONSOLIDADA'!L67</f>
        <v>1</v>
      </c>
      <c r="E67" s="635">
        <f>+'MATRIZ GENERAL CONSOLIDADA'!N67</f>
        <v>0.2</v>
      </c>
      <c r="F67" s="465">
        <f t="shared" si="16"/>
        <v>20</v>
      </c>
      <c r="G67" s="475"/>
      <c r="H67" s="452">
        <f t="shared" si="17"/>
        <v>20</v>
      </c>
      <c r="I67" s="465">
        <f>+'MATRIZ GENERAL CONSOLIDADA'!D67</f>
        <v>2</v>
      </c>
      <c r="J67" s="452">
        <f>+'MATRIZ GENERAL CONSOLIDADA'!F67</f>
        <v>1</v>
      </c>
      <c r="K67" s="452">
        <f t="shared" si="15"/>
        <v>50</v>
      </c>
      <c r="L67" s="468"/>
      <c r="M67" s="452">
        <f>+'MATRIZ GENERAL CONSOLIDADA'!M67</f>
        <v>80000000</v>
      </c>
      <c r="N67" s="465">
        <f>+'MATRIZ GENERAL CONSOLIDADA'!O67</f>
        <v>17448750</v>
      </c>
      <c r="O67" s="452">
        <v>0</v>
      </c>
      <c r="P67" s="452">
        <f>+'MATRIZ GENERAL CONSOLIDADA'!E67</f>
        <v>130200000</v>
      </c>
      <c r="Q67" s="452">
        <f>+'MATRIZ GENERAL CONSOLIDADA'!G67</f>
        <v>67648750</v>
      </c>
      <c r="R67" s="658">
        <f t="shared" si="6"/>
        <v>51.957565284178187</v>
      </c>
      <c r="S67" s="467"/>
    </row>
    <row r="68" spans="1:19" ht="80.25" customHeight="1" thickBot="1">
      <c r="A68" s="61"/>
      <c r="B68" s="476" t="s">
        <v>416</v>
      </c>
      <c r="C68" s="474" t="s">
        <v>131</v>
      </c>
      <c r="D68" s="465">
        <f>+'MATRIZ GENERAL CONSOLIDADA'!L68</f>
        <v>1</v>
      </c>
      <c r="E68" s="465">
        <f>+'MATRIZ GENERAL CONSOLIDADA'!N68</f>
        <v>0</v>
      </c>
      <c r="F68" s="465">
        <v>0</v>
      </c>
      <c r="G68" s="475"/>
      <c r="H68" s="452">
        <v>0</v>
      </c>
      <c r="I68" s="465">
        <f>+'MATRIZ GENERAL CONSOLIDADA'!D68</f>
        <v>4</v>
      </c>
      <c r="J68" s="452">
        <f>+'MATRIZ GENERAL CONSOLIDADA'!F68</f>
        <v>1</v>
      </c>
      <c r="K68" s="452">
        <f t="shared" si="15"/>
        <v>25</v>
      </c>
      <c r="L68" s="468"/>
      <c r="M68" s="452">
        <f>+'MATRIZ GENERAL CONSOLIDADA'!M68</f>
        <v>614183700</v>
      </c>
      <c r="N68" s="465">
        <f>+'MATRIZ GENERAL CONSOLIDADA'!O68</f>
        <v>0</v>
      </c>
      <c r="O68" s="452">
        <v>0</v>
      </c>
      <c r="P68" s="452">
        <f>+'MATRIZ GENERAL CONSOLIDADA'!E68</f>
        <v>1512777933</v>
      </c>
      <c r="Q68" s="452">
        <f>+'MATRIZ GENERAL CONSOLIDADA'!G68</f>
        <v>73406170</v>
      </c>
      <c r="R68" s="658">
        <f t="shared" si="6"/>
        <v>4.8524088300539745</v>
      </c>
      <c r="S68" s="467"/>
    </row>
    <row r="69" spans="1:19" ht="51" customHeight="1">
      <c r="A69" s="61"/>
      <c r="B69" s="491" t="s">
        <v>475</v>
      </c>
      <c r="C69" s="492"/>
      <c r="D69" s="495"/>
      <c r="E69" s="513"/>
      <c r="F69" s="494">
        <f>AVERAGE(F70)</f>
        <v>55.258258258258259</v>
      </c>
      <c r="G69" s="494"/>
      <c r="H69" s="494">
        <f>AVERAGE(H70)</f>
        <v>55.258258258258259</v>
      </c>
      <c r="I69" s="494">
        <f>AVERAGE(I70)</f>
        <v>55.333333333333336</v>
      </c>
      <c r="J69" s="494">
        <f>AVERAGE(J70)</f>
        <v>21.183333333333334</v>
      </c>
      <c r="K69" s="497">
        <f t="shared" si="15"/>
        <v>38.283132530120476</v>
      </c>
      <c r="L69" s="497"/>
      <c r="M69" s="514">
        <f>+M70</f>
        <v>2487631738.5</v>
      </c>
      <c r="N69" s="514">
        <f>+N70</f>
        <v>1762408628</v>
      </c>
      <c r="O69" s="497">
        <f>+N69/M69*100</f>
        <v>70.846846047345522</v>
      </c>
      <c r="P69" s="514">
        <f>+P70</f>
        <v>9709279040.1617985</v>
      </c>
      <c r="Q69" s="514">
        <f>+Q70</f>
        <v>3763074891</v>
      </c>
      <c r="R69" s="458">
        <f t="shared" si="6"/>
        <v>38.757510989583125</v>
      </c>
      <c r="S69" s="467"/>
    </row>
    <row r="70" spans="1:19" ht="63.75" customHeight="1">
      <c r="A70" s="61"/>
      <c r="B70" s="398" t="s">
        <v>476</v>
      </c>
      <c r="C70" s="507"/>
      <c r="D70" s="480"/>
      <c r="E70" s="508"/>
      <c r="F70" s="478">
        <f>AVERAGE(F71:F85)</f>
        <v>55.258258258258259</v>
      </c>
      <c r="G70" s="478"/>
      <c r="H70" s="478">
        <f>AVERAGE(H71:H85)</f>
        <v>55.258258258258259</v>
      </c>
      <c r="I70" s="478">
        <f>AVERAGE(I71:I85)</f>
        <v>55.333333333333336</v>
      </c>
      <c r="J70" s="478">
        <f>AVERAGE(J71:J85)</f>
        <v>21.183333333333334</v>
      </c>
      <c r="K70" s="395">
        <f t="shared" si="15"/>
        <v>38.283132530120476</v>
      </c>
      <c r="L70" s="395"/>
      <c r="M70" s="393">
        <f>SUM(M71:M86)</f>
        <v>2487631738.5</v>
      </c>
      <c r="N70" s="490">
        <f>SUM(N71:N86)</f>
        <v>1762408628</v>
      </c>
      <c r="O70" s="395">
        <f>+N70/M70*100</f>
        <v>70.846846047345522</v>
      </c>
      <c r="P70" s="393">
        <f>SUM(P71:P86)</f>
        <v>9709279040.1617985</v>
      </c>
      <c r="Q70" s="490">
        <f>SUM(Q71:Q86)</f>
        <v>3763074891</v>
      </c>
      <c r="R70" s="395">
        <f t="shared" si="6"/>
        <v>38.757510989583125</v>
      </c>
      <c r="S70" s="467"/>
    </row>
    <row r="71" spans="1:19" ht="93" customHeight="1">
      <c r="A71" s="61"/>
      <c r="B71" s="462" t="s">
        <v>419</v>
      </c>
      <c r="C71" s="474" t="s">
        <v>181</v>
      </c>
      <c r="D71" s="465">
        <f>+'MATRIZ GENERAL CONSOLIDADA'!L71</f>
        <v>100</v>
      </c>
      <c r="E71" s="636">
        <f>+'MATRIZ GENERAL CONSOLIDADA'!N71</f>
        <v>50</v>
      </c>
      <c r="F71" s="465">
        <f>+(E71/D71)*100</f>
        <v>50</v>
      </c>
      <c r="G71" s="475"/>
      <c r="H71" s="452">
        <f t="shared" si="17"/>
        <v>50</v>
      </c>
      <c r="I71" s="465">
        <f>+'MATRIZ GENERAL CONSOLIDADA'!D71</f>
        <v>100</v>
      </c>
      <c r="J71" s="452">
        <f>+'MATRIZ GENERAL CONSOLIDADA'!F71</f>
        <v>37.5</v>
      </c>
      <c r="K71" s="452">
        <f t="shared" ref="K71:K85" si="18">+(J71/I71)*100</f>
        <v>37.5</v>
      </c>
      <c r="L71" s="468"/>
      <c r="M71" s="452">
        <f>+'MATRIZ GENERAL CONSOLIDADA'!M71</f>
        <v>0</v>
      </c>
      <c r="N71" s="465">
        <f>+'MATRIZ GENERAL CONSOLIDADA'!K71</f>
        <v>0</v>
      </c>
      <c r="O71" s="452">
        <v>0</v>
      </c>
      <c r="P71" s="452">
        <f>+'MATRIZ GENERAL CONSOLIDADA'!E71</f>
        <v>0</v>
      </c>
      <c r="Q71" s="452">
        <f>+'MATRIZ GENERAL CONSOLIDADA'!G71</f>
        <v>0</v>
      </c>
      <c r="R71" s="658">
        <v>0</v>
      </c>
      <c r="S71" s="467"/>
    </row>
    <row r="72" spans="1:19" ht="66.75" customHeight="1">
      <c r="A72" s="61"/>
      <c r="B72" s="473" t="s">
        <v>420</v>
      </c>
      <c r="C72" s="474" t="s">
        <v>181</v>
      </c>
      <c r="D72" s="465">
        <f>+'MATRIZ GENERAL CONSOLIDADA'!L72</f>
        <v>100</v>
      </c>
      <c r="E72" s="636">
        <f>+'MATRIZ GENERAL CONSOLIDADA'!N72</f>
        <v>50</v>
      </c>
      <c r="F72" s="465">
        <f t="shared" si="16"/>
        <v>50</v>
      </c>
      <c r="G72" s="475"/>
      <c r="H72" s="452">
        <f t="shared" si="17"/>
        <v>50</v>
      </c>
      <c r="I72" s="465">
        <f>+'MATRIZ GENERAL CONSOLIDADA'!D72</f>
        <v>100</v>
      </c>
      <c r="J72" s="452">
        <f>+'MATRIZ GENERAL CONSOLIDADA'!F72</f>
        <v>37.5</v>
      </c>
      <c r="K72" s="452">
        <f t="shared" si="18"/>
        <v>37.5</v>
      </c>
      <c r="L72" s="468"/>
      <c r="M72" s="452">
        <f>+'MATRIZ GENERAL CONSOLIDADA'!M72</f>
        <v>0</v>
      </c>
      <c r="N72" s="465">
        <f>+'MATRIZ GENERAL CONSOLIDADA'!O72</f>
        <v>0</v>
      </c>
      <c r="O72" s="452">
        <v>0</v>
      </c>
      <c r="P72" s="452">
        <f>+'MATRIZ GENERAL CONSOLIDADA'!E72</f>
        <v>40432017.640000001</v>
      </c>
      <c r="Q72" s="452">
        <f>+'MATRIZ GENERAL CONSOLIDADA'!G72</f>
        <v>13432564</v>
      </c>
      <c r="R72" s="658">
        <f t="shared" si="6"/>
        <v>33.222591362126245</v>
      </c>
      <c r="S72" s="467"/>
    </row>
    <row r="73" spans="1:19" ht="111" customHeight="1">
      <c r="A73" s="61"/>
      <c r="B73" s="473" t="s">
        <v>421</v>
      </c>
      <c r="C73" s="474" t="s">
        <v>181</v>
      </c>
      <c r="D73" s="465">
        <f>+'MATRIZ GENERAL CONSOLIDADA'!L73</f>
        <v>100</v>
      </c>
      <c r="E73" s="636">
        <f>+'MATRIZ GENERAL CONSOLIDADA'!N73</f>
        <v>50</v>
      </c>
      <c r="F73" s="465">
        <f t="shared" si="16"/>
        <v>50</v>
      </c>
      <c r="G73" s="475"/>
      <c r="H73" s="452">
        <f t="shared" si="17"/>
        <v>50</v>
      </c>
      <c r="I73" s="465">
        <f>+'MATRIZ GENERAL CONSOLIDADA'!D73</f>
        <v>100</v>
      </c>
      <c r="J73" s="452">
        <f>+'MATRIZ GENERAL CONSOLIDADA'!F73</f>
        <v>37.5</v>
      </c>
      <c r="K73" s="452">
        <f t="shared" si="18"/>
        <v>37.5</v>
      </c>
      <c r="L73" s="468"/>
      <c r="M73" s="452">
        <f>+'MATRIZ GENERAL CONSOLIDADA'!M73</f>
        <v>0</v>
      </c>
      <c r="N73" s="465">
        <f>+'MATRIZ GENERAL CONSOLIDADA'!K73</f>
        <v>0</v>
      </c>
      <c r="O73" s="452">
        <v>0</v>
      </c>
      <c r="P73" s="452">
        <f>+'MATRIZ GENERAL CONSOLIDADA'!E73</f>
        <v>0</v>
      </c>
      <c r="Q73" s="452">
        <f>+'MATRIZ GENERAL CONSOLIDADA'!G73</f>
        <v>0</v>
      </c>
      <c r="R73" s="658">
        <v>0</v>
      </c>
      <c r="S73" s="467"/>
    </row>
    <row r="74" spans="1:19" ht="83.25" customHeight="1">
      <c r="A74" s="61"/>
      <c r="B74" s="462" t="s">
        <v>422</v>
      </c>
      <c r="C74" s="474" t="s">
        <v>181</v>
      </c>
      <c r="D74" s="465">
        <f>+'MATRIZ GENERAL CONSOLIDADA'!L74</f>
        <v>100</v>
      </c>
      <c r="E74" s="636">
        <f>+'MATRIZ GENERAL CONSOLIDADA'!N74</f>
        <v>69</v>
      </c>
      <c r="F74" s="465">
        <f t="shared" si="16"/>
        <v>69</v>
      </c>
      <c r="G74" s="475"/>
      <c r="H74" s="452">
        <f t="shared" si="17"/>
        <v>69</v>
      </c>
      <c r="I74" s="465">
        <f>+'MATRIZ GENERAL CONSOLIDADA'!D74</f>
        <v>100</v>
      </c>
      <c r="J74" s="452">
        <f>+'MATRIZ GENERAL CONSOLIDADA'!F74</f>
        <v>42.25</v>
      </c>
      <c r="K74" s="452">
        <f t="shared" si="18"/>
        <v>42.25</v>
      </c>
      <c r="L74" s="468"/>
      <c r="M74" s="452">
        <f>+'MATRIZ GENERAL CONSOLIDADA'!M74</f>
        <v>592854618</v>
      </c>
      <c r="N74" s="465">
        <f>+'MATRIZ GENERAL CONSOLIDADA'!O74</f>
        <v>510705412</v>
      </c>
      <c r="O74" s="452">
        <f>+N74/M74*100</f>
        <v>86.143448409471617</v>
      </c>
      <c r="P74" s="452">
        <f>+'MATRIZ GENERAL CONSOLIDADA'!E74</f>
        <v>2715178688</v>
      </c>
      <c r="Q74" s="452">
        <f>+'MATRIZ GENERAL CONSOLIDADA'!G74</f>
        <v>881866069</v>
      </c>
      <c r="R74" s="658">
        <f t="shared" si="6"/>
        <v>32.479117227072166</v>
      </c>
      <c r="S74" s="467"/>
    </row>
    <row r="75" spans="1:19" ht="93.75" customHeight="1">
      <c r="A75" s="61"/>
      <c r="B75" s="462" t="s">
        <v>423</v>
      </c>
      <c r="C75" s="474" t="s">
        <v>508</v>
      </c>
      <c r="D75" s="465">
        <f>+'MATRIZ GENERAL CONSOLIDADA'!L75</f>
        <v>60</v>
      </c>
      <c r="E75" s="636">
        <f>+'MATRIZ GENERAL CONSOLIDADA'!N75</f>
        <v>60</v>
      </c>
      <c r="F75" s="465">
        <f t="shared" si="16"/>
        <v>100</v>
      </c>
      <c r="G75" s="475"/>
      <c r="H75" s="452">
        <f t="shared" si="17"/>
        <v>100</v>
      </c>
      <c r="I75" s="465">
        <f>+'MATRIZ GENERAL CONSOLIDADA'!D75</f>
        <v>60</v>
      </c>
      <c r="J75" s="452">
        <f>+'MATRIZ GENERAL CONSOLIDADA'!F75</f>
        <v>30</v>
      </c>
      <c r="K75" s="452">
        <f t="shared" si="18"/>
        <v>50</v>
      </c>
      <c r="L75" s="468"/>
      <c r="M75" s="452">
        <f>+'MATRIZ GENERAL CONSOLIDADA'!M75</f>
        <v>0</v>
      </c>
      <c r="N75" s="465">
        <f>+'MATRIZ GENERAL CONSOLIDADA'!O75</f>
        <v>0</v>
      </c>
      <c r="O75" s="452">
        <v>0</v>
      </c>
      <c r="P75" s="452">
        <f>+'MATRIZ GENERAL CONSOLIDADA'!E75</f>
        <v>0</v>
      </c>
      <c r="Q75" s="452">
        <f>+'MATRIZ GENERAL CONSOLIDADA'!G75</f>
        <v>0</v>
      </c>
      <c r="R75" s="658">
        <v>0</v>
      </c>
      <c r="S75" s="467"/>
    </row>
    <row r="76" spans="1:19" ht="51.75" customHeight="1">
      <c r="A76" s="61"/>
      <c r="B76" s="462" t="s">
        <v>424</v>
      </c>
      <c r="C76" s="474" t="s">
        <v>181</v>
      </c>
      <c r="D76" s="465">
        <f>+'MATRIZ GENERAL CONSOLIDADA'!L76</f>
        <v>25</v>
      </c>
      <c r="E76" s="636">
        <f>+'MATRIZ GENERAL CONSOLIDADA'!N76</f>
        <v>18</v>
      </c>
      <c r="F76" s="465">
        <f t="shared" si="16"/>
        <v>72</v>
      </c>
      <c r="G76" s="515"/>
      <c r="H76" s="452">
        <f>+(E76*100)/D76</f>
        <v>72</v>
      </c>
      <c r="I76" s="465">
        <f>+'MATRIZ GENERAL CONSOLIDADA'!D76</f>
        <v>35</v>
      </c>
      <c r="J76" s="452">
        <f>+'MATRIZ GENERAL CONSOLIDADA'!F76</f>
        <v>9.5</v>
      </c>
      <c r="K76" s="452">
        <f>+(J76/I76)*100</f>
        <v>27.142857142857142</v>
      </c>
      <c r="L76" s="58"/>
      <c r="M76" s="452">
        <f>+'MATRIZ GENERAL CONSOLIDADA'!M76</f>
        <v>0</v>
      </c>
      <c r="N76" s="465">
        <f>+'MATRIZ GENERAL CONSOLIDADA'!O76</f>
        <v>0</v>
      </c>
      <c r="O76" s="452">
        <v>0</v>
      </c>
      <c r="P76" s="452">
        <f>+'MATRIZ GENERAL CONSOLIDADA'!E76</f>
        <v>0</v>
      </c>
      <c r="Q76" s="452">
        <f>+'MATRIZ GENERAL CONSOLIDADA'!G76</f>
        <v>0</v>
      </c>
      <c r="R76" s="658">
        <v>0</v>
      </c>
      <c r="S76" s="467"/>
    </row>
    <row r="77" spans="1:19" ht="56.25" customHeight="1">
      <c r="A77" s="61"/>
      <c r="B77" s="469" t="s">
        <v>425</v>
      </c>
      <c r="C77" s="474" t="s">
        <v>181</v>
      </c>
      <c r="D77" s="465">
        <f>+'MATRIZ GENERAL CONSOLIDADA'!L77</f>
        <v>100</v>
      </c>
      <c r="E77" s="636">
        <f>+'MATRIZ GENERAL CONSOLIDADA'!N77</f>
        <v>64</v>
      </c>
      <c r="F77" s="465">
        <f t="shared" si="16"/>
        <v>64</v>
      </c>
      <c r="G77" s="475"/>
      <c r="H77" s="452">
        <f t="shared" si="17"/>
        <v>64</v>
      </c>
      <c r="I77" s="465">
        <f>+'MATRIZ GENERAL CONSOLIDADA'!D77</f>
        <v>100</v>
      </c>
      <c r="J77" s="452">
        <f>+'MATRIZ GENERAL CONSOLIDADA'!F77</f>
        <v>41</v>
      </c>
      <c r="K77" s="452">
        <f t="shared" si="18"/>
        <v>41</v>
      </c>
      <c r="L77" s="468"/>
      <c r="M77" s="452">
        <f>+'MATRIZ GENERAL CONSOLIDADA'!M77</f>
        <v>75011224.5</v>
      </c>
      <c r="N77" s="465">
        <f>+'MATRIZ GENERAL CONSOLIDADA'!O77</f>
        <v>40133394</v>
      </c>
      <c r="O77" s="452">
        <f>+N77/M77*100</f>
        <v>53.503184713375795</v>
      </c>
      <c r="P77" s="452">
        <f>+'MATRIZ GENERAL CONSOLIDADA'!E77</f>
        <v>294105985.745</v>
      </c>
      <c r="Q77" s="452">
        <f>+'MATRIZ GENERAL CONSOLIDADA'!G77</f>
        <v>108455594</v>
      </c>
      <c r="R77" s="658">
        <f t="shared" si="6"/>
        <v>36.87636405130317</v>
      </c>
      <c r="S77" s="467"/>
    </row>
    <row r="78" spans="1:19" ht="120.75" customHeight="1">
      <c r="A78" s="61"/>
      <c r="B78" s="483" t="s">
        <v>426</v>
      </c>
      <c r="C78" s="474" t="s">
        <v>183</v>
      </c>
      <c r="D78" s="465">
        <f>+'MATRIZ GENERAL CONSOLIDADA'!L78</f>
        <v>1</v>
      </c>
      <c r="E78" s="636">
        <f>+'MATRIZ GENERAL CONSOLIDADA'!N78</f>
        <v>0.5</v>
      </c>
      <c r="F78" s="465">
        <f t="shared" si="16"/>
        <v>50</v>
      </c>
      <c r="G78" s="475"/>
      <c r="H78" s="452">
        <f t="shared" si="17"/>
        <v>50</v>
      </c>
      <c r="I78" s="465">
        <f>+'MATRIZ GENERAL CONSOLIDADA'!D78</f>
        <v>1</v>
      </c>
      <c r="J78" s="452">
        <f>+'MATRIZ GENERAL CONSOLIDADA'!F78</f>
        <v>0.375</v>
      </c>
      <c r="K78" s="452">
        <v>25</v>
      </c>
      <c r="L78" s="468"/>
      <c r="M78" s="452">
        <f>+'MATRIZ GENERAL CONSOLIDADA'!M78</f>
        <v>1258440728</v>
      </c>
      <c r="N78" s="465">
        <f>+'MATRIZ GENERAL CONSOLIDADA'!O78</f>
        <v>928090253</v>
      </c>
      <c r="O78" s="452">
        <f>+N78/M78*100</f>
        <v>73.749222537877046</v>
      </c>
      <c r="P78" s="452">
        <f>+'MATRIZ GENERAL CONSOLIDADA'!E78</f>
        <v>4539340050.2749996</v>
      </c>
      <c r="Q78" s="452">
        <f>+'MATRIZ GENERAL CONSOLIDADA'!G78</f>
        <v>1907348794</v>
      </c>
      <c r="R78" s="658">
        <f t="shared" si="6"/>
        <v>42.018195880356004</v>
      </c>
      <c r="S78" s="467"/>
    </row>
    <row r="79" spans="1:19" ht="52.5" customHeight="1">
      <c r="A79" s="61"/>
      <c r="B79" s="483" t="s">
        <v>427</v>
      </c>
      <c r="C79" s="474" t="s">
        <v>428</v>
      </c>
      <c r="D79" s="465">
        <f>+'MATRIZ GENERAL CONSOLIDADA'!L79</f>
        <v>1</v>
      </c>
      <c r="E79" s="636">
        <f>+'MATRIZ GENERAL CONSOLIDADA'!N79</f>
        <v>0.5</v>
      </c>
      <c r="F79" s="465">
        <f t="shared" si="16"/>
        <v>50</v>
      </c>
      <c r="G79" s="475"/>
      <c r="H79" s="452">
        <f t="shared" si="17"/>
        <v>50</v>
      </c>
      <c r="I79" s="465">
        <f>+'MATRIZ GENERAL CONSOLIDADA'!D79</f>
        <v>4</v>
      </c>
      <c r="J79" s="452">
        <f>+'MATRIZ GENERAL CONSOLIDADA'!F79</f>
        <v>1.5</v>
      </c>
      <c r="K79" s="452">
        <f t="shared" si="18"/>
        <v>37.5</v>
      </c>
      <c r="L79" s="468"/>
      <c r="M79" s="452">
        <f>+'MATRIZ GENERAL CONSOLIDADA'!M79</f>
        <v>33000000</v>
      </c>
      <c r="N79" s="465">
        <f>+'MATRIZ GENERAL CONSOLIDADA'!O79</f>
        <v>23414050</v>
      </c>
      <c r="O79" s="452">
        <v>0</v>
      </c>
      <c r="P79" s="452">
        <f>+'MATRIZ GENERAL CONSOLIDADA'!E79</f>
        <v>282158000</v>
      </c>
      <c r="Q79" s="452">
        <f>+'MATRIZ GENERAL CONSOLIDADA'!G79</f>
        <v>206111592</v>
      </c>
      <c r="R79" s="658">
        <f t="shared" si="6"/>
        <v>73.04828925637409</v>
      </c>
      <c r="S79" s="467"/>
    </row>
    <row r="80" spans="1:19" ht="38.25" customHeight="1">
      <c r="A80" s="61"/>
      <c r="B80" s="501" t="s">
        <v>429</v>
      </c>
      <c r="C80" s="474" t="s">
        <v>183</v>
      </c>
      <c r="D80" s="465">
        <f>+'MATRIZ GENERAL CONSOLIDADA'!L80</f>
        <v>1</v>
      </c>
      <c r="E80" s="636">
        <f>+'MATRIZ GENERAL CONSOLIDADA'!N80</f>
        <v>0.5</v>
      </c>
      <c r="F80" s="465">
        <f t="shared" si="16"/>
        <v>50</v>
      </c>
      <c r="G80" s="475"/>
      <c r="H80" s="452">
        <f t="shared" si="17"/>
        <v>50</v>
      </c>
      <c r="I80" s="465">
        <f>+'MATRIZ GENERAL CONSOLIDADA'!D80</f>
        <v>1</v>
      </c>
      <c r="J80" s="452">
        <f>+'MATRIZ GENERAL CONSOLIDADA'!F80</f>
        <v>0.375</v>
      </c>
      <c r="K80" s="452">
        <f t="shared" si="18"/>
        <v>37.5</v>
      </c>
      <c r="L80" s="468"/>
      <c r="M80" s="452">
        <f>+'MATRIZ GENERAL CONSOLIDADA'!M80</f>
        <v>33000000</v>
      </c>
      <c r="N80" s="465">
        <f>+'MATRIZ GENERAL CONSOLIDADA'!O80</f>
        <v>0</v>
      </c>
      <c r="O80" s="452">
        <f>+N80/M80*100</f>
        <v>0</v>
      </c>
      <c r="P80" s="452">
        <f>+'MATRIZ GENERAL CONSOLIDADA'!E80</f>
        <v>138586400</v>
      </c>
      <c r="Q80" s="452">
        <f>+'MATRIZ GENERAL CONSOLIDADA'!G80</f>
        <v>39256400</v>
      </c>
      <c r="R80" s="658">
        <f t="shared" si="6"/>
        <v>28.326300416202454</v>
      </c>
      <c r="S80" s="467"/>
    </row>
    <row r="81" spans="1:19" ht="96" customHeight="1">
      <c r="A81" s="61"/>
      <c r="B81" s="483" t="s">
        <v>430</v>
      </c>
      <c r="C81" s="474" t="s">
        <v>193</v>
      </c>
      <c r="D81" s="465">
        <f>+'MATRIZ GENERAL CONSOLIDADA'!L81</f>
        <v>1</v>
      </c>
      <c r="E81" s="636">
        <f>+'MATRIZ GENERAL CONSOLIDADA'!N81</f>
        <v>0.5</v>
      </c>
      <c r="F81" s="465">
        <f t="shared" si="16"/>
        <v>50</v>
      </c>
      <c r="G81" s="475"/>
      <c r="H81" s="452">
        <f t="shared" si="17"/>
        <v>50</v>
      </c>
      <c r="I81" s="465">
        <f>+'MATRIZ GENERAL CONSOLIDADA'!D81</f>
        <v>1</v>
      </c>
      <c r="J81" s="452">
        <f>+'MATRIZ GENERAL CONSOLIDADA'!F81</f>
        <v>0.375</v>
      </c>
      <c r="K81" s="452">
        <f t="shared" si="18"/>
        <v>37.5</v>
      </c>
      <c r="L81" s="468"/>
      <c r="M81" s="452">
        <f>+'MATRIZ GENERAL CONSOLIDADA'!M81</f>
        <v>283617734</v>
      </c>
      <c r="N81" s="465">
        <f>+'MATRIZ GENERAL CONSOLIDADA'!O81</f>
        <v>107680156</v>
      </c>
      <c r="O81" s="452">
        <f>+N81/M81*100</f>
        <v>37.966651267300513</v>
      </c>
      <c r="P81" s="452">
        <f>+'MATRIZ GENERAL CONSOLIDADA'!E81</f>
        <v>913959801.70179987</v>
      </c>
      <c r="Q81" s="452">
        <f>+'MATRIZ GENERAL CONSOLIDADA'!G81</f>
        <v>273566696</v>
      </c>
      <c r="R81" s="658">
        <f t="shared" si="6"/>
        <v>29.932027151589907</v>
      </c>
      <c r="S81" s="467"/>
    </row>
    <row r="82" spans="1:19" ht="117" customHeight="1">
      <c r="A82" s="61"/>
      <c r="B82" s="501" t="s">
        <v>431</v>
      </c>
      <c r="C82" s="474" t="s">
        <v>1</v>
      </c>
      <c r="D82" s="465">
        <f>+'MATRIZ GENERAL CONSOLIDADA'!L82</f>
        <v>100</v>
      </c>
      <c r="E82" s="636">
        <f>+'MATRIZ GENERAL CONSOLIDADA'!N82</f>
        <v>10</v>
      </c>
      <c r="F82" s="465">
        <f t="shared" si="16"/>
        <v>10</v>
      </c>
      <c r="G82" s="475"/>
      <c r="H82" s="452">
        <f t="shared" si="17"/>
        <v>10</v>
      </c>
      <c r="I82" s="465">
        <f>+'MATRIZ GENERAL CONSOLIDADA'!D82</f>
        <v>100</v>
      </c>
      <c r="J82" s="452">
        <f>+'MATRIZ GENERAL CONSOLIDADA'!F82</f>
        <v>27.5</v>
      </c>
      <c r="K82" s="452">
        <f t="shared" si="18"/>
        <v>27.500000000000004</v>
      </c>
      <c r="L82" s="468"/>
      <c r="M82" s="452">
        <f>+'MATRIZ GENERAL CONSOLIDADA'!M82</f>
        <v>20481600</v>
      </c>
      <c r="N82" s="465">
        <f>+'MATRIZ GENERAL CONSOLIDADA'!O82</f>
        <v>10843200</v>
      </c>
      <c r="O82" s="452">
        <v>0</v>
      </c>
      <c r="P82" s="452">
        <f>+'MATRIZ GENERAL CONSOLIDADA'!E82</f>
        <v>41810228.579999998</v>
      </c>
      <c r="Q82" s="452">
        <f>+'MATRIZ GENERAL CONSOLIDADA'!G82</f>
        <v>10843200</v>
      </c>
      <c r="R82" s="658">
        <f t="shared" si="6"/>
        <v>25.934323653008835</v>
      </c>
      <c r="S82" s="467"/>
    </row>
    <row r="83" spans="1:19" ht="60" customHeight="1">
      <c r="A83" s="61"/>
      <c r="B83" s="501" t="s">
        <v>432</v>
      </c>
      <c r="C83" s="474" t="s">
        <v>182</v>
      </c>
      <c r="D83" s="465">
        <f>+'MATRIZ GENERAL CONSOLIDADA'!L83</f>
        <v>37</v>
      </c>
      <c r="E83" s="636">
        <f>+'MATRIZ GENERAL CONSOLIDADA'!N83</f>
        <v>15</v>
      </c>
      <c r="F83" s="465">
        <f t="shared" si="16"/>
        <v>40.54054054054054</v>
      </c>
      <c r="G83" s="475"/>
      <c r="H83" s="452">
        <f t="shared" si="17"/>
        <v>40.54054054054054</v>
      </c>
      <c r="I83" s="465">
        <f>+'MATRIZ GENERAL CONSOLIDADA'!D83</f>
        <v>37</v>
      </c>
      <c r="J83" s="452">
        <f>+'MATRIZ GENERAL CONSOLIDADA'!F83</f>
        <v>13</v>
      </c>
      <c r="K83" s="452">
        <f t="shared" si="18"/>
        <v>35.135135135135137</v>
      </c>
      <c r="L83" s="468"/>
      <c r="M83" s="452">
        <f>+'MATRIZ GENERAL CONSOLIDADA'!M83</f>
        <v>20481600</v>
      </c>
      <c r="N83" s="465">
        <f>+'MATRIZ GENERAL CONSOLIDADA'!O83</f>
        <v>10843200</v>
      </c>
      <c r="O83" s="452">
        <v>0</v>
      </c>
      <c r="P83" s="452">
        <f>+'MATRIZ GENERAL CONSOLIDADA'!E83</f>
        <v>41810228.579999998</v>
      </c>
      <c r="Q83" s="452">
        <f>+'MATRIZ GENERAL CONSOLIDADA'!G83</f>
        <v>10843200</v>
      </c>
      <c r="R83" s="658">
        <f t="shared" si="6"/>
        <v>25.934323653008835</v>
      </c>
      <c r="S83" s="467"/>
    </row>
    <row r="84" spans="1:19" ht="60" customHeight="1">
      <c r="A84" s="61"/>
      <c r="B84" s="501" t="s">
        <v>0</v>
      </c>
      <c r="C84" s="516" t="s">
        <v>433</v>
      </c>
      <c r="D84" s="465">
        <f>+'MATRIZ GENERAL CONSOLIDADA'!L84</f>
        <v>1</v>
      </c>
      <c r="E84" s="636">
        <f>+'MATRIZ GENERAL CONSOLIDADA'!N84</f>
        <v>0.5</v>
      </c>
      <c r="F84" s="465">
        <f t="shared" si="16"/>
        <v>50</v>
      </c>
      <c r="G84" s="475"/>
      <c r="H84" s="452">
        <f t="shared" si="17"/>
        <v>50</v>
      </c>
      <c r="I84" s="465">
        <f>+'MATRIZ GENERAL CONSOLIDADA'!D84</f>
        <v>1</v>
      </c>
      <c r="J84" s="452">
        <f>+'MATRIZ GENERAL CONSOLIDADA'!F84</f>
        <v>0.375</v>
      </c>
      <c r="K84" s="452">
        <v>25</v>
      </c>
      <c r="L84" s="468"/>
      <c r="M84" s="452">
        <f>+'MATRIZ GENERAL CONSOLIDADA'!M84</f>
        <v>136639200</v>
      </c>
      <c r="N84" s="465">
        <f>+'MATRIZ GENERAL CONSOLIDADA'!O84</f>
        <v>109815763</v>
      </c>
      <c r="O84" s="452">
        <f>+N84/M84*100</f>
        <v>80.369149555910752</v>
      </c>
      <c r="P84" s="452">
        <f>+'MATRIZ GENERAL CONSOLIDADA'!E84</f>
        <v>523321800</v>
      </c>
      <c r="Q84" s="452">
        <f>+'MATRIZ GENERAL CONSOLIDADA'!G84</f>
        <v>252283363</v>
      </c>
      <c r="R84" s="658">
        <f t="shared" ref="R84:R117" si="19">+(Q84/P84)*100</f>
        <v>48.20807445820143</v>
      </c>
      <c r="S84" s="467"/>
    </row>
    <row r="85" spans="1:19" ht="30">
      <c r="A85" s="61"/>
      <c r="B85" s="501" t="s">
        <v>434</v>
      </c>
      <c r="C85" s="474" t="s">
        <v>1</v>
      </c>
      <c r="D85" s="465">
        <f>+'MATRIZ GENERAL CONSOLIDADA'!L85</f>
        <v>90</v>
      </c>
      <c r="E85" s="636">
        <f>+'MATRIZ GENERAL CONSOLIDADA'!N85</f>
        <v>66</v>
      </c>
      <c r="F85" s="465">
        <f t="shared" si="16"/>
        <v>73.333333333333329</v>
      </c>
      <c r="G85" s="475"/>
      <c r="H85" s="452">
        <f>+(E85*100)/D85</f>
        <v>73.333333333333329</v>
      </c>
      <c r="I85" s="465">
        <f>+'MATRIZ GENERAL CONSOLIDADA'!D85</f>
        <v>90</v>
      </c>
      <c r="J85" s="452">
        <f>+'MATRIZ GENERAL CONSOLIDADA'!F85</f>
        <v>39</v>
      </c>
      <c r="K85" s="452">
        <f t="shared" si="18"/>
        <v>43.333333333333336</v>
      </c>
      <c r="L85" s="468"/>
      <c r="M85" s="452">
        <f>+'MATRIZ GENERAL CONSOLIDADA'!M85</f>
        <v>34105034</v>
      </c>
      <c r="N85" s="465">
        <f>+'MATRIZ GENERAL CONSOLIDADA'!O85</f>
        <v>20883200</v>
      </c>
      <c r="O85" s="452">
        <v>0</v>
      </c>
      <c r="P85" s="452">
        <f>+'MATRIZ GENERAL CONSOLIDADA'!E85</f>
        <v>140307532.63999999</v>
      </c>
      <c r="Q85" s="452">
        <f>+'MATRIZ GENERAL CONSOLIDADA'!G85</f>
        <v>20883200</v>
      </c>
      <c r="R85" s="658">
        <f t="shared" si="19"/>
        <v>14.883876586713244</v>
      </c>
      <c r="S85" s="467"/>
    </row>
    <row r="86" spans="1:19" ht="105.75" customHeight="1" thickBot="1">
      <c r="A86" s="61"/>
      <c r="B86" s="501" t="s">
        <v>532</v>
      </c>
      <c r="C86" s="474" t="s">
        <v>533</v>
      </c>
      <c r="D86" s="465">
        <f>+'MATRIZ GENERAL CONSOLIDADA'!L86</f>
        <v>0</v>
      </c>
      <c r="E86" s="636">
        <f>+'MATRIZ GENERAL CONSOLIDADA'!N86</f>
        <v>0</v>
      </c>
      <c r="F86" s="465" t="s">
        <v>538</v>
      </c>
      <c r="G86" s="475"/>
      <c r="H86" s="452" t="s">
        <v>538</v>
      </c>
      <c r="I86" s="465" t="s">
        <v>538</v>
      </c>
      <c r="J86" s="452" t="s">
        <v>538</v>
      </c>
      <c r="K86" s="452" t="s">
        <v>538</v>
      </c>
      <c r="L86" s="468"/>
      <c r="M86" s="452">
        <f>+'MATRIZ GENERAL CONSOLIDADA'!M86</f>
        <v>0</v>
      </c>
      <c r="N86" s="465">
        <f>+'MATRIZ GENERAL CONSOLIDADA'!O86</f>
        <v>0</v>
      </c>
      <c r="O86" s="452" t="e">
        <f t="shared" ref="O86:O92" si="20">+N86/M86*100</f>
        <v>#DIV/0!</v>
      </c>
      <c r="P86" s="452">
        <f>+'MATRIZ GENERAL CONSOLIDADA'!E86</f>
        <v>38268307</v>
      </c>
      <c r="Q86" s="452">
        <f>+'MATRIZ GENERAL CONSOLIDADA'!G86</f>
        <v>38184219</v>
      </c>
      <c r="R86" s="658">
        <f t="shared" si="19"/>
        <v>99.780267258752787</v>
      </c>
      <c r="S86" s="467"/>
    </row>
    <row r="87" spans="1:19" ht="64.5" customHeight="1">
      <c r="A87" s="61"/>
      <c r="B87" s="517" t="s">
        <v>435</v>
      </c>
      <c r="C87" s="497"/>
      <c r="D87" s="518"/>
      <c r="E87" s="513"/>
      <c r="F87" s="496">
        <f>AVERAGE(F88,F95)</f>
        <v>40.666666666666664</v>
      </c>
      <c r="G87" s="496"/>
      <c r="H87" s="496">
        <f>AVERAGE(H88,H95)</f>
        <v>40.666666666666664</v>
      </c>
      <c r="I87" s="496">
        <f>AVERAGE(I88,I95)</f>
        <v>49.073750000000004</v>
      </c>
      <c r="J87" s="496">
        <f>AVERAGE(J88,J95)</f>
        <v>24.71665625</v>
      </c>
      <c r="K87" s="497">
        <f>+(J87/I87)*100</f>
        <v>50.366349117399821</v>
      </c>
      <c r="L87" s="497"/>
      <c r="M87" s="506">
        <f>+M88+M95</f>
        <v>2684364557</v>
      </c>
      <c r="N87" s="506">
        <f>+N88+N95</f>
        <v>365349781</v>
      </c>
      <c r="O87" s="497">
        <f>+N87/M87*100</f>
        <v>13.610289259976993</v>
      </c>
      <c r="P87" s="506">
        <f>+P88+P95</f>
        <v>7424340798.6000004</v>
      </c>
      <c r="Q87" s="506">
        <f>+Q88+Q102</f>
        <v>789070440</v>
      </c>
      <c r="R87" s="458">
        <f t="shared" si="19"/>
        <v>10.628154894893754</v>
      </c>
      <c r="S87" s="467"/>
    </row>
    <row r="88" spans="1:19" ht="93.75" customHeight="1">
      <c r="A88" s="61"/>
      <c r="B88" s="461" t="s">
        <v>514</v>
      </c>
      <c r="C88" s="507"/>
      <c r="D88" s="509">
        <v>0</v>
      </c>
      <c r="E88" s="508"/>
      <c r="F88" s="478">
        <f>AVERAGE(F89:F93)</f>
        <v>31.333333333333332</v>
      </c>
      <c r="G88" s="478"/>
      <c r="H88" s="478">
        <f>AVERAGE(H89:H93)</f>
        <v>31.333333333333332</v>
      </c>
      <c r="I88" s="478">
        <f>AVERAGE(I89:I93)</f>
        <v>65.400000000000006</v>
      </c>
      <c r="J88" s="478">
        <f>AVERAGE(J89:J93)</f>
        <v>33</v>
      </c>
      <c r="K88" s="395">
        <f>+(J88/I88)*100</f>
        <v>50.458715596330272</v>
      </c>
      <c r="L88" s="395"/>
      <c r="M88" s="393">
        <f>SUM(M89:M94)</f>
        <v>720000000</v>
      </c>
      <c r="N88" s="393">
        <f>SUM(N89:N94)</f>
        <v>191266955</v>
      </c>
      <c r="O88" s="395">
        <f t="shared" si="20"/>
        <v>26.564854861111108</v>
      </c>
      <c r="P88" s="480">
        <f>SUM(P89:P94)</f>
        <v>2193036399.5</v>
      </c>
      <c r="Q88" s="393">
        <f>SUM(Q89:Q94)</f>
        <v>617329212</v>
      </c>
      <c r="R88" s="395">
        <f t="shared" si="19"/>
        <v>28.149519640474168</v>
      </c>
      <c r="S88" s="664"/>
    </row>
    <row r="89" spans="1:19" ht="107.25" customHeight="1">
      <c r="A89" s="61"/>
      <c r="B89" s="519" t="s">
        <v>436</v>
      </c>
      <c r="C89" s="474" t="s">
        <v>181</v>
      </c>
      <c r="D89" s="465">
        <f>+'MATRIZ GENERAL CONSOLIDADA'!L89</f>
        <v>100</v>
      </c>
      <c r="E89" s="465">
        <f>+'MATRIZ GENERAL CONSOLIDADA'!N89</f>
        <v>60</v>
      </c>
      <c r="F89" s="465">
        <f>+(E89/D89)*100</f>
        <v>60</v>
      </c>
      <c r="G89" s="475"/>
      <c r="H89" s="452">
        <f>+(E89*100)/D89</f>
        <v>60</v>
      </c>
      <c r="I89" s="465">
        <f>+'MATRIZ GENERAL CONSOLIDADA'!D89</f>
        <v>100</v>
      </c>
      <c r="J89" s="452">
        <f>+'MATRIZ GENERAL CONSOLIDADA'!F89</f>
        <v>40</v>
      </c>
      <c r="K89" s="452">
        <f>+(J89/I89)*100</f>
        <v>40</v>
      </c>
      <c r="L89" s="468">
        <v>7.8316829177215525E-2</v>
      </c>
      <c r="M89" s="452">
        <f>+'MATRIZ GENERAL CONSOLIDADA'!M89</f>
        <v>109100000</v>
      </c>
      <c r="N89" s="465">
        <f>+'MATRIZ GENERAL CONSOLIDADA'!O89</f>
        <v>109092381</v>
      </c>
      <c r="O89" s="452">
        <f t="shared" si="20"/>
        <v>99.99301649862511</v>
      </c>
      <c r="P89" s="452">
        <f>+'MATRIZ GENERAL CONSOLIDADA'!E89</f>
        <v>323932977</v>
      </c>
      <c r="Q89" s="452">
        <f>+'MATRIZ GENERAL CONSOLIDADA'!G89</f>
        <v>109092381</v>
      </c>
      <c r="R89" s="658">
        <f t="shared" si="19"/>
        <v>33.677454518624081</v>
      </c>
      <c r="S89" s="467"/>
    </row>
    <row r="90" spans="1:19" ht="76.5" customHeight="1">
      <c r="A90" s="61"/>
      <c r="B90" s="471" t="s">
        <v>437</v>
      </c>
      <c r="C90" s="474" t="s">
        <v>181</v>
      </c>
      <c r="D90" s="465">
        <f>+'MATRIZ GENERAL CONSOLIDADA'!L90</f>
        <v>100</v>
      </c>
      <c r="E90" s="465">
        <f>+'MATRIZ GENERAL CONSOLIDADA'!N90</f>
        <v>80</v>
      </c>
      <c r="F90" s="465">
        <f t="shared" si="16"/>
        <v>80</v>
      </c>
      <c r="G90" s="475"/>
      <c r="H90" s="452">
        <f>+(E90*100)/D90</f>
        <v>80</v>
      </c>
      <c r="I90" s="465">
        <f>+'MATRIZ GENERAL CONSOLIDADA'!D90</f>
        <v>100</v>
      </c>
      <c r="J90" s="452">
        <f>+'MATRIZ GENERAL CONSOLIDADA'!F90</f>
        <v>45</v>
      </c>
      <c r="K90" s="452">
        <f t="shared" ref="K90:K99" si="21">+(J90/I90)*100</f>
        <v>45</v>
      </c>
      <c r="L90" s="468"/>
      <c r="M90" s="452">
        <f>+'MATRIZ GENERAL CONSOLIDADA'!M90</f>
        <v>47500000</v>
      </c>
      <c r="N90" s="465">
        <f>+'MATRIZ GENERAL CONSOLIDADA'!O90</f>
        <v>43674000</v>
      </c>
      <c r="O90" s="452">
        <f t="shared" si="20"/>
        <v>91.945263157894743</v>
      </c>
      <c r="P90" s="452">
        <f>+'MATRIZ GENERAL CONSOLIDADA'!E90</f>
        <v>257762487.5</v>
      </c>
      <c r="Q90" s="452">
        <f>+'MATRIZ GENERAL CONSOLIDADA'!G90</f>
        <v>152792666</v>
      </c>
      <c r="R90" s="658">
        <f t="shared" si="19"/>
        <v>59.27653301374972</v>
      </c>
      <c r="S90" s="467"/>
    </row>
    <row r="91" spans="1:19" ht="76.5" customHeight="1">
      <c r="A91" s="61"/>
      <c r="B91" s="471" t="s">
        <v>438</v>
      </c>
      <c r="C91" s="474" t="s">
        <v>1</v>
      </c>
      <c r="D91" s="465">
        <f>+'MATRIZ GENERAL CONSOLIDADA'!L91</f>
        <v>30</v>
      </c>
      <c r="E91" s="465">
        <f>+'MATRIZ GENERAL CONSOLIDADA'!N91</f>
        <v>5</v>
      </c>
      <c r="F91" s="465">
        <f t="shared" si="16"/>
        <v>16.666666666666664</v>
      </c>
      <c r="G91" s="475"/>
      <c r="H91" s="452">
        <f t="shared" si="17"/>
        <v>16.666666666666668</v>
      </c>
      <c r="I91" s="465">
        <f>+'MATRIZ GENERAL CONSOLIDADA'!D91</f>
        <v>100</v>
      </c>
      <c r="J91" s="452">
        <f>+'MATRIZ GENERAL CONSOLIDADA'!F91</f>
        <v>75</v>
      </c>
      <c r="K91" s="452">
        <f t="shared" si="21"/>
        <v>75</v>
      </c>
      <c r="L91" s="468"/>
      <c r="M91" s="452">
        <f>+'MATRIZ GENERAL CONSOLIDADA'!M91</f>
        <v>120000000</v>
      </c>
      <c r="N91" s="465">
        <f>+'MATRIZ GENERAL CONSOLIDADA'!O91</f>
        <v>0</v>
      </c>
      <c r="O91" s="452">
        <f t="shared" si="20"/>
        <v>0</v>
      </c>
      <c r="P91" s="452">
        <f>+'MATRIZ GENERAL CONSOLIDADA'!E91</f>
        <v>220000000</v>
      </c>
      <c r="Q91" s="452">
        <f>+'MATRIZ GENERAL CONSOLIDADA'!G91</f>
        <v>70451225</v>
      </c>
      <c r="R91" s="658">
        <f t="shared" si="19"/>
        <v>32.023284090909094</v>
      </c>
      <c r="S91" s="467"/>
    </row>
    <row r="92" spans="1:19" ht="87.75" customHeight="1">
      <c r="A92" s="61"/>
      <c r="B92" s="476" t="s">
        <v>439</v>
      </c>
      <c r="C92" s="474" t="s">
        <v>440</v>
      </c>
      <c r="D92" s="465">
        <f>+'MATRIZ GENERAL CONSOLIDADA'!L92</f>
        <v>8</v>
      </c>
      <c r="E92" s="465">
        <f>+'MATRIZ GENERAL CONSOLIDADA'!N92</f>
        <v>0</v>
      </c>
      <c r="F92" s="465">
        <f t="shared" si="16"/>
        <v>0</v>
      </c>
      <c r="G92" s="475"/>
      <c r="H92" s="452">
        <f t="shared" si="17"/>
        <v>0</v>
      </c>
      <c r="I92" s="465">
        <f>+'MATRIZ GENERAL CONSOLIDADA'!D92</f>
        <v>26</v>
      </c>
      <c r="J92" s="452">
        <f>+'MATRIZ GENERAL CONSOLIDADA'!F92</f>
        <v>5</v>
      </c>
      <c r="K92" s="452">
        <f>+(J92/I92)*100</f>
        <v>19.230769230769234</v>
      </c>
      <c r="L92" s="468"/>
      <c r="M92" s="452">
        <f>+'MATRIZ GENERAL CONSOLIDADA'!M92</f>
        <v>350000000</v>
      </c>
      <c r="N92" s="465">
        <f>+'MATRIZ GENERAL CONSOLIDADA'!O92</f>
        <v>0</v>
      </c>
      <c r="O92" s="452">
        <f t="shared" si="20"/>
        <v>0</v>
      </c>
      <c r="P92" s="452">
        <f>+'MATRIZ GENERAL CONSOLIDADA'!E92</f>
        <v>1076608700</v>
      </c>
      <c r="Q92" s="452">
        <f>+'MATRIZ GENERAL CONSOLIDADA'!G92</f>
        <v>221356634</v>
      </c>
      <c r="R92" s="658">
        <f t="shared" si="19"/>
        <v>20.560546649864524</v>
      </c>
      <c r="S92" s="467"/>
    </row>
    <row r="93" spans="1:19" ht="76.5" customHeight="1">
      <c r="A93" s="61"/>
      <c r="B93" s="511" t="s">
        <v>441</v>
      </c>
      <c r="C93" s="474" t="s">
        <v>528</v>
      </c>
      <c r="D93" s="465">
        <f>+'MATRIZ GENERAL CONSOLIDADA'!L93</f>
        <v>1</v>
      </c>
      <c r="E93" s="465">
        <f>+'MATRIZ GENERAL CONSOLIDADA'!N93</f>
        <v>0</v>
      </c>
      <c r="F93" s="465">
        <f t="shared" si="16"/>
        <v>0</v>
      </c>
      <c r="G93" s="475"/>
      <c r="H93" s="452">
        <v>0</v>
      </c>
      <c r="I93" s="465">
        <f>+'MATRIZ GENERAL CONSOLIDADA'!D93</f>
        <v>1</v>
      </c>
      <c r="J93" s="452">
        <f>+'MATRIZ GENERAL CONSOLIDADA'!F93</f>
        <v>0</v>
      </c>
      <c r="K93" s="452">
        <v>0</v>
      </c>
      <c r="L93" s="468"/>
      <c r="M93" s="452">
        <f>+'MATRIZ GENERAL CONSOLIDADA'!M93</f>
        <v>50000000</v>
      </c>
      <c r="N93" s="465">
        <f>+'MATRIZ GENERAL CONSOLIDADA'!O93</f>
        <v>0</v>
      </c>
      <c r="O93" s="452">
        <v>0</v>
      </c>
      <c r="P93" s="452">
        <f>+'MATRIZ GENERAL CONSOLIDADA'!E93</f>
        <v>150751250</v>
      </c>
      <c r="Q93" s="452">
        <f>+'MATRIZ GENERAL CONSOLIDADA'!G93</f>
        <v>0</v>
      </c>
      <c r="R93" s="658">
        <f t="shared" si="19"/>
        <v>0</v>
      </c>
      <c r="S93" s="467"/>
    </row>
    <row r="94" spans="1:19" ht="76.5" customHeight="1">
      <c r="A94" s="61"/>
      <c r="B94" s="501" t="s">
        <v>532</v>
      </c>
      <c r="C94" s="474" t="s">
        <v>533</v>
      </c>
      <c r="D94" s="465">
        <f>+'MATRIZ GENERAL CONSOLIDADA'!L94</f>
        <v>0</v>
      </c>
      <c r="E94" s="465">
        <f>+'MATRIZ GENERAL CONSOLIDADA'!N94</f>
        <v>0</v>
      </c>
      <c r="F94" s="465" t="s">
        <v>538</v>
      </c>
      <c r="G94" s="475"/>
      <c r="H94" s="452" t="s">
        <v>538</v>
      </c>
      <c r="I94" s="465" t="s">
        <v>538</v>
      </c>
      <c r="J94" s="452" t="s">
        <v>538</v>
      </c>
      <c r="K94" s="452" t="s">
        <v>538</v>
      </c>
      <c r="L94" s="468"/>
      <c r="M94" s="452">
        <f>+'MATRIZ GENERAL CONSOLIDADA'!M94</f>
        <v>43400000</v>
      </c>
      <c r="N94" s="465">
        <f>+'MATRIZ GENERAL CONSOLIDADA'!O94</f>
        <v>38500574</v>
      </c>
      <c r="O94" s="452">
        <f>+N94/M94*100</f>
        <v>88.710999999999999</v>
      </c>
      <c r="P94" s="452">
        <f>+'MATRIZ GENERAL CONSOLIDADA'!E94</f>
        <v>163980985</v>
      </c>
      <c r="Q94" s="452">
        <f>+'MATRIZ GENERAL CONSOLIDADA'!G94</f>
        <v>63636306</v>
      </c>
      <c r="R94" s="658">
        <f t="shared" si="19"/>
        <v>38.807125106609156</v>
      </c>
      <c r="S94" s="467"/>
    </row>
    <row r="95" spans="1:19" ht="79.5" customHeight="1">
      <c r="A95" s="61"/>
      <c r="B95" s="520" t="s">
        <v>537</v>
      </c>
      <c r="C95" s="507"/>
      <c r="D95" s="509">
        <v>0</v>
      </c>
      <c r="E95" s="508"/>
      <c r="F95" s="478">
        <f>AVERAGE(F96:F99)</f>
        <v>50</v>
      </c>
      <c r="G95" s="478"/>
      <c r="H95" s="478">
        <f>AVERAGE(H96:H99)</f>
        <v>50</v>
      </c>
      <c r="I95" s="755">
        <f>AVERAGE(I96:I100)</f>
        <v>32.747500000000002</v>
      </c>
      <c r="J95" s="755">
        <f>AVERAGE(J96:J100)</f>
        <v>16.4333125</v>
      </c>
      <c r="K95" s="395">
        <f>AVERAGE(K96:K99)</f>
        <v>68.75</v>
      </c>
      <c r="L95" s="395"/>
      <c r="M95" s="393">
        <f>SUM(M96:M99)</f>
        <v>1964364557</v>
      </c>
      <c r="N95" s="490">
        <f>SUM(N96:N99)</f>
        <v>174082826</v>
      </c>
      <c r="O95" s="395">
        <f>+N95/M95*100</f>
        <v>8.8620427089084366</v>
      </c>
      <c r="P95" s="480">
        <f>SUM(P96:P99)</f>
        <v>5231304399.1000004</v>
      </c>
      <c r="Q95" s="490">
        <f>SUM(Q96:Q99)</f>
        <v>2015317083</v>
      </c>
      <c r="R95" s="490">
        <f t="shared" si="19"/>
        <v>38.524179234278883</v>
      </c>
      <c r="S95" s="664"/>
    </row>
    <row r="96" spans="1:19" ht="79.5" customHeight="1">
      <c r="A96" s="61"/>
      <c r="B96" s="501" t="s">
        <v>442</v>
      </c>
      <c r="C96" s="474" t="s">
        <v>443</v>
      </c>
      <c r="D96" s="465">
        <f>+'MATRIZ GENERAL CONSOLIDADA'!L96</f>
        <v>1</v>
      </c>
      <c r="E96" s="635">
        <f>+'MATRIZ GENERAL CONSOLIDADA'!N96</f>
        <v>0.5</v>
      </c>
      <c r="F96" s="465">
        <f t="shared" si="16"/>
        <v>50</v>
      </c>
      <c r="G96" s="475"/>
      <c r="H96" s="452">
        <f t="shared" si="17"/>
        <v>50</v>
      </c>
      <c r="I96" s="465">
        <f>+'MATRIZ GENERAL CONSOLIDADA'!D96</f>
        <v>4</v>
      </c>
      <c r="J96" s="452">
        <f>+'MATRIZ GENERAL CONSOLIDADA'!F96</f>
        <v>1.5</v>
      </c>
      <c r="K96" s="452">
        <f t="shared" si="21"/>
        <v>37.5</v>
      </c>
      <c r="L96" s="468"/>
      <c r="M96" s="452">
        <f>+'MATRIZ GENERAL CONSOLIDADA'!M96</f>
        <v>587753222</v>
      </c>
      <c r="N96" s="465">
        <f>+'MATRIZ GENERAL CONSOLIDADA'!O96</f>
        <v>0</v>
      </c>
      <c r="O96" s="452">
        <f>+N96/M96*100</f>
        <v>0</v>
      </c>
      <c r="P96" s="452">
        <f>+'MATRIZ GENERAL CONSOLIDADA'!E96</f>
        <v>2199397622</v>
      </c>
      <c r="Q96" s="452">
        <f>+'MATRIZ GENERAL CONSOLIDADA'!G96</f>
        <v>1405282284</v>
      </c>
      <c r="R96" s="658">
        <f t="shared" si="19"/>
        <v>63.893962144149306</v>
      </c>
      <c r="S96" s="467"/>
    </row>
    <row r="97" spans="1:19" ht="79.5" customHeight="1">
      <c r="A97" s="61"/>
      <c r="B97" s="501" t="s">
        <v>444</v>
      </c>
      <c r="C97" s="474" t="s">
        <v>131</v>
      </c>
      <c r="D97" s="465">
        <f>+'MATRIZ GENERAL CONSOLIDADA'!L97</f>
        <v>1</v>
      </c>
      <c r="E97" s="635">
        <f>+'MATRIZ GENERAL CONSOLIDADA'!N97</f>
        <v>0.5</v>
      </c>
      <c r="F97" s="465">
        <f t="shared" si="16"/>
        <v>50</v>
      </c>
      <c r="G97" s="475"/>
      <c r="H97" s="452">
        <f t="shared" si="17"/>
        <v>50</v>
      </c>
      <c r="I97" s="465">
        <f>+'MATRIZ GENERAL CONSOLIDADA'!D97</f>
        <v>4</v>
      </c>
      <c r="J97" s="452">
        <f>+'MATRIZ GENERAL CONSOLIDADA'!F97</f>
        <v>1.5</v>
      </c>
      <c r="K97" s="452">
        <f t="shared" si="21"/>
        <v>37.5</v>
      </c>
      <c r="L97" s="468"/>
      <c r="M97" s="452">
        <f>+'MATRIZ GENERAL CONSOLIDADA'!M97</f>
        <v>200000000</v>
      </c>
      <c r="N97" s="465">
        <f>+'MATRIZ GENERAL CONSOLIDADA'!O97</f>
        <v>0</v>
      </c>
      <c r="O97" s="452">
        <v>0</v>
      </c>
      <c r="P97" s="452">
        <f>+'MATRIZ GENERAL CONSOLIDADA'!E97</f>
        <v>577713166</v>
      </c>
      <c r="Q97" s="452">
        <f>+'MATRIZ GENERAL CONSOLIDADA'!G97</f>
        <v>0</v>
      </c>
      <c r="R97" s="658">
        <f t="shared" si="19"/>
        <v>0</v>
      </c>
      <c r="S97" s="467"/>
    </row>
    <row r="98" spans="1:19" ht="79.5" customHeight="1">
      <c r="A98" s="61"/>
      <c r="B98" s="501" t="s">
        <v>445</v>
      </c>
      <c r="C98" s="474" t="s">
        <v>1</v>
      </c>
      <c r="D98" s="465">
        <f>+'MATRIZ GENERAL CONSOLIDADA'!L98</f>
        <v>20</v>
      </c>
      <c r="E98" s="465">
        <f>+'MATRIZ GENERAL CONSOLIDADA'!N98</f>
        <v>0</v>
      </c>
      <c r="F98" s="465">
        <f t="shared" si="16"/>
        <v>0</v>
      </c>
      <c r="G98" s="475"/>
      <c r="H98" s="452">
        <v>0</v>
      </c>
      <c r="I98" s="465">
        <f>+'MATRIZ GENERAL CONSOLIDADA'!D98</f>
        <v>100</v>
      </c>
      <c r="J98" s="452">
        <f>+'MATRIZ GENERAL CONSOLIDADA'!F98</f>
        <v>0</v>
      </c>
      <c r="K98" s="452">
        <v>0</v>
      </c>
      <c r="L98" s="468"/>
      <c r="M98" s="452">
        <f>+'MATRIZ GENERAL CONSOLIDADA'!M98</f>
        <v>849589382</v>
      </c>
      <c r="N98" s="465">
        <f>+'MATRIZ GENERAL CONSOLIDADA'!O98</f>
        <v>0</v>
      </c>
      <c r="O98" s="452">
        <v>0</v>
      </c>
      <c r="P98" s="452">
        <f>+'MATRIZ GENERAL CONSOLIDADA'!E98</f>
        <v>1275316058.0999999</v>
      </c>
      <c r="Q98" s="452">
        <f>+'MATRIZ GENERAL CONSOLIDADA'!G98</f>
        <v>100400000</v>
      </c>
      <c r="R98" s="658">
        <f t="shared" si="19"/>
        <v>7.8725582856361598</v>
      </c>
      <c r="S98" s="467"/>
    </row>
    <row r="99" spans="1:19" ht="79.5" customHeight="1">
      <c r="A99" s="61"/>
      <c r="B99" s="501" t="s">
        <v>446</v>
      </c>
      <c r="C99" s="474" t="s">
        <v>447</v>
      </c>
      <c r="D99" s="465">
        <f>+'MATRIZ GENERAL CONSOLIDADA'!L99</f>
        <v>38</v>
      </c>
      <c r="E99" s="465">
        <f>+'MATRIZ GENERAL CONSOLIDADA'!N99</f>
        <v>38</v>
      </c>
      <c r="F99" s="465">
        <f t="shared" si="16"/>
        <v>100</v>
      </c>
      <c r="G99" s="475"/>
      <c r="H99" s="452">
        <f t="shared" si="17"/>
        <v>100</v>
      </c>
      <c r="I99" s="465">
        <f>+'MATRIZ GENERAL CONSOLIDADA'!D99</f>
        <v>38</v>
      </c>
      <c r="J99" s="452">
        <f>+'MATRIZ GENERAL CONSOLIDADA'!F99</f>
        <v>76</v>
      </c>
      <c r="K99" s="452">
        <f t="shared" si="21"/>
        <v>200</v>
      </c>
      <c r="L99" s="468"/>
      <c r="M99" s="452">
        <f>+'MATRIZ GENERAL CONSOLIDADA'!M99</f>
        <v>327021953</v>
      </c>
      <c r="N99" s="465">
        <f>+'MATRIZ GENERAL CONSOLIDADA'!O99</f>
        <v>174082826</v>
      </c>
      <c r="O99" s="452">
        <f>+N99/M99*100</f>
        <v>53.232764468261863</v>
      </c>
      <c r="P99" s="452">
        <f>+'MATRIZ GENERAL CONSOLIDADA'!E99</f>
        <v>1178877553</v>
      </c>
      <c r="Q99" s="452">
        <f>+'MATRIZ GENERAL CONSOLIDADA'!G99</f>
        <v>509634799</v>
      </c>
      <c r="R99" s="658">
        <f t="shared" si="19"/>
        <v>43.230511744250677</v>
      </c>
      <c r="S99" s="467"/>
    </row>
    <row r="100" spans="1:19" ht="95.25" customHeight="1">
      <c r="A100" s="61"/>
      <c r="B100" s="491" t="s">
        <v>477</v>
      </c>
      <c r="C100" s="521"/>
      <c r="D100" s="492"/>
      <c r="E100" s="513"/>
      <c r="F100" s="494">
        <f>AVERAGE(F101,F111)</f>
        <v>47.55952380952381</v>
      </c>
      <c r="G100" s="494"/>
      <c r="H100" s="494">
        <f>AVERAGE(H101,H111)</f>
        <v>47.55952380952381</v>
      </c>
      <c r="I100" s="494">
        <f>AVERAGE(I101,I111)</f>
        <v>17.737500000000001</v>
      </c>
      <c r="J100" s="494">
        <f>AVERAGE(J101,J111)</f>
        <v>3.1665625000000004</v>
      </c>
      <c r="K100" s="497">
        <f>+(J100/I100)*100</f>
        <v>17.852360817477098</v>
      </c>
      <c r="L100" s="497"/>
      <c r="M100" s="518">
        <f>+M101+M111</f>
        <v>3602400893</v>
      </c>
      <c r="N100" s="496">
        <f>+N101+N111</f>
        <v>1760947716</v>
      </c>
      <c r="O100" s="497">
        <f>+(N100/M100)*100</f>
        <v>48.882613798530386</v>
      </c>
      <c r="P100" s="518">
        <f>+P101+P111</f>
        <v>12224963630.5065</v>
      </c>
      <c r="Q100" s="518">
        <f>+Q101+Q111</f>
        <v>5816886385</v>
      </c>
      <c r="R100" s="497">
        <f t="shared" si="19"/>
        <v>47.582034276849598</v>
      </c>
      <c r="S100" s="467"/>
    </row>
    <row r="101" spans="1:19" ht="45" customHeight="1">
      <c r="A101" s="61"/>
      <c r="B101" s="398" t="s">
        <v>478</v>
      </c>
      <c r="C101" s="507"/>
      <c r="D101" s="480"/>
      <c r="E101" s="508"/>
      <c r="F101" s="478">
        <f>AVERAGE(F102:F109)</f>
        <v>44.285714285714285</v>
      </c>
      <c r="G101" s="478"/>
      <c r="H101" s="478">
        <f>AVERAGE(H102:H109)</f>
        <v>44.285714285714285</v>
      </c>
      <c r="I101" s="478">
        <f>AVERAGE(I102:I109)</f>
        <v>14.125</v>
      </c>
      <c r="J101" s="478">
        <f>AVERAGE(J102:J109)</f>
        <v>2.7906249999999999</v>
      </c>
      <c r="K101" s="395">
        <f>+(J101/I101)*100</f>
        <v>19.756637168141591</v>
      </c>
      <c r="L101" s="395"/>
      <c r="M101" s="393">
        <f>SUM(M102:M110)</f>
        <v>2202400893</v>
      </c>
      <c r="N101" s="393">
        <f>SUM(N102:N110)</f>
        <v>1386845135</v>
      </c>
      <c r="O101" s="395">
        <f>+N101/M101*100</f>
        <v>62.969695454078256</v>
      </c>
      <c r="P101" s="480">
        <f>SUM(P102:P110)</f>
        <v>6414963630.5065002</v>
      </c>
      <c r="Q101" s="393">
        <f>SUM(Q102:Q110)</f>
        <v>3879986635</v>
      </c>
      <c r="R101" s="395">
        <f t="shared" si="19"/>
        <v>60.483376968010205</v>
      </c>
      <c r="S101" s="467"/>
    </row>
    <row r="102" spans="1:19" ht="75" customHeight="1">
      <c r="A102" s="61"/>
      <c r="B102" s="501" t="s">
        <v>449</v>
      </c>
      <c r="C102" s="474" t="s">
        <v>529</v>
      </c>
      <c r="D102" s="465">
        <f>+'MATRIZ GENERAL CONSOLIDADA'!L102</f>
        <v>1</v>
      </c>
      <c r="E102" s="635">
        <f>+'MATRIZ GENERAL CONSOLIDADA'!N102</f>
        <v>0.6</v>
      </c>
      <c r="F102" s="465">
        <f t="shared" ref="F102:F109" si="22">+(E102/D102)*100</f>
        <v>60</v>
      </c>
      <c r="G102" s="475"/>
      <c r="H102" s="452">
        <f t="shared" si="17"/>
        <v>60</v>
      </c>
      <c r="I102" s="465">
        <f>+'MATRIZ GENERAL CONSOLIDADA'!D102</f>
        <v>1</v>
      </c>
      <c r="J102" s="468">
        <f>+'MATRIZ GENERAL CONSOLIDADA'!F102</f>
        <v>0.4</v>
      </c>
      <c r="K102" s="452">
        <f>+(J102/I102)*100</f>
        <v>40</v>
      </c>
      <c r="L102" s="468"/>
      <c r="M102" s="452">
        <f>+'MATRIZ GENERAL CONSOLIDADA'!M102</f>
        <v>101592147</v>
      </c>
      <c r="N102" s="465">
        <f>+'MATRIZ GENERAL CONSOLIDADA'!O102</f>
        <v>52509200</v>
      </c>
      <c r="O102" s="452">
        <f>+N102/M102*100</f>
        <v>51.686278467960719</v>
      </c>
      <c r="P102" s="452">
        <f>+'MATRIZ GENERAL CONSOLIDADA'!E102</f>
        <v>430415791.35999995</v>
      </c>
      <c r="Q102" s="452">
        <f>+'MATRIZ GENERAL CONSOLIDADA'!G102</f>
        <v>171741228</v>
      </c>
      <c r="R102" s="658">
        <f t="shared" si="19"/>
        <v>39.90123769793464</v>
      </c>
      <c r="S102" s="467"/>
    </row>
    <row r="103" spans="1:19" ht="38.25" customHeight="1">
      <c r="A103" s="61"/>
      <c r="B103" s="501" t="s">
        <v>450</v>
      </c>
      <c r="C103" s="474" t="s">
        <v>1</v>
      </c>
      <c r="D103" s="465">
        <f>+'MATRIZ GENERAL CONSOLIDADA'!L103</f>
        <v>50</v>
      </c>
      <c r="E103" s="635">
        <f>+'MATRIZ GENERAL CONSOLIDADA'!N103</f>
        <v>40</v>
      </c>
      <c r="F103" s="465">
        <f t="shared" si="22"/>
        <v>80</v>
      </c>
      <c r="G103" s="475"/>
      <c r="H103" s="452">
        <f t="shared" si="17"/>
        <v>80</v>
      </c>
      <c r="I103" s="465">
        <f>+'MATRIZ GENERAL CONSOLIDADA'!D103</f>
        <v>100</v>
      </c>
      <c r="J103" s="468">
        <f>+'MATRIZ GENERAL CONSOLIDADA'!F103</f>
        <v>16.25</v>
      </c>
      <c r="K103" s="452">
        <f t="shared" ref="K103:K109" si="23">+(J103/I103)*100</f>
        <v>16.25</v>
      </c>
      <c r="L103" s="468"/>
      <c r="M103" s="452">
        <f>+'MATRIZ GENERAL CONSOLIDADA'!M103</f>
        <v>450930911</v>
      </c>
      <c r="N103" s="465">
        <f>+'MATRIZ GENERAL CONSOLIDADA'!O103</f>
        <v>255345638</v>
      </c>
      <c r="O103" s="452">
        <f>+N103/M103*100</f>
        <v>56.626332719958519</v>
      </c>
      <c r="P103" s="452">
        <f>+'MATRIZ GENERAL CONSOLIDADA'!E103</f>
        <v>1820290976</v>
      </c>
      <c r="Q103" s="452">
        <f>+'MATRIZ GENERAL CONSOLIDADA'!G103</f>
        <v>822705703</v>
      </c>
      <c r="R103" s="658">
        <f t="shared" si="19"/>
        <v>45.196384196105576</v>
      </c>
      <c r="S103" s="467"/>
    </row>
    <row r="104" spans="1:19" ht="131.25" customHeight="1">
      <c r="A104" s="61"/>
      <c r="B104" s="501" t="s">
        <v>451</v>
      </c>
      <c r="C104" s="474" t="s">
        <v>180</v>
      </c>
      <c r="D104" s="465">
        <f>+'MATRIZ GENERAL CONSOLIDADA'!L104</f>
        <v>1</v>
      </c>
      <c r="E104" s="635">
        <f>+'MATRIZ GENERAL CONSOLIDADA'!N104</f>
        <v>0.7</v>
      </c>
      <c r="F104" s="465">
        <f>+(E104/D104)*100</f>
        <v>70</v>
      </c>
      <c r="G104" s="475"/>
      <c r="H104" s="452">
        <f t="shared" si="17"/>
        <v>70</v>
      </c>
      <c r="I104" s="465">
        <f>+'MATRIZ GENERAL CONSOLIDADA'!D104</f>
        <v>1</v>
      </c>
      <c r="J104" s="468">
        <f>+'MATRIZ GENERAL CONSOLIDADA'!F104</f>
        <v>0.42499999999999999</v>
      </c>
      <c r="K104" s="452">
        <f t="shared" si="23"/>
        <v>42.5</v>
      </c>
      <c r="L104" s="468"/>
      <c r="M104" s="452">
        <f>+'MATRIZ GENERAL CONSOLIDADA'!M104</f>
        <v>30120000</v>
      </c>
      <c r="N104" s="465">
        <f>+'MATRIZ GENERAL CONSOLIDADA'!O104</f>
        <v>10039996</v>
      </c>
      <c r="O104" s="452">
        <v>0</v>
      </c>
      <c r="P104" s="452">
        <f>+'MATRIZ GENERAL CONSOLIDADA'!E104</f>
        <v>50350851</v>
      </c>
      <c r="Q104" s="452">
        <f>+'MATRIZ GENERAL CONSOLIDADA'!G104</f>
        <v>10039996</v>
      </c>
      <c r="R104" s="658">
        <f t="shared" si="19"/>
        <v>19.940072115166434</v>
      </c>
      <c r="S104" s="467"/>
    </row>
    <row r="105" spans="1:19" ht="78" customHeight="1">
      <c r="A105" s="61"/>
      <c r="B105" s="501" t="s">
        <v>452</v>
      </c>
      <c r="C105" s="474" t="s">
        <v>194</v>
      </c>
      <c r="D105" s="465" t="s">
        <v>538</v>
      </c>
      <c r="E105" s="635">
        <f>+'MATRIZ GENERAL CONSOLIDADA'!N105</f>
        <v>0</v>
      </c>
      <c r="F105" s="465" t="s">
        <v>538</v>
      </c>
      <c r="G105" s="475"/>
      <c r="H105" s="452" t="s">
        <v>538</v>
      </c>
      <c r="I105" s="465">
        <f>+'MATRIZ GENERAL CONSOLIDADA'!D105</f>
        <v>1</v>
      </c>
      <c r="J105" s="468">
        <f>+'MATRIZ GENERAL CONSOLIDADA'!F105</f>
        <v>1</v>
      </c>
      <c r="K105" s="452">
        <f t="shared" si="23"/>
        <v>100</v>
      </c>
      <c r="L105" s="468"/>
      <c r="M105" s="452">
        <f>+'MATRIZ GENERAL CONSOLIDADA'!M105</f>
        <v>0</v>
      </c>
      <c r="N105" s="465">
        <f>+'MATRIZ GENERAL CONSOLIDADA'!O105</f>
        <v>0</v>
      </c>
      <c r="O105" s="452">
        <v>0</v>
      </c>
      <c r="P105" s="452">
        <f>+'MATRIZ GENERAL CONSOLIDADA'!E105</f>
        <v>0</v>
      </c>
      <c r="Q105" s="452">
        <f>+'MATRIZ GENERAL CONSOLIDADA'!G105</f>
        <v>0</v>
      </c>
      <c r="R105" s="658">
        <v>0</v>
      </c>
      <c r="S105" s="467"/>
    </row>
    <row r="106" spans="1:19" ht="101.25" customHeight="1">
      <c r="A106" s="61"/>
      <c r="B106" s="501" t="s">
        <v>453</v>
      </c>
      <c r="C106" s="474" t="s">
        <v>454</v>
      </c>
      <c r="D106" s="465">
        <f>+'MATRIZ GENERAL CONSOLIDADA'!L106</f>
        <v>1</v>
      </c>
      <c r="E106" s="635">
        <f>+'MATRIZ GENERAL CONSOLIDADA'!N106</f>
        <v>0.5</v>
      </c>
      <c r="F106" s="465">
        <f>+(E106/D106)*100</f>
        <v>50</v>
      </c>
      <c r="G106" s="475"/>
      <c r="H106" s="452">
        <f t="shared" si="17"/>
        <v>50</v>
      </c>
      <c r="I106" s="465">
        <f>+'MATRIZ GENERAL CONSOLIDADA'!D106</f>
        <v>4</v>
      </c>
      <c r="J106" s="468">
        <f>+'MATRIZ GENERAL CONSOLIDADA'!F106</f>
        <v>1.5</v>
      </c>
      <c r="K106" s="452">
        <f t="shared" si="23"/>
        <v>37.5</v>
      </c>
      <c r="L106" s="468"/>
      <c r="M106" s="452">
        <f>+'MATRIZ GENERAL CONSOLIDADA'!M106</f>
        <v>1208007458</v>
      </c>
      <c r="N106" s="465">
        <f>+'MATRIZ GENERAL CONSOLIDADA'!O106</f>
        <v>1061206092</v>
      </c>
      <c r="O106" s="452">
        <v>0</v>
      </c>
      <c r="P106" s="452">
        <f>+'MATRIZ GENERAL CONSOLIDADA'!E106</f>
        <v>3284619862</v>
      </c>
      <c r="Q106" s="452">
        <f>+'MATRIZ GENERAL CONSOLIDADA'!G106</f>
        <v>2805516548</v>
      </c>
      <c r="R106" s="658">
        <f t="shared" si="19"/>
        <v>85.413736318690013</v>
      </c>
      <c r="S106" s="467"/>
    </row>
    <row r="107" spans="1:19" ht="42.75" customHeight="1">
      <c r="A107" s="61"/>
      <c r="B107" s="501" t="s">
        <v>455</v>
      </c>
      <c r="C107" s="474" t="s">
        <v>511</v>
      </c>
      <c r="D107" s="465">
        <f>+'MATRIZ GENERAL CONSOLIDADA'!L107</f>
        <v>1</v>
      </c>
      <c r="E107" s="635">
        <f>+'MATRIZ GENERAL CONSOLIDADA'!N107</f>
        <v>0.5</v>
      </c>
      <c r="F107" s="465">
        <f t="shared" si="22"/>
        <v>50</v>
      </c>
      <c r="G107" s="475"/>
      <c r="H107" s="452">
        <f t="shared" si="17"/>
        <v>50</v>
      </c>
      <c r="I107" s="465">
        <f>+'MATRIZ GENERAL CONSOLIDADA'!D107</f>
        <v>3</v>
      </c>
      <c r="J107" s="468">
        <f>+'MATRIZ GENERAL CONSOLIDADA'!F107</f>
        <v>1.5</v>
      </c>
      <c r="K107" s="452">
        <f t="shared" si="23"/>
        <v>50</v>
      </c>
      <c r="L107" s="468"/>
      <c r="M107" s="452">
        <f>+'MATRIZ GENERAL CONSOLIDADA'!M107</f>
        <v>340264030</v>
      </c>
      <c r="N107" s="465">
        <f>+'MATRIZ GENERAL CONSOLIDADA'!O107</f>
        <v>4456023</v>
      </c>
      <c r="O107" s="452">
        <v>0</v>
      </c>
      <c r="P107" s="452">
        <f>+'MATRIZ GENERAL CONSOLIDADA'!E107</f>
        <v>655825249</v>
      </c>
      <c r="Q107" s="452">
        <f>+'MATRIZ GENERAL CONSOLIDADA'!G107</f>
        <v>4456023</v>
      </c>
      <c r="R107" s="658">
        <f t="shared" si="19"/>
        <v>0.6794527973411405</v>
      </c>
      <c r="S107" s="467"/>
    </row>
    <row r="108" spans="1:19" ht="35.25" customHeight="1">
      <c r="A108" s="61"/>
      <c r="B108" s="501" t="s">
        <v>456</v>
      </c>
      <c r="C108" s="474" t="s">
        <v>193</v>
      </c>
      <c r="D108" s="465">
        <f>+'MATRIZ GENERAL CONSOLIDADA'!L108</f>
        <v>1</v>
      </c>
      <c r="E108" s="635">
        <f>+'MATRIZ GENERAL CONSOLIDADA'!N108</f>
        <v>0</v>
      </c>
      <c r="F108" s="465">
        <f t="shared" si="22"/>
        <v>0</v>
      </c>
      <c r="G108" s="475"/>
      <c r="H108" s="452">
        <f t="shared" si="17"/>
        <v>0</v>
      </c>
      <c r="I108" s="465">
        <f>+'MATRIZ GENERAL CONSOLIDADA'!D108</f>
        <v>1</v>
      </c>
      <c r="J108" s="468">
        <f>+'MATRIZ GENERAL CONSOLIDADA'!F108</f>
        <v>0.25</v>
      </c>
      <c r="K108" s="452">
        <f t="shared" si="23"/>
        <v>25</v>
      </c>
      <c r="L108" s="468"/>
      <c r="M108" s="452">
        <f>+'MATRIZ GENERAL CONSOLIDADA'!M108</f>
        <v>12963146</v>
      </c>
      <c r="N108" s="465">
        <f>+'MATRIZ GENERAL CONSOLIDADA'!O108</f>
        <v>0</v>
      </c>
      <c r="O108" s="452">
        <v>0</v>
      </c>
      <c r="P108" s="452">
        <f>+'MATRIZ GENERAL CONSOLIDADA'!E108</f>
        <v>27200301.146499999</v>
      </c>
      <c r="Q108" s="452">
        <f>+'MATRIZ GENERAL CONSOLIDADA'!G108</f>
        <v>4584866</v>
      </c>
      <c r="R108" s="658">
        <f t="shared" si="19"/>
        <v>16.855938378424749</v>
      </c>
      <c r="S108" s="467"/>
    </row>
    <row r="109" spans="1:19" ht="35.25" customHeight="1">
      <c r="A109" s="61"/>
      <c r="B109" s="501" t="s">
        <v>457</v>
      </c>
      <c r="C109" s="474" t="s">
        <v>131</v>
      </c>
      <c r="D109" s="465">
        <f>+'MATRIZ GENERAL CONSOLIDADA'!L109</f>
        <v>1</v>
      </c>
      <c r="E109" s="635">
        <f>+'MATRIZ GENERAL CONSOLIDADA'!N109</f>
        <v>0</v>
      </c>
      <c r="F109" s="465">
        <f t="shared" si="22"/>
        <v>0</v>
      </c>
      <c r="G109" s="475"/>
      <c r="H109" s="452">
        <f t="shared" si="17"/>
        <v>0</v>
      </c>
      <c r="I109" s="465">
        <f>+'MATRIZ GENERAL CONSOLIDADA'!D109</f>
        <v>2</v>
      </c>
      <c r="J109" s="468">
        <f>+'MATRIZ GENERAL CONSOLIDADA'!F109</f>
        <v>1</v>
      </c>
      <c r="K109" s="452">
        <f t="shared" si="23"/>
        <v>50</v>
      </c>
      <c r="L109" s="468"/>
      <c r="M109" s="452">
        <f>+'MATRIZ GENERAL CONSOLIDADA'!M109</f>
        <v>50200000</v>
      </c>
      <c r="N109" s="465">
        <f>+'MATRIZ GENERAL CONSOLIDADA'!O109</f>
        <v>0</v>
      </c>
      <c r="O109" s="452">
        <v>0</v>
      </c>
      <c r="P109" s="452">
        <f>+'MATRIZ GENERAL CONSOLIDADA'!E109</f>
        <v>100400000</v>
      </c>
      <c r="Q109" s="452">
        <f>+'MATRIZ GENERAL CONSOLIDADA'!G109</f>
        <v>50191686</v>
      </c>
      <c r="R109" s="658">
        <f t="shared" si="19"/>
        <v>49.99171912350598</v>
      </c>
      <c r="S109" s="467"/>
    </row>
    <row r="110" spans="1:19" ht="51.75" customHeight="1">
      <c r="A110" s="61"/>
      <c r="B110" s="501" t="s">
        <v>532</v>
      </c>
      <c r="C110" s="474" t="s">
        <v>533</v>
      </c>
      <c r="D110" s="465">
        <f>+'MATRIZ GENERAL CONSOLIDADA'!L110</f>
        <v>0</v>
      </c>
      <c r="E110" s="635">
        <f>+'MATRIZ GENERAL CONSOLIDADA'!N110</f>
        <v>0</v>
      </c>
      <c r="F110" s="465" t="s">
        <v>538</v>
      </c>
      <c r="G110" s="475"/>
      <c r="H110" s="452"/>
      <c r="I110" s="465" t="s">
        <v>538</v>
      </c>
      <c r="J110" s="468" t="s">
        <v>538</v>
      </c>
      <c r="K110" s="452" t="s">
        <v>538</v>
      </c>
      <c r="L110" s="468"/>
      <c r="M110" s="452">
        <f>+'MATRIZ GENERAL CONSOLIDADA'!M110</f>
        <v>8323201</v>
      </c>
      <c r="N110" s="465">
        <f>+'MATRIZ GENERAL CONSOLIDADA'!O110</f>
        <v>3288186</v>
      </c>
      <c r="O110" s="452">
        <f>+N110/M110*100</f>
        <v>39.506266879773776</v>
      </c>
      <c r="P110" s="452">
        <f>+'MATRIZ GENERAL CONSOLIDADA'!E110</f>
        <v>45860600</v>
      </c>
      <c r="Q110" s="452">
        <f>+'MATRIZ GENERAL CONSOLIDADA'!G110</f>
        <v>10750585</v>
      </c>
      <c r="R110" s="658">
        <f t="shared" si="19"/>
        <v>23.44187603302181</v>
      </c>
      <c r="S110" s="467"/>
    </row>
    <row r="111" spans="1:19" ht="45" customHeight="1">
      <c r="A111" s="61"/>
      <c r="B111" s="398" t="s">
        <v>479</v>
      </c>
      <c r="C111" s="507"/>
      <c r="D111" s="480"/>
      <c r="E111" s="477"/>
      <c r="F111" s="478">
        <f>AVERAGE(F112:F117)</f>
        <v>50.833333333333336</v>
      </c>
      <c r="G111" s="478"/>
      <c r="H111" s="478">
        <f>AVERAGE(H112:H117)</f>
        <v>50.833333333333336</v>
      </c>
      <c r="I111" s="478">
        <f>AVERAGE(I112:I117)</f>
        <v>21.35</v>
      </c>
      <c r="J111" s="478">
        <f>AVERAGE(J112:J117)</f>
        <v>3.5425000000000004</v>
      </c>
      <c r="K111" s="395">
        <f>+(J111/I111)*100</f>
        <v>16.592505854800937</v>
      </c>
      <c r="L111" s="395"/>
      <c r="M111" s="480">
        <f>SUM(M112:M117)</f>
        <v>1400000000</v>
      </c>
      <c r="N111" s="490">
        <f>SUM(N112:N117)</f>
        <v>374102581</v>
      </c>
      <c r="O111" s="395">
        <f>(N111/M111)*100</f>
        <v>26.721612928571432</v>
      </c>
      <c r="P111" s="480">
        <f>SUM(P112:P117)</f>
        <v>5810000000</v>
      </c>
      <c r="Q111" s="490">
        <f>SUM(Q112:Q117)</f>
        <v>1936899750</v>
      </c>
      <c r="R111" s="395">
        <f t="shared" si="19"/>
        <v>33.337345094664371</v>
      </c>
      <c r="S111" s="467"/>
    </row>
    <row r="112" spans="1:19" ht="92.25" customHeight="1">
      <c r="A112" s="61"/>
      <c r="B112" s="473" t="s">
        <v>458</v>
      </c>
      <c r="C112" s="474" t="s">
        <v>1</v>
      </c>
      <c r="D112" s="465">
        <f>+'MATRIZ GENERAL CONSOLIDADA'!L112</f>
        <v>50</v>
      </c>
      <c r="E112" s="465">
        <f>+'MATRIZ GENERAL CONSOLIDADA'!N112</f>
        <v>35</v>
      </c>
      <c r="F112" s="465">
        <f t="shared" si="16"/>
        <v>70</v>
      </c>
      <c r="G112" s="475"/>
      <c r="H112" s="452">
        <f t="shared" si="17"/>
        <v>70</v>
      </c>
      <c r="I112" s="465">
        <f>+'MATRIZ GENERAL CONSOLIDADA'!D112</f>
        <v>100</v>
      </c>
      <c r="J112" s="452">
        <f>+'MATRIZ GENERAL CONSOLIDADA'!F112</f>
        <v>15</v>
      </c>
      <c r="K112" s="452">
        <f>+(J112/I112)*100</f>
        <v>15</v>
      </c>
      <c r="L112" s="468"/>
      <c r="M112" s="452">
        <f>+'MATRIZ GENERAL CONSOLIDADA'!M112</f>
        <v>0</v>
      </c>
      <c r="N112" s="465">
        <f>+'MATRIZ GENERAL CONSOLIDADA'!K112</f>
        <v>0</v>
      </c>
      <c r="O112" s="452">
        <v>0</v>
      </c>
      <c r="P112" s="452">
        <f>+'MATRIZ GENERAL CONSOLIDADA'!E112</f>
        <v>0</v>
      </c>
      <c r="Q112" s="452">
        <f>+'MATRIZ GENERAL CONSOLIDADA'!G112</f>
        <v>0</v>
      </c>
      <c r="R112" s="658">
        <v>0</v>
      </c>
      <c r="S112" s="467"/>
    </row>
    <row r="113" spans="1:19" ht="43.5" customHeight="1">
      <c r="A113" s="61"/>
      <c r="B113" s="510" t="s">
        <v>459</v>
      </c>
      <c r="C113" s="474" t="s">
        <v>512</v>
      </c>
      <c r="D113" s="465">
        <f>+'MATRIZ GENERAL CONSOLIDADA'!L113</f>
        <v>1</v>
      </c>
      <c r="E113" s="635">
        <f>+'MATRIZ GENERAL CONSOLIDADA'!N113</f>
        <v>0.7</v>
      </c>
      <c r="F113" s="465">
        <f t="shared" si="16"/>
        <v>70</v>
      </c>
      <c r="G113" s="475"/>
      <c r="H113" s="452">
        <f t="shared" si="17"/>
        <v>70</v>
      </c>
      <c r="I113" s="465">
        <f>+'MATRIZ GENERAL CONSOLIDADA'!D113</f>
        <v>1</v>
      </c>
      <c r="J113" s="452">
        <f>+'MATRIZ GENERAL CONSOLIDADA'!F113</f>
        <v>0.42499999999999999</v>
      </c>
      <c r="K113" s="452">
        <v>25</v>
      </c>
      <c r="L113" s="468"/>
      <c r="M113" s="452">
        <f>+'MATRIZ GENERAL CONSOLIDADA'!M113</f>
        <v>173492800</v>
      </c>
      <c r="N113" s="465">
        <f>+'MATRIZ GENERAL CONSOLIDADA'!O113</f>
        <v>89556800</v>
      </c>
      <c r="O113" s="452">
        <f>+N113/M113*100</f>
        <v>51.619894312617006</v>
      </c>
      <c r="P113" s="452">
        <f>+'MATRIZ GENERAL CONSOLIDADA'!E113</f>
        <v>596522963</v>
      </c>
      <c r="Q113" s="452">
        <f>+'MATRIZ GENERAL CONSOLIDADA'!G113</f>
        <v>349224170</v>
      </c>
      <c r="R113" s="658">
        <f t="shared" si="19"/>
        <v>58.543290310854303</v>
      </c>
      <c r="S113" s="467"/>
    </row>
    <row r="114" spans="1:19" ht="51" customHeight="1">
      <c r="A114" s="61"/>
      <c r="B114" s="469" t="s">
        <v>460</v>
      </c>
      <c r="C114" s="474" t="s">
        <v>180</v>
      </c>
      <c r="D114" s="465">
        <f>+'MATRIZ GENERAL CONSOLIDADA'!L114</f>
        <v>1</v>
      </c>
      <c r="E114" s="635">
        <f>+'MATRIZ GENERAL CONSOLIDADA'!N114</f>
        <v>0.45</v>
      </c>
      <c r="F114" s="465">
        <f t="shared" si="16"/>
        <v>45</v>
      </c>
      <c r="G114" s="475"/>
      <c r="H114" s="452">
        <f t="shared" si="17"/>
        <v>45</v>
      </c>
      <c r="I114" s="465">
        <f>+'MATRIZ GENERAL CONSOLIDADA'!D114</f>
        <v>0.75</v>
      </c>
      <c r="J114" s="452">
        <f>+'MATRIZ GENERAL CONSOLIDADA'!F114</f>
        <v>0.36249999999999999</v>
      </c>
      <c r="K114" s="452">
        <v>25</v>
      </c>
      <c r="L114" s="468"/>
      <c r="M114" s="452">
        <f>+'MATRIZ GENERAL CONSOLIDADA'!M114</f>
        <v>360000000</v>
      </c>
      <c r="N114" s="465">
        <f>+'MATRIZ GENERAL CONSOLIDADA'!O114</f>
        <v>0</v>
      </c>
      <c r="O114" s="452">
        <f>+N114/M114*100</f>
        <v>0</v>
      </c>
      <c r="P114" s="452">
        <f>+'MATRIZ GENERAL CONSOLIDADA'!E114</f>
        <v>2458279200</v>
      </c>
      <c r="Q114" s="452">
        <f>+'MATRIZ GENERAL CONSOLIDADA'!G114</f>
        <v>1156645716</v>
      </c>
      <c r="R114" s="658">
        <f t="shared" si="19"/>
        <v>47.051031306777517</v>
      </c>
      <c r="S114" s="467"/>
    </row>
    <row r="115" spans="1:19" ht="75" customHeight="1">
      <c r="A115" s="61"/>
      <c r="B115" s="469" t="s">
        <v>462</v>
      </c>
      <c r="C115" s="474" t="s">
        <v>513</v>
      </c>
      <c r="D115" s="465">
        <f>+'MATRIZ GENERAL CONSOLIDADA'!L115</f>
        <v>1</v>
      </c>
      <c r="E115" s="635">
        <f>+'MATRIZ GENERAL CONSOLIDADA'!N115</f>
        <v>0.5</v>
      </c>
      <c r="F115" s="465">
        <f t="shared" si="16"/>
        <v>50</v>
      </c>
      <c r="G115" s="475"/>
      <c r="H115" s="452">
        <f t="shared" si="17"/>
        <v>50</v>
      </c>
      <c r="I115" s="465">
        <f>+'MATRIZ GENERAL CONSOLIDADA'!D115</f>
        <v>4</v>
      </c>
      <c r="J115" s="452">
        <f>+'MATRIZ GENERAL CONSOLIDADA'!F115</f>
        <v>1.5</v>
      </c>
      <c r="K115" s="452">
        <v>25</v>
      </c>
      <c r="L115" s="468"/>
      <c r="M115" s="452">
        <f>+'MATRIZ GENERAL CONSOLIDADA'!M115</f>
        <v>377109600</v>
      </c>
      <c r="N115" s="465">
        <f>+'MATRIZ GENERAL CONSOLIDADA'!O115</f>
        <v>0</v>
      </c>
      <c r="O115" s="452">
        <v>0</v>
      </c>
      <c r="P115" s="452">
        <f>+'MATRIZ GENERAL CONSOLIDADA'!E115</f>
        <v>1055588014</v>
      </c>
      <c r="Q115" s="452">
        <f>+'MATRIZ GENERAL CONSOLIDADA'!G115</f>
        <v>0</v>
      </c>
      <c r="R115" s="658">
        <f t="shared" si="19"/>
        <v>0</v>
      </c>
      <c r="S115" s="467"/>
    </row>
    <row r="116" spans="1:19" ht="75" customHeight="1">
      <c r="A116" s="61"/>
      <c r="B116" s="469" t="s">
        <v>463</v>
      </c>
      <c r="C116" s="474" t="s">
        <v>193</v>
      </c>
      <c r="D116" s="465">
        <f>+'MATRIZ GENERAL CONSOLIDADA'!L116</f>
        <v>1</v>
      </c>
      <c r="E116" s="635">
        <f>+'MATRIZ GENERAL CONSOLIDADA'!N116</f>
        <v>0.7</v>
      </c>
      <c r="F116" s="465">
        <f>+(E116/D116)*100</f>
        <v>70</v>
      </c>
      <c r="G116" s="475"/>
      <c r="H116" s="452">
        <f>+(E116*100)/D116</f>
        <v>70</v>
      </c>
      <c r="I116" s="465">
        <f>+'MATRIZ GENERAL CONSOLIDADA'!D116</f>
        <v>1</v>
      </c>
      <c r="J116" s="452">
        <f>+'MATRIZ GENERAL CONSOLIDADA'!F116</f>
        <v>0.42499999999999999</v>
      </c>
      <c r="K116" s="452">
        <v>25</v>
      </c>
      <c r="L116" s="468"/>
      <c r="M116" s="452">
        <f>+'MATRIZ GENERAL CONSOLIDADA'!M116</f>
        <v>472870000</v>
      </c>
      <c r="N116" s="465">
        <f>+'MATRIZ GENERAL CONSOLIDADA'!O116</f>
        <v>271765213</v>
      </c>
      <c r="O116" s="452">
        <v>0</v>
      </c>
      <c r="P116" s="452">
        <f>+'MATRIZ GENERAL CONSOLIDADA'!E116</f>
        <v>1630506564</v>
      </c>
      <c r="Q116" s="452">
        <f>+'MATRIZ GENERAL CONSOLIDADA'!G116</f>
        <v>404688200</v>
      </c>
      <c r="R116" s="658">
        <f t="shared" si="19"/>
        <v>24.819783552861551</v>
      </c>
      <c r="S116" s="467"/>
    </row>
    <row r="117" spans="1:19" ht="75" customHeight="1">
      <c r="A117" s="61"/>
      <c r="B117" s="501" t="s">
        <v>532</v>
      </c>
      <c r="C117" s="474" t="s">
        <v>533</v>
      </c>
      <c r="D117" s="465">
        <f>+'MATRIZ GENERAL CONSOLIDADA'!L117</f>
        <v>0</v>
      </c>
      <c r="E117" s="465">
        <f>+'MATRIZ GENERAL CONSOLIDADA'!N117</f>
        <v>0</v>
      </c>
      <c r="F117" s="465">
        <v>0</v>
      </c>
      <c r="G117" s="475"/>
      <c r="H117" s="452">
        <v>0</v>
      </c>
      <c r="I117" s="465" t="s">
        <v>538</v>
      </c>
      <c r="J117" s="452" t="s">
        <v>538</v>
      </c>
      <c r="K117" s="452" t="s">
        <v>538</v>
      </c>
      <c r="L117" s="468"/>
      <c r="M117" s="452">
        <f>+'MATRIZ GENERAL CONSOLIDADA'!M117</f>
        <v>16527600</v>
      </c>
      <c r="N117" s="465">
        <f>+'MATRIZ GENERAL CONSOLIDADA'!O117</f>
        <v>12780568</v>
      </c>
      <c r="O117" s="452">
        <f>+N117/M117*100</f>
        <v>77.328638156780173</v>
      </c>
      <c r="P117" s="452">
        <f>+'MATRIZ GENERAL CONSOLIDADA'!E117</f>
        <v>69103259</v>
      </c>
      <c r="Q117" s="452">
        <f>+'MATRIZ GENERAL CONSOLIDADA'!G117</f>
        <v>26341664</v>
      </c>
      <c r="R117" s="658">
        <f t="shared" si="19"/>
        <v>38.119278860639554</v>
      </c>
      <c r="S117" s="467"/>
    </row>
    <row r="118" spans="1:19" ht="36" customHeight="1" thickBot="1">
      <c r="B118" s="780" t="s">
        <v>85</v>
      </c>
      <c r="C118" s="781"/>
      <c r="D118" s="522"/>
      <c r="E118" s="78"/>
      <c r="F118" s="524">
        <f>AVERAGE(F5,F33,F55,F69,F87,F100)</f>
        <v>40.156916556556602</v>
      </c>
      <c r="G118" s="523"/>
      <c r="H118" s="524">
        <f>AVERAGE(H5,H33,H55,H69,H87,H100)</f>
        <v>40.208622384248095</v>
      </c>
      <c r="I118" s="525"/>
      <c r="J118" s="522"/>
      <c r="K118" s="524">
        <f>+(K5+K33+K55+K69+K87+K100)/6</f>
        <v>49.055804593045814</v>
      </c>
      <c r="L118" s="78"/>
      <c r="M118" s="525">
        <f>+M5+M33+M55+M69+M87+M100</f>
        <v>28065904024.959999</v>
      </c>
      <c r="N118" s="525">
        <f>SUM(N5+N33+N55+N69+N87+N100)</f>
        <v>11197928172</v>
      </c>
      <c r="O118" s="524">
        <f>+N118/M118*100</f>
        <v>39.898690460999539</v>
      </c>
      <c r="P118" s="525">
        <f>+P6+P19+P30+P34+P46+P56+P64+P70+P88+P95+P101+P111</f>
        <v>93024045769.6633</v>
      </c>
      <c r="Q118" s="525">
        <f>+Q6+Q19+Q30+Q34+Q46+Q56+Q64+Q70+Q88+Q95+Q101+Q111</f>
        <v>42221061395</v>
      </c>
      <c r="R118" s="524">
        <f>+Q118/P118*100</f>
        <v>45.387255569966833</v>
      </c>
      <c r="S118" s="665"/>
    </row>
    <row r="119" spans="1:19" ht="48" customHeight="1">
      <c r="B119" s="779" t="s">
        <v>136</v>
      </c>
      <c r="C119" s="779"/>
      <c r="D119" s="779"/>
      <c r="E119" s="779"/>
      <c r="F119" s="779"/>
      <c r="G119" s="779"/>
      <c r="H119" s="779"/>
      <c r="I119" s="779"/>
      <c r="J119" s="779"/>
      <c r="K119" s="779"/>
      <c r="L119" s="779"/>
      <c r="M119" s="779"/>
      <c r="N119" s="779"/>
      <c r="O119" s="652"/>
      <c r="P119" s="652"/>
      <c r="Q119" s="657"/>
      <c r="R119" s="652"/>
      <c r="S119" s="652"/>
    </row>
    <row r="120" spans="1:19" ht="25.5">
      <c r="I120" s="29"/>
      <c r="J120" s="29"/>
      <c r="K120" s="188"/>
      <c r="L120" s="29"/>
      <c r="N120" s="168"/>
      <c r="O120" s="168"/>
      <c r="P120" s="168"/>
      <c r="Q120" s="30"/>
      <c r="S120" s="526"/>
    </row>
    <row r="121" spans="1:19" ht="25.5">
      <c r="I121" s="29"/>
      <c r="J121" s="29"/>
      <c r="K121" s="188"/>
      <c r="L121" s="29"/>
      <c r="N121" s="433"/>
      <c r="O121" s="168"/>
      <c r="P121" s="168"/>
      <c r="Q121" s="29"/>
      <c r="S121" s="526"/>
    </row>
    <row r="122" spans="1:19" ht="25.5">
      <c r="I122" s="29"/>
      <c r="J122" s="29"/>
      <c r="K122" s="188"/>
      <c r="L122" s="29"/>
      <c r="N122" s="168"/>
      <c r="O122" s="168"/>
      <c r="P122" s="168"/>
      <c r="Q122" s="29"/>
      <c r="S122" s="526"/>
    </row>
    <row r="123" spans="1:19" ht="25.5">
      <c r="I123" s="29"/>
      <c r="J123" s="29"/>
      <c r="K123" s="188"/>
      <c r="L123" s="29"/>
      <c r="M123" s="434"/>
      <c r="N123" s="167"/>
      <c r="O123" s="167"/>
      <c r="P123" s="168"/>
      <c r="Q123" s="29"/>
      <c r="S123" s="526"/>
    </row>
    <row r="124" spans="1:19" ht="25.5">
      <c r="I124" s="29"/>
      <c r="J124" s="29"/>
      <c r="K124" s="188"/>
      <c r="L124" s="29"/>
      <c r="M124" s="434"/>
      <c r="N124" s="167"/>
      <c r="O124" s="167"/>
      <c r="P124" s="168"/>
      <c r="Q124" s="29"/>
      <c r="S124" s="526"/>
    </row>
    <row r="125" spans="1:19" ht="25.5">
      <c r="I125" s="29"/>
      <c r="J125" s="29"/>
      <c r="K125" s="188"/>
      <c r="L125" s="29"/>
      <c r="M125" s="434"/>
      <c r="N125" s="167"/>
      <c r="O125" s="167"/>
      <c r="P125" s="168"/>
      <c r="Q125" s="29"/>
      <c r="S125" s="527"/>
    </row>
    <row r="126" spans="1:19">
      <c r="I126" s="29"/>
      <c r="J126" s="29"/>
      <c r="K126" s="188"/>
      <c r="L126" s="29"/>
      <c r="M126" s="434"/>
      <c r="N126" s="425"/>
      <c r="O126" s="425"/>
      <c r="P126" s="171"/>
      <c r="Q126" s="29"/>
    </row>
    <row r="127" spans="1:19">
      <c r="I127" s="29"/>
      <c r="J127" s="29"/>
      <c r="K127" s="188"/>
      <c r="L127" s="29"/>
      <c r="M127" s="434"/>
      <c r="N127" s="425"/>
      <c r="O127" s="425"/>
      <c r="P127" s="171"/>
      <c r="Q127" s="29"/>
    </row>
    <row r="128" spans="1:19">
      <c r="I128" s="29"/>
      <c r="J128" s="29"/>
      <c r="K128" s="188"/>
      <c r="L128" s="29"/>
      <c r="M128" s="434"/>
      <c r="N128" s="425"/>
      <c r="O128" s="425"/>
      <c r="P128" s="29"/>
      <c r="Q128" s="29"/>
    </row>
    <row r="129" spans="9:17">
      <c r="I129" s="29"/>
      <c r="J129" s="29"/>
      <c r="K129" s="188"/>
      <c r="L129" s="29"/>
      <c r="M129" s="434"/>
      <c r="N129" s="425"/>
      <c r="O129" s="425"/>
      <c r="P129" s="29"/>
      <c r="Q129" s="29"/>
    </row>
    <row r="130" spans="9:17">
      <c r="I130" s="29"/>
      <c r="J130" s="29"/>
      <c r="K130" s="188"/>
      <c r="L130" s="29"/>
      <c r="M130" s="434"/>
      <c r="N130" s="425"/>
      <c r="O130" s="425"/>
      <c r="P130" s="29"/>
      <c r="Q130" s="29"/>
    </row>
    <row r="131" spans="9:17">
      <c r="I131" s="29"/>
      <c r="J131" s="29"/>
      <c r="K131" s="188"/>
      <c r="L131" s="29"/>
      <c r="M131" s="434"/>
      <c r="N131" s="425"/>
      <c r="O131" s="425"/>
      <c r="P131" s="29"/>
      <c r="Q131" s="29"/>
    </row>
    <row r="132" spans="9:17">
      <c r="I132" s="29"/>
      <c r="J132" s="29"/>
      <c r="K132" s="188"/>
      <c r="L132" s="29"/>
      <c r="P132" s="29"/>
      <c r="Q132" s="29"/>
    </row>
    <row r="133" spans="9:17">
      <c r="I133" s="29"/>
      <c r="J133" s="29"/>
      <c r="K133" s="188"/>
      <c r="L133" s="29"/>
      <c r="P133" s="29"/>
      <c r="Q133" s="29"/>
    </row>
    <row r="134" spans="9:17">
      <c r="I134" s="29"/>
      <c r="J134" s="29"/>
      <c r="K134" s="188"/>
      <c r="L134" s="29"/>
      <c r="P134" s="29"/>
      <c r="Q134" s="29"/>
    </row>
    <row r="135" spans="9:17">
      <c r="I135" s="29"/>
      <c r="J135" s="29"/>
      <c r="K135" s="188"/>
      <c r="L135" s="29"/>
      <c r="P135" s="29"/>
      <c r="Q135" s="29"/>
    </row>
    <row r="136" spans="9:17">
      <c r="I136" s="29"/>
      <c r="J136" s="29"/>
      <c r="K136" s="188"/>
      <c r="L136" s="29"/>
      <c r="P136" s="29"/>
      <c r="Q136" s="29"/>
    </row>
    <row r="137" spans="9:17">
      <c r="I137" s="29"/>
      <c r="J137" s="29"/>
      <c r="K137" s="188"/>
      <c r="L137" s="29"/>
      <c r="P137" s="29"/>
      <c r="Q137" s="29"/>
    </row>
    <row r="138" spans="9:17">
      <c r="I138" s="29"/>
      <c r="J138" s="29"/>
      <c r="K138" s="188"/>
      <c r="L138" s="29"/>
      <c r="P138" s="29"/>
      <c r="Q138" s="29"/>
    </row>
    <row r="139" spans="9:17">
      <c r="I139" s="29"/>
      <c r="J139" s="29"/>
      <c r="K139" s="188"/>
      <c r="L139" s="29"/>
      <c r="P139" s="29"/>
      <c r="Q139" s="29"/>
    </row>
    <row r="140" spans="9:17">
      <c r="I140" s="29"/>
      <c r="J140" s="29"/>
      <c r="K140" s="188"/>
      <c r="L140" s="29"/>
      <c r="P140" s="29"/>
      <c r="Q140" s="29"/>
    </row>
    <row r="141" spans="9:17">
      <c r="I141" s="29"/>
      <c r="J141" s="29"/>
      <c r="K141" s="188"/>
      <c r="L141" s="29"/>
      <c r="P141" s="29"/>
      <c r="Q141" s="29"/>
    </row>
    <row r="142" spans="9:17">
      <c r="I142" s="29"/>
      <c r="J142" s="29"/>
      <c r="K142" s="188"/>
      <c r="L142" s="29"/>
      <c r="P142" s="29"/>
      <c r="Q142" s="29"/>
    </row>
    <row r="143" spans="9:17">
      <c r="I143" s="29"/>
      <c r="J143" s="29"/>
      <c r="K143" s="188"/>
      <c r="L143" s="29"/>
      <c r="P143" s="29"/>
      <c r="Q143" s="29"/>
    </row>
    <row r="144" spans="9:17">
      <c r="I144" s="29"/>
      <c r="J144" s="29"/>
      <c r="K144" s="188"/>
      <c r="L144" s="29"/>
      <c r="P144" s="29"/>
      <c r="Q144" s="29"/>
    </row>
    <row r="145" spans="9:17">
      <c r="I145" s="29"/>
      <c r="J145" s="29"/>
      <c r="K145" s="188"/>
      <c r="L145" s="29"/>
      <c r="P145" s="29"/>
      <c r="Q145" s="29"/>
    </row>
    <row r="146" spans="9:17">
      <c r="I146" s="29"/>
      <c r="J146" s="29"/>
      <c r="K146" s="188"/>
      <c r="L146" s="29"/>
      <c r="P146" s="29"/>
      <c r="Q146" s="29"/>
    </row>
    <row r="147" spans="9:17">
      <c r="I147" s="29"/>
      <c r="J147" s="29"/>
      <c r="K147" s="188"/>
      <c r="L147" s="29"/>
      <c r="P147" s="29"/>
      <c r="Q147" s="29"/>
    </row>
    <row r="148" spans="9:17">
      <c r="I148" s="29"/>
      <c r="J148" s="29"/>
      <c r="K148" s="188"/>
      <c r="L148" s="29"/>
      <c r="P148" s="29"/>
      <c r="Q148" s="29"/>
    </row>
  </sheetData>
  <mergeCells count="8">
    <mergeCell ref="B119:N119"/>
    <mergeCell ref="B118:C118"/>
    <mergeCell ref="B1:S1"/>
    <mergeCell ref="B3:B4"/>
    <mergeCell ref="C3:K3"/>
    <mergeCell ref="B2:S2"/>
    <mergeCell ref="M3:R3"/>
    <mergeCell ref="S3:S4"/>
  </mergeCells>
  <phoneticPr fontId="16"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8"/>
  <sheetViews>
    <sheetView tabSelected="1" view="pageBreakPreview" topLeftCell="A40" zoomScale="70" zoomScaleNormal="70" zoomScaleSheetLayoutView="70" workbookViewId="0">
      <selection activeCell="G53" sqref="G53:G54"/>
    </sheetView>
  </sheetViews>
  <sheetFormatPr baseColWidth="10" defaultRowHeight="14.25"/>
  <cols>
    <col min="1" max="1" width="22.28515625" style="553" customWidth="1"/>
    <col min="2" max="2" width="26.42578125" style="554" customWidth="1"/>
    <col min="3" max="3" width="29" style="554" hidden="1" customWidth="1"/>
    <col min="4" max="4" width="66.5703125" style="553" customWidth="1"/>
    <col min="5" max="5" width="18.42578125" style="553" customWidth="1"/>
    <col min="6" max="6" width="21" style="185" customWidth="1"/>
    <col min="7" max="7" width="17.5703125" style="185" customWidth="1"/>
    <col min="8" max="8" width="24.140625" style="186" customWidth="1"/>
    <col min="9" max="9" width="25.140625" style="187" customWidth="1"/>
    <col min="10" max="10" width="25.7109375" style="187" customWidth="1"/>
    <col min="11" max="11" width="18.42578125" style="552" hidden="1" customWidth="1"/>
    <col min="12" max="12" width="17" style="552" hidden="1" customWidth="1"/>
    <col min="13" max="14" width="14.42578125" style="172" hidden="1" customWidth="1"/>
    <col min="15" max="15" width="14.42578125" style="173" hidden="1" customWidth="1"/>
    <col min="16" max="16" width="14.42578125" style="165" hidden="1" customWidth="1"/>
    <col min="17" max="17" width="11.42578125" style="1"/>
    <col min="18" max="18" width="27.7109375" style="1" customWidth="1"/>
    <col min="19" max="19" width="11.42578125" style="1"/>
    <col min="20" max="16384" width="11.42578125" style="553"/>
  </cols>
  <sheetData>
    <row r="1" spans="1:19" s="546" customFormat="1" ht="34.5" customHeight="1">
      <c r="A1" s="840" t="s">
        <v>306</v>
      </c>
      <c r="B1" s="841"/>
      <c r="C1" s="841"/>
      <c r="D1" s="841"/>
      <c r="E1" s="841"/>
      <c r="F1" s="841"/>
      <c r="G1" s="841"/>
      <c r="H1" s="841"/>
      <c r="I1" s="841"/>
      <c r="J1" s="544" t="s">
        <v>307</v>
      </c>
      <c r="K1" s="545"/>
      <c r="L1" s="545"/>
      <c r="M1" s="162"/>
      <c r="N1" s="162"/>
      <c r="O1" s="163"/>
      <c r="P1" s="164"/>
      <c r="Q1" s="613"/>
      <c r="R1" s="613"/>
      <c r="S1" s="613"/>
    </row>
    <row r="2" spans="1:19" s="546" customFormat="1" ht="28.5" customHeight="1">
      <c r="A2" s="823"/>
      <c r="B2" s="799"/>
      <c r="C2" s="799"/>
      <c r="D2" s="799"/>
      <c r="E2" s="799"/>
      <c r="F2" s="799"/>
      <c r="G2" s="799"/>
      <c r="H2" s="799"/>
      <c r="I2" s="799"/>
      <c r="J2" s="548" t="s">
        <v>308</v>
      </c>
      <c r="K2" s="545"/>
      <c r="L2" s="545"/>
      <c r="M2" s="162"/>
      <c r="N2" s="162"/>
      <c r="O2" s="163"/>
      <c r="P2" s="164"/>
      <c r="Q2" s="613"/>
      <c r="R2" s="613"/>
      <c r="S2" s="613"/>
    </row>
    <row r="3" spans="1:19" s="546" customFormat="1" ht="25.5" customHeight="1" thickBot="1">
      <c r="A3" s="823"/>
      <c r="B3" s="799"/>
      <c r="C3" s="799"/>
      <c r="D3" s="799"/>
      <c r="E3" s="799"/>
      <c r="F3" s="799"/>
      <c r="G3" s="799"/>
      <c r="H3" s="799"/>
      <c r="I3" s="799"/>
      <c r="J3" s="549" t="s">
        <v>309</v>
      </c>
      <c r="K3" s="545"/>
      <c r="L3" s="545"/>
      <c r="M3" s="162"/>
      <c r="N3" s="162"/>
      <c r="O3" s="163"/>
      <c r="P3" s="164"/>
      <c r="Q3" s="613"/>
      <c r="R3" s="613"/>
      <c r="S3" s="613"/>
    </row>
    <row r="4" spans="1:19" s="546" customFormat="1" ht="8.25" customHeight="1">
      <c r="A4" s="550"/>
      <c r="B4" s="842"/>
      <c r="C4" s="842"/>
      <c r="D4" s="842"/>
      <c r="E4" s="842"/>
      <c r="F4" s="842"/>
      <c r="G4" s="842"/>
      <c r="H4" s="842"/>
      <c r="I4" s="842"/>
      <c r="J4" s="843"/>
      <c r="K4" s="545"/>
      <c r="L4" s="545"/>
      <c r="M4" s="162"/>
      <c r="N4" s="162"/>
      <c r="O4" s="163"/>
      <c r="P4" s="164"/>
      <c r="Q4" s="613"/>
      <c r="R4" s="613"/>
      <c r="S4" s="613"/>
    </row>
    <row r="5" spans="1:19" s="546" customFormat="1" ht="39" customHeight="1">
      <c r="A5" s="823" t="s">
        <v>310</v>
      </c>
      <c r="B5" s="799"/>
      <c r="C5" s="547"/>
      <c r="D5" s="844">
        <v>2017</v>
      </c>
      <c r="E5" s="845"/>
      <c r="F5" s="22"/>
      <c r="G5" s="547" t="s">
        <v>311</v>
      </c>
      <c r="H5" s="842" t="s">
        <v>550</v>
      </c>
      <c r="I5" s="842"/>
      <c r="J5" s="843"/>
      <c r="K5" s="545"/>
      <c r="L5" s="545"/>
      <c r="M5" s="162"/>
      <c r="N5" s="162"/>
      <c r="O5" s="163"/>
      <c r="P5" s="164"/>
      <c r="Q5" s="613"/>
      <c r="R5" s="613"/>
      <c r="S5" s="613"/>
    </row>
    <row r="6" spans="1:19" ht="8.25" customHeight="1" thickBot="1">
      <c r="A6" s="551"/>
      <c r="B6" s="846"/>
      <c r="C6" s="846"/>
      <c r="D6" s="846"/>
      <c r="E6" s="846"/>
      <c r="F6" s="846"/>
      <c r="G6" s="846"/>
      <c r="H6" s="846"/>
      <c r="I6" s="846"/>
      <c r="J6" s="847"/>
      <c r="M6" s="162"/>
      <c r="N6" s="162"/>
      <c r="O6" s="163"/>
    </row>
    <row r="7" spans="1:19" s="554" customFormat="1" ht="15.75" customHeight="1">
      <c r="A7" s="840" t="s">
        <v>312</v>
      </c>
      <c r="B7" s="852" t="s">
        <v>313</v>
      </c>
      <c r="C7" s="447"/>
      <c r="D7" s="837" t="s">
        <v>314</v>
      </c>
      <c r="E7" s="841" t="s">
        <v>96</v>
      </c>
      <c r="F7" s="841" t="s">
        <v>315</v>
      </c>
      <c r="G7" s="841"/>
      <c r="H7" s="849" t="s">
        <v>316</v>
      </c>
      <c r="I7" s="849"/>
      <c r="J7" s="850"/>
      <c r="K7" s="2"/>
      <c r="L7" s="2"/>
      <c r="M7" s="162"/>
      <c r="N7" s="162"/>
      <c r="O7" s="163"/>
      <c r="P7" s="39"/>
    </row>
    <row r="8" spans="1:19" s="1" customFormat="1" ht="45.75" customHeight="1" thickBot="1">
      <c r="A8" s="851"/>
      <c r="B8" s="853"/>
      <c r="C8" s="448"/>
      <c r="D8" s="838"/>
      <c r="E8" s="848"/>
      <c r="F8" s="555" t="s">
        <v>317</v>
      </c>
      <c r="G8" s="556" t="s">
        <v>318</v>
      </c>
      <c r="H8" s="557" t="s">
        <v>319</v>
      </c>
      <c r="I8" s="557" t="s">
        <v>320</v>
      </c>
      <c r="J8" s="558" t="s">
        <v>321</v>
      </c>
      <c r="K8" s="559"/>
      <c r="L8" s="559"/>
      <c r="M8" s="169" t="s">
        <v>322</v>
      </c>
      <c r="N8" s="169" t="s">
        <v>322</v>
      </c>
      <c r="O8" s="170" t="s">
        <v>323</v>
      </c>
      <c r="P8" s="38" t="s">
        <v>324</v>
      </c>
    </row>
    <row r="9" spans="1:19" s="1" customFormat="1" ht="76.5" customHeight="1">
      <c r="A9" s="834" t="s">
        <v>480</v>
      </c>
      <c r="B9" s="806" t="s">
        <v>481</v>
      </c>
      <c r="C9" s="561"/>
      <c r="D9" s="528" t="s">
        <v>373</v>
      </c>
      <c r="E9" s="217" t="str">
        <f>+'MATRIZ GENERAL CONSOLIDADA'!C7</f>
        <v xml:space="preserve">% </v>
      </c>
      <c r="F9" s="353">
        <f>+'MATRIZ GENERAL CONSOLIDADA'!L7</f>
        <v>100</v>
      </c>
      <c r="G9" s="529">
        <f>+'Anexo 1 Matriz SINA Inf Gestión'!E7</f>
        <v>25</v>
      </c>
      <c r="H9" s="530">
        <f>+'MATRIZ GENERAL CONSOLIDADA'!M7</f>
        <v>0</v>
      </c>
      <c r="I9" s="629">
        <f>+'Anexo 1 Matriz SINA Inf Gestión'!N9</f>
        <v>0</v>
      </c>
      <c r="J9" s="77">
        <f>+H9-I9</f>
        <v>0</v>
      </c>
      <c r="K9" s="562"/>
      <c r="L9" s="559"/>
      <c r="M9" s="172"/>
      <c r="N9" s="172"/>
      <c r="O9" s="173"/>
      <c r="P9" s="451"/>
    </row>
    <row r="10" spans="1:19" s="1" customFormat="1" ht="48" customHeight="1">
      <c r="A10" s="834"/>
      <c r="B10" s="793"/>
      <c r="C10" s="563"/>
      <c r="D10" s="531" t="s">
        <v>377</v>
      </c>
      <c r="E10" s="217" t="str">
        <f>+'MATRIZ GENERAL CONSOLIDADA'!C8</f>
        <v>Corriente</v>
      </c>
      <c r="F10" s="353">
        <f>+'MATRIZ GENERAL CONSOLIDADA'!L8</f>
        <v>5</v>
      </c>
      <c r="G10" s="649">
        <f>+'Anexo 1 Matriz SINA Inf Gestión'!E8</f>
        <v>1.25</v>
      </c>
      <c r="H10" s="530">
        <f>+'Anexo 1 Matriz SINA Inf Gestión'!M8</f>
        <v>100000000</v>
      </c>
      <c r="I10" s="629">
        <f>+'Anexo 1 Matriz SINA Inf Gestión'!N8</f>
        <v>99993280</v>
      </c>
      <c r="J10" s="77">
        <f t="shared" ref="J10:J19" si="0">+H10-I10</f>
        <v>6720</v>
      </c>
      <c r="K10" s="562"/>
      <c r="L10" s="559"/>
      <c r="M10" s="172"/>
      <c r="N10" s="172"/>
      <c r="O10" s="173"/>
      <c r="P10" s="451"/>
    </row>
    <row r="11" spans="1:19" s="1" customFormat="1" ht="52.5" customHeight="1">
      <c r="A11" s="834"/>
      <c r="B11" s="793"/>
      <c r="C11" s="563"/>
      <c r="D11" s="532" t="s">
        <v>370</v>
      </c>
      <c r="E11" s="217" t="str">
        <f>+'MATRIZ GENERAL CONSOLIDADA'!C9</f>
        <v xml:space="preserve">% </v>
      </c>
      <c r="F11" s="353">
        <f>+'MATRIZ GENERAL CONSOLIDADA'!L9</f>
        <v>50</v>
      </c>
      <c r="G11" s="529">
        <f>+'Anexo 1 Matriz SINA Inf Gestión'!E9</f>
        <v>28</v>
      </c>
      <c r="H11" s="530">
        <f>+'Anexo 1 Matriz SINA Inf Gestión'!M9</f>
        <v>0</v>
      </c>
      <c r="I11" s="629">
        <f>+'Anexo 1 Matriz SINA Inf Gestión'!N9</f>
        <v>0</v>
      </c>
      <c r="J11" s="77">
        <f t="shared" si="0"/>
        <v>0</v>
      </c>
      <c r="K11" s="562">
        <v>118606003</v>
      </c>
      <c r="L11" s="559"/>
      <c r="M11" s="172">
        <v>35046</v>
      </c>
      <c r="N11" s="172">
        <v>255412</v>
      </c>
      <c r="O11" s="173">
        <v>615140</v>
      </c>
      <c r="P11" s="451"/>
    </row>
    <row r="12" spans="1:19" s="1" customFormat="1" ht="47.25" customHeight="1">
      <c r="A12" s="834"/>
      <c r="B12" s="793"/>
      <c r="C12" s="563"/>
      <c r="D12" s="533" t="s">
        <v>370</v>
      </c>
      <c r="E12" s="217" t="str">
        <f>+'MATRIZ GENERAL CONSOLIDADA'!C10</f>
        <v>Unidad</v>
      </c>
      <c r="F12" s="353">
        <f>+'MATRIZ GENERAL CONSOLIDADA'!L10</f>
        <v>2</v>
      </c>
      <c r="G12" s="649">
        <f>+'Anexo 1 Matriz SINA Inf Gestión'!E10</f>
        <v>0.56000000000000005</v>
      </c>
      <c r="H12" s="530">
        <f>+'Anexo 1 Matriz SINA Inf Gestión'!M10</f>
        <v>650000000</v>
      </c>
      <c r="I12" s="629">
        <f>+'Anexo 1 Matriz SINA Inf Gestión'!N10</f>
        <v>649793920</v>
      </c>
      <c r="J12" s="77">
        <f t="shared" si="0"/>
        <v>206080</v>
      </c>
      <c r="K12" s="562">
        <v>304866161</v>
      </c>
      <c r="L12" s="559"/>
      <c r="M12" s="172">
        <v>79222</v>
      </c>
      <c r="N12" s="172"/>
      <c r="O12" s="173">
        <v>165962</v>
      </c>
      <c r="P12" s="451"/>
    </row>
    <row r="13" spans="1:19" s="1" customFormat="1" ht="66.75" customHeight="1">
      <c r="A13" s="834"/>
      <c r="B13" s="793"/>
      <c r="C13" s="563"/>
      <c r="D13" s="534" t="s">
        <v>375</v>
      </c>
      <c r="E13" s="217" t="str">
        <f>+'MATRIZ GENERAL CONSOLIDADA'!C11</f>
        <v>%</v>
      </c>
      <c r="F13" s="353">
        <f>+'MATRIZ GENERAL CONSOLIDADA'!L11</f>
        <v>34</v>
      </c>
      <c r="G13" s="529">
        <f>+'Anexo 1 Matriz SINA Inf Gestión'!E11</f>
        <v>13.65</v>
      </c>
      <c r="H13" s="530">
        <f>+'Anexo 1 Matriz SINA Inf Gestión'!M11</f>
        <v>0</v>
      </c>
      <c r="I13" s="629">
        <f>+'Anexo 1 Matriz SINA Inf Gestión'!N11</f>
        <v>0</v>
      </c>
      <c r="J13" s="77">
        <f t="shared" si="0"/>
        <v>0</v>
      </c>
      <c r="K13" s="562">
        <f>SUM(K11:K12)</f>
        <v>423472164</v>
      </c>
      <c r="L13" s="559"/>
      <c r="M13" s="172">
        <v>255412</v>
      </c>
      <c r="N13" s="172"/>
      <c r="O13" s="173">
        <v>489303</v>
      </c>
      <c r="P13" s="451"/>
    </row>
    <row r="14" spans="1:19" s="1" customFormat="1" ht="64.5" customHeight="1">
      <c r="A14" s="834"/>
      <c r="B14" s="793"/>
      <c r="C14" s="563"/>
      <c r="D14" s="531" t="s">
        <v>374</v>
      </c>
      <c r="E14" s="217" t="str">
        <f>+'MATRIZ GENERAL CONSOLIDADA'!C12</f>
        <v xml:space="preserve">Unidad </v>
      </c>
      <c r="F14" s="353">
        <f>+'MATRIZ GENERAL CONSOLIDADA'!L12</f>
        <v>1</v>
      </c>
      <c r="G14" s="649">
        <f>+'Anexo 1 Matriz SINA Inf Gestión'!E12</f>
        <v>0.14000000000000001</v>
      </c>
      <c r="H14" s="530">
        <f>+'Anexo 1 Matriz SINA Inf Gestión'!M12</f>
        <v>661941284</v>
      </c>
      <c r="I14" s="629">
        <f>+'Anexo 1 Matriz SINA Inf Gestión'!N12</f>
        <v>164656000</v>
      </c>
      <c r="J14" s="77">
        <f t="shared" si="0"/>
        <v>497285284</v>
      </c>
      <c r="K14" s="564" t="s">
        <v>325</v>
      </c>
      <c r="L14" s="559"/>
      <c r="M14" s="172">
        <v>85137</v>
      </c>
      <c r="N14" s="172"/>
      <c r="O14" s="173">
        <v>341394</v>
      </c>
      <c r="P14" s="451"/>
    </row>
    <row r="15" spans="1:19" s="1" customFormat="1" ht="42" customHeight="1">
      <c r="A15" s="834"/>
      <c r="B15" s="793"/>
      <c r="C15" s="563"/>
      <c r="D15" s="535" t="s">
        <v>376</v>
      </c>
      <c r="E15" s="217" t="str">
        <f>+'MATRIZ GENERAL CONSOLIDADA'!C13</f>
        <v>%</v>
      </c>
      <c r="F15" s="353">
        <f>+'MATRIZ GENERAL CONSOLIDADA'!L13</f>
        <v>40</v>
      </c>
      <c r="G15" s="529">
        <f>+'Anexo 1 Matriz SINA Inf Gestión'!E13</f>
        <v>0</v>
      </c>
      <c r="H15" s="530">
        <f>+'Anexo 1 Matriz SINA Inf Gestión'!M13</f>
        <v>0</v>
      </c>
      <c r="I15" s="629">
        <f>+'Anexo 1 Matriz SINA Inf Gestión'!N13</f>
        <v>0</v>
      </c>
      <c r="J15" s="77">
        <f t="shared" si="0"/>
        <v>0</v>
      </c>
      <c r="K15" s="564"/>
      <c r="L15" s="559"/>
      <c r="M15" s="565" t="s">
        <v>326</v>
      </c>
      <c r="N15" s="172"/>
      <c r="O15" s="173"/>
      <c r="P15" s="451"/>
    </row>
    <row r="16" spans="1:19" s="1" customFormat="1" ht="48" customHeight="1">
      <c r="A16" s="834"/>
      <c r="B16" s="793"/>
      <c r="C16" s="446"/>
      <c r="D16" s="536" t="s">
        <v>378</v>
      </c>
      <c r="E16" s="217" t="str">
        <f>+'MATRIZ GENERAL CONSOLIDADA'!C14</f>
        <v>Estaciones</v>
      </c>
      <c r="F16" s="353">
        <f>+'MATRIZ GENERAL CONSOLIDADA'!L14</f>
        <v>6</v>
      </c>
      <c r="G16" s="529">
        <f>+'Anexo 1 Matriz SINA Inf Gestión'!E14</f>
        <v>0</v>
      </c>
      <c r="H16" s="530">
        <f>+'Anexo 1 Matriz SINA Inf Gestión'!M14</f>
        <v>176118750</v>
      </c>
      <c r="I16" s="629">
        <f>+'Anexo 1 Matriz SINA Inf Gestión'!N14</f>
        <v>0</v>
      </c>
      <c r="J16" s="77">
        <f t="shared" si="0"/>
        <v>176118750</v>
      </c>
      <c r="K16" s="562">
        <v>474190061</v>
      </c>
      <c r="L16" s="559"/>
      <c r="M16" s="172">
        <v>425685</v>
      </c>
      <c r="N16" s="172"/>
      <c r="O16" s="173">
        <v>197989</v>
      </c>
      <c r="P16" s="451"/>
    </row>
    <row r="17" spans="1:16" s="1" customFormat="1" ht="48" customHeight="1">
      <c r="A17" s="834"/>
      <c r="B17" s="793"/>
      <c r="C17" s="446"/>
      <c r="D17" s="476" t="s">
        <v>372</v>
      </c>
      <c r="E17" s="217" t="str">
        <f>+'MATRIZ GENERAL CONSOLIDADA'!C15</f>
        <v>Campaña*</v>
      </c>
      <c r="F17" s="353">
        <f>+'MATRIZ GENERAL CONSOLIDADA'!L15</f>
        <v>1</v>
      </c>
      <c r="G17" s="649">
        <f>+'Anexo 1 Matriz SINA Inf Gestión'!E15</f>
        <v>0.5</v>
      </c>
      <c r="H17" s="530">
        <f>+'Anexo 1 Matriz SINA Inf Gestión'!M15</f>
        <v>260000000</v>
      </c>
      <c r="I17" s="629">
        <f>+'Anexo 1 Matriz SINA Inf Gestión'!N15</f>
        <v>0</v>
      </c>
      <c r="J17" s="77">
        <f t="shared" si="0"/>
        <v>260000000</v>
      </c>
      <c r="K17" s="562"/>
      <c r="L17" s="559"/>
      <c r="M17" s="172"/>
      <c r="N17" s="172"/>
      <c r="O17" s="173"/>
      <c r="P17" s="451"/>
    </row>
    <row r="18" spans="1:16" s="1" customFormat="1" ht="48" customHeight="1">
      <c r="A18" s="834"/>
      <c r="B18" s="793"/>
      <c r="C18" s="446"/>
      <c r="D18" s="476" t="s">
        <v>379</v>
      </c>
      <c r="E18" s="217" t="str">
        <f>+'MATRIZ GENERAL CONSOLIDADA'!C16</f>
        <v xml:space="preserve">Municipio </v>
      </c>
      <c r="F18" s="353">
        <f>+'MATRIZ GENERAL CONSOLIDADA'!L16</f>
        <v>37</v>
      </c>
      <c r="G18" s="529">
        <f>+'Anexo 1 Matriz SINA Inf Gestión'!E16</f>
        <v>37</v>
      </c>
      <c r="H18" s="530">
        <f>+'Anexo 1 Matriz SINA Inf Gestión'!M16</f>
        <v>866631719</v>
      </c>
      <c r="I18" s="629">
        <f>+'Anexo 1 Matriz SINA Inf Gestión'!N16</f>
        <v>394746150</v>
      </c>
      <c r="J18" s="77">
        <f t="shared" si="0"/>
        <v>471885569</v>
      </c>
      <c r="K18" s="562"/>
      <c r="L18" s="559"/>
      <c r="M18" s="172"/>
      <c r="N18" s="172"/>
      <c r="O18" s="173"/>
      <c r="P18" s="451"/>
    </row>
    <row r="19" spans="1:16" s="1" customFormat="1" ht="48" customHeight="1">
      <c r="A19" s="834"/>
      <c r="B19" s="793"/>
      <c r="C19" s="446"/>
      <c r="D19" s="476" t="s">
        <v>382</v>
      </c>
      <c r="E19" s="217" t="str">
        <f>+'MATRIZ GENERAL CONSOLIDADA'!C18</f>
        <v>Estudio</v>
      </c>
      <c r="F19" s="353">
        <f>+'MATRIZ GENERAL CONSOLIDADA'!L18</f>
        <v>1</v>
      </c>
      <c r="G19" s="649">
        <f>+'Anexo 1 Matriz SINA Inf Gestión'!E18</f>
        <v>0.25</v>
      </c>
      <c r="H19" s="530">
        <f>+'Anexo 1 Matriz SINA Inf Gestión'!M18</f>
        <v>0</v>
      </c>
      <c r="I19" s="629">
        <f>+'Anexo 1 Matriz SINA Inf Gestión'!N18</f>
        <v>0</v>
      </c>
      <c r="J19" s="77">
        <f t="shared" si="0"/>
        <v>0</v>
      </c>
      <c r="K19" s="562"/>
      <c r="L19" s="559"/>
      <c r="M19" s="172"/>
      <c r="N19" s="172"/>
      <c r="O19" s="173"/>
      <c r="P19" s="451"/>
    </row>
    <row r="20" spans="1:16" s="1" customFormat="1" ht="18" customHeight="1">
      <c r="A20" s="834"/>
      <c r="B20" s="793"/>
      <c r="C20" s="563"/>
      <c r="D20" s="835" t="s">
        <v>327</v>
      </c>
      <c r="E20" s="835"/>
      <c r="F20" s="835"/>
      <c r="G20" s="835"/>
      <c r="H20" s="573">
        <f>SUM(H9:H19)</f>
        <v>2714691753</v>
      </c>
      <c r="I20" s="537"/>
      <c r="J20" s="795">
        <f>+H20-I21</f>
        <v>1405502403</v>
      </c>
      <c r="K20" s="174" t="e">
        <f>675436154-#REF!</f>
        <v>#REF!</v>
      </c>
      <c r="L20" s="559"/>
      <c r="M20" s="172">
        <v>210274</v>
      </c>
      <c r="N20" s="172"/>
      <c r="O20" s="173"/>
      <c r="P20" s="165"/>
    </row>
    <row r="21" spans="1:16" s="1" customFormat="1" ht="18" customHeight="1">
      <c r="A21" s="834"/>
      <c r="B21" s="793"/>
      <c r="C21" s="563"/>
      <c r="D21" s="835" t="s">
        <v>328</v>
      </c>
      <c r="E21" s="835"/>
      <c r="F21" s="835"/>
      <c r="G21" s="835"/>
      <c r="H21" s="835"/>
      <c r="I21" s="538">
        <f>SUM(I9:I19)</f>
        <v>1309189350</v>
      </c>
      <c r="J21" s="836"/>
      <c r="K21" s="174">
        <v>11</v>
      </c>
      <c r="L21" s="559"/>
      <c r="M21" s="172">
        <v>105137</v>
      </c>
      <c r="N21" s="172"/>
      <c r="O21" s="173"/>
      <c r="P21" s="165"/>
    </row>
    <row r="22" spans="1:16" s="1" customFormat="1" ht="18.75" customHeight="1">
      <c r="A22" s="834"/>
      <c r="B22" s="793"/>
      <c r="C22" s="563"/>
      <c r="D22" s="835" t="s">
        <v>329</v>
      </c>
      <c r="E22" s="835"/>
      <c r="F22" s="835"/>
      <c r="G22" s="835"/>
      <c r="H22" s="835"/>
      <c r="I22" s="539">
        <f>+I21/H20</f>
        <v>0.48226077548333718</v>
      </c>
      <c r="J22" s="836"/>
      <c r="K22" s="559"/>
      <c r="L22" s="559"/>
      <c r="M22" s="175"/>
      <c r="N22" s="175">
        <f>SUM(M11:N21)</f>
        <v>1451325</v>
      </c>
      <c r="O22" s="173"/>
      <c r="P22" s="165"/>
    </row>
    <row r="23" spans="1:16" s="1" customFormat="1" ht="24" customHeight="1">
      <c r="A23" s="834"/>
      <c r="B23" s="803" t="s">
        <v>313</v>
      </c>
      <c r="C23" s="566"/>
      <c r="D23" s="824" t="s">
        <v>314</v>
      </c>
      <c r="E23" s="799" t="s">
        <v>96</v>
      </c>
      <c r="F23" s="799" t="s">
        <v>315</v>
      </c>
      <c r="G23" s="799"/>
      <c r="H23" s="797" t="s">
        <v>316</v>
      </c>
      <c r="I23" s="797"/>
      <c r="J23" s="798"/>
      <c r="K23" s="559"/>
      <c r="L23" s="559"/>
      <c r="M23" s="175"/>
      <c r="N23" s="175"/>
      <c r="O23" s="173"/>
      <c r="P23" s="165"/>
    </row>
    <row r="24" spans="1:16" s="1" customFormat="1" ht="45" customHeight="1">
      <c r="A24" s="834"/>
      <c r="B24" s="803"/>
      <c r="C24" s="566"/>
      <c r="D24" s="825"/>
      <c r="E24" s="799"/>
      <c r="F24" s="570" t="s">
        <v>317</v>
      </c>
      <c r="G24" s="570" t="s">
        <v>318</v>
      </c>
      <c r="H24" s="571" t="s">
        <v>319</v>
      </c>
      <c r="I24" s="568" t="s">
        <v>320</v>
      </c>
      <c r="J24" s="569" t="s">
        <v>321</v>
      </c>
      <c r="K24" s="559"/>
      <c r="L24" s="559"/>
      <c r="M24" s="175"/>
      <c r="N24" s="175"/>
      <c r="O24" s="173"/>
      <c r="P24" s="165"/>
    </row>
    <row r="25" spans="1:16" s="1" customFormat="1" ht="43.5" customHeight="1">
      <c r="A25" s="834"/>
      <c r="B25" s="793" t="s">
        <v>482</v>
      </c>
      <c r="C25" s="563"/>
      <c r="D25" s="534" t="s">
        <v>502</v>
      </c>
      <c r="E25" s="215" t="s">
        <v>181</v>
      </c>
      <c r="F25" s="248">
        <v>100</v>
      </c>
      <c r="G25" s="540">
        <f>+'MATRIZ GENERAL CONSOLIDADA'!N20</f>
        <v>10</v>
      </c>
      <c r="H25" s="540">
        <f>+'MATRIZ GENERAL CONSOLIDADA'!M20</f>
        <v>0</v>
      </c>
      <c r="I25" s="540">
        <f>+'MATRIZ GENERAL CONSOLIDADA'!O20</f>
        <v>0</v>
      </c>
      <c r="J25" s="77">
        <f>+H25-I25</f>
        <v>0</v>
      </c>
      <c r="K25" s="559"/>
      <c r="L25" s="559"/>
      <c r="M25" s="175"/>
      <c r="N25" s="175"/>
      <c r="O25" s="173"/>
      <c r="P25" s="165"/>
    </row>
    <row r="26" spans="1:16" s="1" customFormat="1" ht="75" customHeight="1">
      <c r="A26" s="834"/>
      <c r="B26" s="793"/>
      <c r="C26" s="563"/>
      <c r="D26" s="531" t="s">
        <v>503</v>
      </c>
      <c r="E26" s="284" t="s">
        <v>504</v>
      </c>
      <c r="F26" s="248">
        <v>3</v>
      </c>
      <c r="G26" s="637">
        <f>+'MATRIZ GENERAL CONSOLIDADA'!N21</f>
        <v>0.1</v>
      </c>
      <c r="H26" s="540">
        <f>+'MATRIZ GENERAL CONSOLIDADA'!M21</f>
        <v>3900245742</v>
      </c>
      <c r="I26" s="540">
        <f>+'Anexo 1 Matriz SINA Inf Gestión'!N21</f>
        <v>471239807</v>
      </c>
      <c r="J26" s="77">
        <f>+H26-I26</f>
        <v>3429005935</v>
      </c>
      <c r="K26" s="559"/>
      <c r="L26" s="559"/>
      <c r="M26" s="175"/>
      <c r="N26" s="175"/>
      <c r="O26" s="173"/>
      <c r="P26" s="451"/>
    </row>
    <row r="27" spans="1:16" s="1" customFormat="1" ht="75" customHeight="1">
      <c r="A27" s="834"/>
      <c r="B27" s="793"/>
      <c r="C27" s="446"/>
      <c r="D27" s="375" t="s">
        <v>384</v>
      </c>
      <c r="E27" s="284" t="str">
        <f>+'MATRIZ GENERAL CONSOLIDADA'!B22</f>
        <v>Suma</v>
      </c>
      <c r="F27" s="648">
        <f>+'MATRIZ GENERAL CONSOLIDADA'!L22</f>
        <v>50</v>
      </c>
      <c r="G27" s="540">
        <f>+'MATRIZ GENERAL CONSOLIDADA'!N22</f>
        <v>0</v>
      </c>
      <c r="H27" s="540">
        <f>+'MATRIZ GENERAL CONSOLIDADA'!M22</f>
        <v>0</v>
      </c>
      <c r="I27" s="540">
        <f>+'Anexo 1 Matriz SINA Inf Gestión'!N22</f>
        <v>0</v>
      </c>
      <c r="J27" s="77">
        <f>+H27-I27</f>
        <v>0</v>
      </c>
      <c r="K27" s="559"/>
      <c r="L27" s="559"/>
      <c r="M27" s="175"/>
      <c r="N27" s="175"/>
      <c r="O27" s="173"/>
      <c r="P27" s="451"/>
    </row>
    <row r="28" spans="1:16" s="1" customFormat="1" ht="56.25" customHeight="1">
      <c r="A28" s="834"/>
      <c r="B28" s="793"/>
      <c r="C28" s="446"/>
      <c r="D28" s="481" t="s">
        <v>358</v>
      </c>
      <c r="E28" s="223" t="s">
        <v>464</v>
      </c>
      <c r="F28" s="248">
        <v>200</v>
      </c>
      <c r="G28" s="540">
        <f>+'MATRIZ GENERAL CONSOLIDADA'!N23</f>
        <v>0</v>
      </c>
      <c r="H28" s="540">
        <f>+'MATRIZ GENERAL CONSOLIDADA'!M23</f>
        <v>250038171</v>
      </c>
      <c r="I28" s="540">
        <f>+'Anexo 1 Matriz SINA Inf Gestión'!N23</f>
        <v>0</v>
      </c>
      <c r="J28" s="77">
        <f t="shared" ref="J28:J34" si="1">+H28-I28</f>
        <v>250038171</v>
      </c>
      <c r="K28" s="559"/>
      <c r="L28" s="559"/>
      <c r="M28" s="175"/>
      <c r="N28" s="175"/>
      <c r="O28" s="173"/>
      <c r="P28" s="165"/>
    </row>
    <row r="29" spans="1:16" s="1" customFormat="1" ht="53.25" customHeight="1">
      <c r="A29" s="834"/>
      <c r="B29" s="793"/>
      <c r="C29" s="446"/>
      <c r="D29" s="483" t="str">
        <f>+'Anexo 1 Matriz SINA Inf Gestión'!B24</f>
        <v>Áreas reforestadas gestionadas para la protección de cuencas abastecedoras.</v>
      </c>
      <c r="E29" s="224" t="s">
        <v>464</v>
      </c>
      <c r="F29" s="248">
        <v>50</v>
      </c>
      <c r="G29" s="540">
        <f>+'MATRIZ GENERAL CONSOLIDADA'!N24</f>
        <v>0</v>
      </c>
      <c r="H29" s="540">
        <f>+'MATRIZ GENERAL CONSOLIDADA'!M24</f>
        <v>223072583</v>
      </c>
      <c r="I29" s="540">
        <f>+'Anexo 1 Matriz SINA Inf Gestión'!N24</f>
        <v>0</v>
      </c>
      <c r="J29" s="77">
        <f t="shared" si="1"/>
        <v>223072583</v>
      </c>
      <c r="K29" s="559"/>
      <c r="L29" s="559"/>
      <c r="M29" s="175"/>
      <c r="N29" s="175"/>
      <c r="O29" s="173"/>
      <c r="P29" s="165"/>
    </row>
    <row r="30" spans="1:16" s="1" customFormat="1" ht="53.25" customHeight="1">
      <c r="A30" s="834"/>
      <c r="B30" s="793"/>
      <c r="C30" s="446"/>
      <c r="D30" s="483" t="s">
        <v>368</v>
      </c>
      <c r="E30" s="287" t="s">
        <v>464</v>
      </c>
      <c r="F30" s="248">
        <v>186</v>
      </c>
      <c r="G30" s="540">
        <f>+'MATRIZ GENERAL CONSOLIDADA'!N25</f>
        <v>38</v>
      </c>
      <c r="H30" s="540">
        <f>+'MATRIZ GENERAL CONSOLIDADA'!M25</f>
        <v>98088332</v>
      </c>
      <c r="I30" s="540">
        <f>+'Anexo 1 Matriz SINA Inf Gestión'!N25</f>
        <v>0</v>
      </c>
      <c r="J30" s="77">
        <f t="shared" si="1"/>
        <v>98088332</v>
      </c>
      <c r="K30" s="559"/>
      <c r="L30" s="559"/>
      <c r="M30" s="175"/>
      <c r="N30" s="175"/>
      <c r="O30" s="173"/>
      <c r="P30" s="165"/>
    </row>
    <row r="31" spans="1:16" s="1" customFormat="1" ht="53.25" customHeight="1">
      <c r="A31" s="834"/>
      <c r="B31" s="793"/>
      <c r="C31" s="446"/>
      <c r="D31" s="483" t="s">
        <v>526</v>
      </c>
      <c r="E31" s="287" t="s">
        <v>464</v>
      </c>
      <c r="F31" s="248">
        <v>1463</v>
      </c>
      <c r="G31" s="540">
        <f>+'MATRIZ GENERAL CONSOLIDADA'!N26</f>
        <v>0</v>
      </c>
      <c r="H31" s="540">
        <f>+'MATRIZ GENERAL CONSOLIDADA'!M26</f>
        <v>3231800000</v>
      </c>
      <c r="I31" s="540">
        <f>+'Anexo 1 Matriz SINA Inf Gestión'!N26</f>
        <v>2496384982</v>
      </c>
      <c r="J31" s="77">
        <f t="shared" si="1"/>
        <v>735415018</v>
      </c>
      <c r="K31" s="559"/>
      <c r="L31" s="559"/>
      <c r="M31" s="175"/>
      <c r="N31" s="175"/>
      <c r="O31" s="173"/>
      <c r="P31" s="165"/>
    </row>
    <row r="32" spans="1:16" s="1" customFormat="1" ht="53.25" customHeight="1">
      <c r="A32" s="834"/>
      <c r="B32" s="793"/>
      <c r="C32" s="446"/>
      <c r="D32" s="483" t="s">
        <v>371</v>
      </c>
      <c r="E32" s="286" t="s">
        <v>464</v>
      </c>
      <c r="F32" s="248">
        <v>7747</v>
      </c>
      <c r="G32" s="540">
        <f>+'MATRIZ GENERAL CONSOLIDADA'!N27</f>
        <v>0</v>
      </c>
      <c r="H32" s="540">
        <f>+'MATRIZ GENERAL CONSOLIDADA'!M27</f>
        <v>1467055990</v>
      </c>
      <c r="I32" s="540">
        <f>+'Anexo 1 Matriz SINA Inf Gestión'!N27</f>
        <v>0</v>
      </c>
      <c r="J32" s="77">
        <f t="shared" si="1"/>
        <v>1467055990</v>
      </c>
      <c r="K32" s="559"/>
      <c r="L32" s="559"/>
      <c r="M32" s="175"/>
      <c r="N32" s="175"/>
      <c r="O32" s="173"/>
      <c r="P32" s="165"/>
    </row>
    <row r="33" spans="1:16" s="1" customFormat="1" ht="53.25" customHeight="1">
      <c r="A33" s="834"/>
      <c r="B33" s="793"/>
      <c r="C33" s="563"/>
      <c r="D33" s="541" t="s">
        <v>369</v>
      </c>
      <c r="E33" s="286" t="s">
        <v>464</v>
      </c>
      <c r="F33" s="248">
        <v>300</v>
      </c>
      <c r="G33" s="540">
        <f>+'MATRIZ GENERAL CONSOLIDADA'!N28</f>
        <v>0</v>
      </c>
      <c r="H33" s="540">
        <f>+'MATRIZ GENERAL CONSOLIDADA'!M28</f>
        <v>400000000</v>
      </c>
      <c r="I33" s="540">
        <f>+'Anexo 1 Matriz SINA Inf Gestión'!N28</f>
        <v>0</v>
      </c>
      <c r="J33" s="77">
        <f t="shared" si="1"/>
        <v>400000000</v>
      </c>
      <c r="K33" s="559"/>
      <c r="L33" s="559"/>
      <c r="M33" s="175"/>
      <c r="N33" s="175"/>
      <c r="O33" s="173"/>
      <c r="P33" s="165"/>
    </row>
    <row r="34" spans="1:16" s="1" customFormat="1" ht="53.25" customHeight="1">
      <c r="A34" s="834"/>
      <c r="B34" s="793"/>
      <c r="C34" s="446"/>
      <c r="D34" s="476" t="s">
        <v>497</v>
      </c>
      <c r="E34" s="215" t="s">
        <v>465</v>
      </c>
      <c r="F34" s="248">
        <v>30</v>
      </c>
      <c r="G34" s="540">
        <f>+'MATRIZ GENERAL CONSOLIDADA'!N29</f>
        <v>15</v>
      </c>
      <c r="H34" s="540">
        <f>+'MATRIZ GENERAL CONSOLIDADA'!M29</f>
        <v>0</v>
      </c>
      <c r="I34" s="540">
        <f>+'Anexo 1 Matriz SINA Inf Gestión'!N29</f>
        <v>0</v>
      </c>
      <c r="J34" s="77">
        <f t="shared" si="1"/>
        <v>0</v>
      </c>
      <c r="K34" s="559"/>
      <c r="L34" s="559"/>
      <c r="M34" s="175"/>
      <c r="N34" s="175"/>
      <c r="O34" s="173"/>
      <c r="P34" s="165"/>
    </row>
    <row r="35" spans="1:16" s="1" customFormat="1" ht="24" customHeight="1">
      <c r="A35" s="834"/>
      <c r="B35" s="793"/>
      <c r="C35" s="563"/>
      <c r="D35" s="835" t="s">
        <v>327</v>
      </c>
      <c r="E35" s="835"/>
      <c r="F35" s="835"/>
      <c r="G35" s="835"/>
      <c r="H35" s="573">
        <f>SUM(H25:H34)</f>
        <v>9570300818</v>
      </c>
      <c r="I35" s="542"/>
      <c r="J35" s="795">
        <f>+H35-I36</f>
        <v>6602676029</v>
      </c>
      <c r="K35" s="559"/>
      <c r="L35" s="559"/>
      <c r="M35" s="175"/>
      <c r="N35" s="175"/>
      <c r="O35" s="173"/>
      <c r="P35" s="165"/>
    </row>
    <row r="36" spans="1:16" s="1" customFormat="1" ht="18" customHeight="1">
      <c r="A36" s="834"/>
      <c r="B36" s="793"/>
      <c r="C36" s="563"/>
      <c r="D36" s="835" t="s">
        <v>328</v>
      </c>
      <c r="E36" s="835"/>
      <c r="F36" s="835"/>
      <c r="G36" s="835"/>
      <c r="H36" s="835"/>
      <c r="I36" s="543">
        <f>SUM(I26:I35)</f>
        <v>2967624789</v>
      </c>
      <c r="J36" s="836"/>
      <c r="K36" s="559"/>
      <c r="L36" s="559"/>
      <c r="M36" s="175"/>
      <c r="N36" s="175"/>
      <c r="O36" s="173"/>
      <c r="P36" s="165"/>
    </row>
    <row r="37" spans="1:16" s="1" customFormat="1" ht="18" customHeight="1">
      <c r="A37" s="834"/>
      <c r="B37" s="793"/>
      <c r="C37" s="563"/>
      <c r="D37" s="835" t="s">
        <v>329</v>
      </c>
      <c r="E37" s="835"/>
      <c r="F37" s="835"/>
      <c r="G37" s="835"/>
      <c r="H37" s="835"/>
      <c r="I37" s="612">
        <f>+I36/H35</f>
        <v>0.3100868870723934</v>
      </c>
      <c r="J37" s="836"/>
      <c r="K37" s="559"/>
      <c r="L37" s="559"/>
      <c r="M37" s="175"/>
      <c r="N37" s="175"/>
      <c r="O37" s="173"/>
      <c r="P37" s="165"/>
    </row>
    <row r="38" spans="1:16" s="1" customFormat="1" ht="47.25" customHeight="1">
      <c r="A38" s="834"/>
      <c r="B38" s="803" t="s">
        <v>313</v>
      </c>
      <c r="C38" s="566"/>
      <c r="D38" s="824" t="s">
        <v>314</v>
      </c>
      <c r="E38" s="799" t="s">
        <v>96</v>
      </c>
      <c r="F38" s="799" t="s">
        <v>315</v>
      </c>
      <c r="G38" s="799"/>
      <c r="H38" s="797" t="s">
        <v>316</v>
      </c>
      <c r="I38" s="797"/>
      <c r="J38" s="798"/>
      <c r="K38" s="559"/>
      <c r="L38" s="559"/>
      <c r="M38" s="175"/>
      <c r="N38" s="175"/>
      <c r="O38" s="173"/>
      <c r="P38" s="165"/>
    </row>
    <row r="39" spans="1:16" s="1" customFormat="1" ht="47.25" customHeight="1">
      <c r="A39" s="834"/>
      <c r="B39" s="803"/>
      <c r="C39" s="566"/>
      <c r="D39" s="825"/>
      <c r="E39" s="799"/>
      <c r="F39" s="570" t="s">
        <v>317</v>
      </c>
      <c r="G39" s="570" t="s">
        <v>318</v>
      </c>
      <c r="H39" s="571" t="s">
        <v>319</v>
      </c>
      <c r="I39" s="568" t="s">
        <v>320</v>
      </c>
      <c r="J39" s="569" t="s">
        <v>321</v>
      </c>
      <c r="K39" s="559"/>
      <c r="L39" s="559"/>
      <c r="M39" s="175"/>
      <c r="N39" s="175"/>
      <c r="O39" s="173"/>
      <c r="P39" s="165"/>
    </row>
    <row r="40" spans="1:16" s="1" customFormat="1" ht="68.25" customHeight="1">
      <c r="A40" s="834"/>
      <c r="B40" s="793" t="s">
        <v>483</v>
      </c>
      <c r="C40" s="446"/>
      <c r="D40" s="476" t="s">
        <v>385</v>
      </c>
      <c r="E40" s="474" t="str">
        <f>+'MATRIZ GENERAL CONSOLIDADA'!C31</f>
        <v>Convenio*</v>
      </c>
      <c r="F40" s="500">
        <f>+'MATRIZ GENERAL CONSOLIDADA'!L31</f>
        <v>1</v>
      </c>
      <c r="G40" s="761">
        <f>+'MATRIZ GENERAL CONSOLIDADA'!N31</f>
        <v>0.5</v>
      </c>
      <c r="H40" s="572">
        <f>+'MATRIZ GENERAL CONSOLIDADA'!M31</f>
        <v>1723977896</v>
      </c>
      <c r="I40" s="467">
        <f>+'Anexo 1 Matriz SINA Inf Gestión'!N31</f>
        <v>1723977897</v>
      </c>
      <c r="J40" s="77">
        <f>+H40-I40</f>
        <v>-1</v>
      </c>
      <c r="K40" s="559"/>
      <c r="L40" s="559"/>
      <c r="M40" s="175"/>
      <c r="N40" s="175"/>
      <c r="O40" s="173"/>
      <c r="P40" s="165"/>
    </row>
    <row r="41" spans="1:16" s="1" customFormat="1" ht="33" customHeight="1">
      <c r="A41" s="834"/>
      <c r="B41" s="793"/>
      <c r="C41" s="446"/>
      <c r="D41" s="476" t="s">
        <v>498</v>
      </c>
      <c r="E41" s="474" t="str">
        <f>+'MATRIZ GENERAL CONSOLIDADA'!C32</f>
        <v>Seguimiento*</v>
      </c>
      <c r="F41" s="500">
        <f>+'MATRIZ GENERAL CONSOLIDADA'!L32</f>
        <v>1</v>
      </c>
      <c r="G41" s="761">
        <f>+'MATRIZ GENERAL CONSOLIDADA'!N32</f>
        <v>0.5</v>
      </c>
      <c r="H41" s="572">
        <f>+'MATRIZ GENERAL CONSOLIDADA'!M32</f>
        <v>130173883.45999999</v>
      </c>
      <c r="I41" s="467">
        <f>+'Anexo 1 Matriz SINA Inf Gestión'!N32</f>
        <v>0</v>
      </c>
      <c r="J41" s="77">
        <f>+H41-I41</f>
        <v>130173883.45999999</v>
      </c>
      <c r="K41" s="559"/>
      <c r="L41" s="559"/>
      <c r="M41" s="175"/>
      <c r="N41" s="175"/>
      <c r="O41" s="173"/>
      <c r="P41" s="451"/>
    </row>
    <row r="42" spans="1:16" s="1" customFormat="1" ht="22.5" customHeight="1">
      <c r="A42" s="834"/>
      <c r="B42" s="793"/>
      <c r="C42" s="563"/>
      <c r="D42" s="835" t="s">
        <v>327</v>
      </c>
      <c r="E42" s="835"/>
      <c r="F42" s="835"/>
      <c r="G42" s="835"/>
      <c r="H42" s="573">
        <f>SUM(H40:H41)</f>
        <v>1854151779.46</v>
      </c>
      <c r="I42" s="467"/>
      <c r="J42" s="795">
        <f>+H42-I43</f>
        <v>130173882.46000004</v>
      </c>
      <c r="K42" s="559"/>
      <c r="L42" s="559"/>
      <c r="M42" s="175"/>
      <c r="N42" s="175"/>
      <c r="O42" s="173"/>
      <c r="P42" s="165"/>
    </row>
    <row r="43" spans="1:16" s="1" customFormat="1" ht="16.5" customHeight="1">
      <c r="A43" s="834"/>
      <c r="B43" s="793"/>
      <c r="C43" s="563"/>
      <c r="D43" s="835" t="s">
        <v>328</v>
      </c>
      <c r="E43" s="835"/>
      <c r="F43" s="835"/>
      <c r="G43" s="835"/>
      <c r="H43" s="835"/>
      <c r="I43" s="573">
        <f>SUM(I40:I42)</f>
        <v>1723977897</v>
      </c>
      <c r="J43" s="836"/>
      <c r="K43" s="559"/>
      <c r="L43" s="559"/>
      <c r="M43" s="175"/>
      <c r="N43" s="175"/>
      <c r="O43" s="173"/>
      <c r="P43" s="165"/>
    </row>
    <row r="44" spans="1:16" s="1" customFormat="1" ht="18.75" customHeight="1">
      <c r="A44" s="839"/>
      <c r="B44" s="793"/>
      <c r="C44" s="563"/>
      <c r="D44" s="835" t="s">
        <v>329</v>
      </c>
      <c r="E44" s="835"/>
      <c r="F44" s="835"/>
      <c r="G44" s="835"/>
      <c r="H44" s="835"/>
      <c r="I44" s="539">
        <f>+I43/H42</f>
        <v>0.92979329745167272</v>
      </c>
      <c r="J44" s="836"/>
      <c r="K44" s="559"/>
      <c r="L44" s="559"/>
      <c r="M44" s="175"/>
      <c r="N44" s="175"/>
      <c r="O44" s="173"/>
      <c r="P44" s="165"/>
    </row>
    <row r="45" spans="1:16" s="1" customFormat="1" ht="17.25" customHeight="1">
      <c r="A45" s="823" t="s">
        <v>312</v>
      </c>
      <c r="B45" s="803" t="s">
        <v>313</v>
      </c>
      <c r="C45" s="566"/>
      <c r="D45" s="824" t="s">
        <v>314</v>
      </c>
      <c r="E45" s="799" t="s">
        <v>96</v>
      </c>
      <c r="F45" s="799" t="s">
        <v>315</v>
      </c>
      <c r="G45" s="799"/>
      <c r="H45" s="797" t="s">
        <v>316</v>
      </c>
      <c r="I45" s="797"/>
      <c r="J45" s="798"/>
      <c r="K45" s="559"/>
      <c r="L45" s="559"/>
      <c r="M45" s="172"/>
      <c r="N45" s="172"/>
      <c r="O45" s="173"/>
      <c r="P45" s="165"/>
    </row>
    <row r="46" spans="1:16" s="1" customFormat="1" ht="51.75" customHeight="1">
      <c r="A46" s="823"/>
      <c r="B46" s="803"/>
      <c r="C46" s="566"/>
      <c r="D46" s="825"/>
      <c r="E46" s="799"/>
      <c r="F46" s="570" t="s">
        <v>317</v>
      </c>
      <c r="G46" s="570" t="s">
        <v>318</v>
      </c>
      <c r="H46" s="571" t="s">
        <v>319</v>
      </c>
      <c r="I46" s="568" t="s">
        <v>320</v>
      </c>
      <c r="J46" s="569" t="s">
        <v>321</v>
      </c>
      <c r="K46" s="559"/>
      <c r="L46" s="559"/>
      <c r="M46" s="172"/>
      <c r="N46" s="172"/>
      <c r="O46" s="173"/>
      <c r="P46" s="165"/>
    </row>
    <row r="47" spans="1:16" s="1" customFormat="1" ht="57.75" customHeight="1">
      <c r="A47" s="833" t="s">
        <v>484</v>
      </c>
      <c r="B47" s="793" t="s">
        <v>493</v>
      </c>
      <c r="C47" s="446"/>
      <c r="D47" s="290" t="s">
        <v>500</v>
      </c>
      <c r="E47" s="465" t="str">
        <f>+'MATRIZ GENERAL CONSOLIDADA'!C35</f>
        <v>%</v>
      </c>
      <c r="F47" s="500">
        <f>+'MATRIZ GENERAL CONSOLIDADA'!L35</f>
        <v>80</v>
      </c>
      <c r="G47" s="540">
        <f>+'MATRIZ GENERAL CONSOLIDADA'!N35</f>
        <v>0</v>
      </c>
      <c r="H47" s="572">
        <f>+'MATRIZ GENERAL CONSOLIDADA'!M35</f>
        <v>0</v>
      </c>
      <c r="I47" s="574">
        <f>+'MATRIZ GENERAL CONSOLIDADA'!O35</f>
        <v>0</v>
      </c>
      <c r="J47" s="77">
        <f t="shared" ref="J47:J54" si="2">+H47-I47</f>
        <v>0</v>
      </c>
      <c r="K47" s="559"/>
      <c r="L47" s="559"/>
      <c r="M47" s="176">
        <f>75206</f>
        <v>75206</v>
      </c>
      <c r="N47" s="172">
        <v>340671</v>
      </c>
      <c r="O47" s="173"/>
      <c r="P47" s="165"/>
    </row>
    <row r="48" spans="1:16" s="1" customFormat="1" ht="59.25" customHeight="1">
      <c r="A48" s="834"/>
      <c r="B48" s="793"/>
      <c r="C48" s="446"/>
      <c r="D48" s="372" t="s">
        <v>391</v>
      </c>
      <c r="E48" s="465" t="str">
        <f>+'MATRIZ GENERAL CONSOLIDADA'!C36</f>
        <v xml:space="preserve">Hectáreas </v>
      </c>
      <c r="F48" s="500">
        <f>+'MATRIZ GENERAL CONSOLIDADA'!L36</f>
        <v>175994</v>
      </c>
      <c r="G48" s="540">
        <f>+'MATRIZ GENERAL CONSOLIDADA'!N36</f>
        <v>0</v>
      </c>
      <c r="H48" s="572">
        <f>+'Anexo 1 Matriz SINA Inf Gestión'!M36</f>
        <v>512169451</v>
      </c>
      <c r="I48" s="574">
        <f>+'Anexo 1 Matriz SINA Inf Gestión'!N36</f>
        <v>512169451</v>
      </c>
      <c r="J48" s="77">
        <f t="shared" si="2"/>
        <v>0</v>
      </c>
      <c r="K48" s="559"/>
      <c r="L48" s="559"/>
      <c r="M48" s="176"/>
      <c r="N48" s="172"/>
      <c r="O48" s="173"/>
      <c r="P48" s="165"/>
    </row>
    <row r="49" spans="1:16" s="1" customFormat="1" ht="47.25" customHeight="1">
      <c r="A49" s="834"/>
      <c r="B49" s="793"/>
      <c r="C49" s="446"/>
      <c r="D49" s="372" t="s">
        <v>392</v>
      </c>
      <c r="E49" s="465" t="str">
        <f>+'MATRIZ GENERAL CONSOLIDADA'!C37</f>
        <v>% Avance</v>
      </c>
      <c r="F49" s="500">
        <f>+'MATRIZ GENERAL CONSOLIDADA'!L37</f>
        <v>20</v>
      </c>
      <c r="G49" s="540">
        <f>+'MATRIZ GENERAL CONSOLIDADA'!N37</f>
        <v>0</v>
      </c>
      <c r="H49" s="572">
        <f>+'Anexo 1 Matriz SINA Inf Gestión'!M37</f>
        <v>0</v>
      </c>
      <c r="I49" s="574">
        <f>+'Anexo 1 Matriz SINA Inf Gestión'!N37</f>
        <v>0</v>
      </c>
      <c r="J49" s="77">
        <f t="shared" si="2"/>
        <v>0</v>
      </c>
      <c r="K49" s="559"/>
      <c r="L49" s="559"/>
      <c r="M49" s="176"/>
      <c r="N49" s="172"/>
      <c r="O49" s="173"/>
      <c r="P49" s="165"/>
    </row>
    <row r="50" spans="1:16" s="1" customFormat="1" ht="45" customHeight="1">
      <c r="A50" s="834"/>
      <c r="B50" s="793"/>
      <c r="C50" s="446"/>
      <c r="D50" s="372" t="s">
        <v>393</v>
      </c>
      <c r="E50" s="465" t="str">
        <f>+'MATRIZ GENERAL CONSOLIDADA'!C38</f>
        <v>Predios</v>
      </c>
      <c r="F50" s="500">
        <f>+'MATRIZ GENERAL CONSOLIDADA'!L38</f>
        <v>30</v>
      </c>
      <c r="G50" s="540">
        <f>+'MATRIZ GENERAL CONSOLIDADA'!N38</f>
        <v>6</v>
      </c>
      <c r="H50" s="572">
        <f>+'Anexo 1 Matriz SINA Inf Gestión'!M38</f>
        <v>48192000</v>
      </c>
      <c r="I50" s="574">
        <f>+'Anexo 1 Matriz SINA Inf Gestión'!N38</f>
        <v>35140000</v>
      </c>
      <c r="J50" s="77">
        <f t="shared" si="2"/>
        <v>13052000</v>
      </c>
      <c r="K50" s="559"/>
      <c r="L50" s="559"/>
      <c r="M50" s="176"/>
      <c r="N50" s="172"/>
      <c r="O50" s="173"/>
      <c r="P50" s="165"/>
    </row>
    <row r="51" spans="1:16" s="1" customFormat="1" ht="42.75" customHeight="1">
      <c r="A51" s="834"/>
      <c r="B51" s="793"/>
      <c r="C51" s="446"/>
      <c r="D51" s="372" t="s">
        <v>394</v>
      </c>
      <c r="E51" s="465" t="str">
        <f>+'MATRIZ GENERAL CONSOLIDADA'!C39</f>
        <v>Unidad *</v>
      </c>
      <c r="F51" s="500">
        <f>+'MATRIZ GENERAL CONSOLIDADA'!L39</f>
        <v>3</v>
      </c>
      <c r="G51" s="540">
        <f>+'MATRIZ GENERAL CONSOLIDADA'!N39</f>
        <v>0.9</v>
      </c>
      <c r="H51" s="572">
        <f>+'Anexo 1 Matriz SINA Inf Gestión'!M39</f>
        <v>15060000</v>
      </c>
      <c r="I51" s="574">
        <f>+'Anexo 1 Matriz SINA Inf Gestión'!N39</f>
        <v>0</v>
      </c>
      <c r="J51" s="77">
        <f t="shared" si="2"/>
        <v>15060000</v>
      </c>
      <c r="K51" s="559"/>
      <c r="L51" s="559"/>
      <c r="M51" s="176"/>
      <c r="N51" s="172"/>
      <c r="O51" s="173"/>
      <c r="P51" s="165"/>
    </row>
    <row r="52" spans="1:16" s="1" customFormat="1" ht="39" customHeight="1">
      <c r="A52" s="834"/>
      <c r="B52" s="793"/>
      <c r="C52" s="446"/>
      <c r="D52" s="372" t="s">
        <v>541</v>
      </c>
      <c r="E52" s="465" t="str">
        <f>+'MATRIZ GENERAL CONSOLIDADA'!C40</f>
        <v>Áreas estratégicas</v>
      </c>
      <c r="F52" s="500">
        <f>+'MATRIZ GENERAL CONSOLIDADA'!L40</f>
        <v>2</v>
      </c>
      <c r="G52" s="540">
        <f>+'MATRIZ GENERAL CONSOLIDADA'!N40</f>
        <v>0.4</v>
      </c>
      <c r="H52" s="572">
        <f>+'Anexo 1 Matriz SINA Inf Gestión'!M40</f>
        <v>139907860</v>
      </c>
      <c r="I52" s="574">
        <f>+'Anexo 1 Matriz SINA Inf Gestión'!N40</f>
        <v>88536000</v>
      </c>
      <c r="J52" s="77">
        <f t="shared" si="2"/>
        <v>51371860</v>
      </c>
      <c r="K52" s="559"/>
      <c r="L52" s="559"/>
      <c r="M52" s="176"/>
      <c r="N52" s="172"/>
      <c r="O52" s="173"/>
      <c r="P52" s="165"/>
    </row>
    <row r="53" spans="1:16" s="1" customFormat="1" ht="44.25" customHeight="1">
      <c r="A53" s="834"/>
      <c r="B53" s="793"/>
      <c r="C53" s="446"/>
      <c r="D53" s="375" t="s">
        <v>389</v>
      </c>
      <c r="E53" s="465" t="str">
        <f>+'MATRIZ GENERAL CONSOLIDADA'!C41</f>
        <v>%</v>
      </c>
      <c r="F53" s="500">
        <f>+'MATRIZ GENERAL CONSOLIDADA'!L41</f>
        <v>33</v>
      </c>
      <c r="G53" s="540">
        <f>+'MATRIZ GENERAL CONSOLIDADA'!N41</f>
        <v>10</v>
      </c>
      <c r="H53" s="572">
        <f>+'Anexo 1 Matriz SINA Inf Gestión'!M41</f>
        <v>0</v>
      </c>
      <c r="I53" s="574">
        <f>+'Anexo 1 Matriz SINA Inf Gestión'!N41</f>
        <v>0</v>
      </c>
      <c r="J53" s="77">
        <f t="shared" si="2"/>
        <v>0</v>
      </c>
      <c r="K53" s="559"/>
      <c r="L53" s="559"/>
      <c r="M53" s="176"/>
      <c r="N53" s="172"/>
      <c r="O53" s="173"/>
      <c r="P53" s="165"/>
    </row>
    <row r="54" spans="1:16" s="1" customFormat="1" ht="41.25" customHeight="1">
      <c r="A54" s="834"/>
      <c r="B54" s="793"/>
      <c r="C54" s="446"/>
      <c r="D54" s="372" t="s">
        <v>395</v>
      </c>
      <c r="E54" s="465" t="str">
        <f>+'MATRIZ GENERAL CONSOLIDADA'!C42</f>
        <v>Unidad</v>
      </c>
      <c r="F54" s="500">
        <f>+'MATRIZ GENERAL CONSOLIDADA'!L42</f>
        <v>1</v>
      </c>
      <c r="G54" s="637">
        <f>+'MATRIZ GENERAL CONSOLIDADA'!N42</f>
        <v>0.1</v>
      </c>
      <c r="H54" s="572">
        <f>+'Anexo 1 Matriz SINA Inf Gestión'!M42</f>
        <v>36144000</v>
      </c>
      <c r="I54" s="574">
        <f>+'Anexo 1 Matriz SINA Inf Gestión'!N42</f>
        <v>0</v>
      </c>
      <c r="J54" s="77">
        <f t="shared" si="2"/>
        <v>36144000</v>
      </c>
      <c r="K54" s="559"/>
      <c r="L54" s="559"/>
      <c r="M54" s="176"/>
      <c r="N54" s="172"/>
      <c r="O54" s="173"/>
      <c r="P54" s="165"/>
    </row>
    <row r="55" spans="1:16" s="1" customFormat="1" ht="40.5" customHeight="1">
      <c r="A55" s="834"/>
      <c r="B55" s="793"/>
      <c r="C55" s="446"/>
      <c r="D55" s="375" t="s">
        <v>390</v>
      </c>
      <c r="E55" s="465" t="str">
        <f>+'MATRIZ GENERAL CONSOLIDADA'!C43</f>
        <v>%</v>
      </c>
      <c r="F55" s="500">
        <f>+'MATRIZ GENERAL CONSOLIDADA'!L43</f>
        <v>100</v>
      </c>
      <c r="G55" s="540">
        <f>+'MATRIZ GENERAL CONSOLIDADA'!N43</f>
        <v>50</v>
      </c>
      <c r="H55" s="572">
        <f>+'Anexo 1 Matriz SINA Inf Gestión'!M43</f>
        <v>0</v>
      </c>
      <c r="I55" s="574">
        <f>+'Anexo 1 Matriz SINA Inf Gestión'!N43</f>
        <v>0</v>
      </c>
      <c r="J55" s="77"/>
      <c r="K55" s="559"/>
      <c r="L55" s="559"/>
      <c r="M55" s="176"/>
      <c r="N55" s="172"/>
      <c r="O55" s="173"/>
      <c r="P55" s="165"/>
    </row>
    <row r="56" spans="1:16" s="1" customFormat="1" ht="37.5" customHeight="1">
      <c r="A56" s="834"/>
      <c r="B56" s="793"/>
      <c r="C56" s="446"/>
      <c r="D56" s="372" t="s">
        <v>396</v>
      </c>
      <c r="E56" s="465" t="str">
        <f>+'MATRIZ GENERAL CONSOLIDADA'!C44</f>
        <v xml:space="preserve">Unidad* </v>
      </c>
      <c r="F56" s="500">
        <f>+'MATRIZ GENERAL CONSOLIDADA'!L44</f>
        <v>1</v>
      </c>
      <c r="G56" s="540">
        <f>+'MATRIZ GENERAL CONSOLIDADA'!N44</f>
        <v>0.5</v>
      </c>
      <c r="H56" s="572">
        <f>+'Anexo 1 Matriz SINA Inf Gestión'!M44</f>
        <v>5832289</v>
      </c>
      <c r="I56" s="574">
        <f>+'Anexo 1 Matriz SINA Inf Gestión'!N44</f>
        <v>0</v>
      </c>
      <c r="J56" s="77"/>
      <c r="K56" s="559"/>
      <c r="L56" s="559"/>
      <c r="M56" s="176"/>
      <c r="N56" s="172"/>
      <c r="O56" s="173"/>
      <c r="P56" s="165"/>
    </row>
    <row r="57" spans="1:16" s="1" customFormat="1" ht="39" customHeight="1">
      <c r="A57" s="834"/>
      <c r="B57" s="793"/>
      <c r="C57" s="446"/>
      <c r="D57" s="372" t="s">
        <v>532</v>
      </c>
      <c r="E57" s="465" t="str">
        <f>+'MATRIZ GENERAL CONSOLIDADA'!C45</f>
        <v>Global</v>
      </c>
      <c r="F57" s="500">
        <f>+'MATRIZ GENERAL CONSOLIDADA'!L45</f>
        <v>0</v>
      </c>
      <c r="G57" s="540">
        <f>+'MATRIZ GENERAL CONSOLIDADA'!N45</f>
        <v>0</v>
      </c>
      <c r="H57" s="572">
        <f>+'Anexo 1 Matriz SINA Inf Gestión'!M45</f>
        <v>23694400</v>
      </c>
      <c r="I57" s="574">
        <f>+'Anexo 1 Matriz SINA Inf Gestión'!N45</f>
        <v>19461060</v>
      </c>
      <c r="J57" s="77"/>
      <c r="K57" s="559"/>
      <c r="L57" s="559"/>
      <c r="M57" s="176"/>
      <c r="N57" s="172"/>
      <c r="O57" s="173"/>
      <c r="P57" s="165"/>
    </row>
    <row r="58" spans="1:16" s="1" customFormat="1" ht="24" customHeight="1">
      <c r="A58" s="834"/>
      <c r="B58" s="793"/>
      <c r="C58" s="563"/>
      <c r="D58" s="828" t="s">
        <v>327</v>
      </c>
      <c r="E58" s="828"/>
      <c r="F58" s="828"/>
      <c r="G58" s="828"/>
      <c r="H58" s="573">
        <f>SUM(H47:H57)</f>
        <v>781000000</v>
      </c>
      <c r="I58" s="467"/>
      <c r="J58" s="795">
        <f>+H58-I59</f>
        <v>125693489</v>
      </c>
      <c r="K58" s="174"/>
      <c r="L58" s="559"/>
      <c r="M58" s="172"/>
      <c r="N58" s="172"/>
      <c r="O58" s="173"/>
      <c r="P58" s="165"/>
    </row>
    <row r="59" spans="1:16" s="1" customFormat="1" ht="16.5" customHeight="1">
      <c r="A59" s="834"/>
      <c r="B59" s="793"/>
      <c r="C59" s="563"/>
      <c r="D59" s="828" t="s">
        <v>328</v>
      </c>
      <c r="E59" s="828"/>
      <c r="F59" s="828"/>
      <c r="G59" s="828"/>
      <c r="H59" s="828"/>
      <c r="I59" s="573">
        <f>SUM(I47:I58)</f>
        <v>655306511</v>
      </c>
      <c r="J59" s="795"/>
      <c r="K59" s="174"/>
      <c r="L59" s="559"/>
      <c r="M59" s="172"/>
      <c r="N59" s="172"/>
      <c r="O59" s="173"/>
      <c r="P59" s="165"/>
    </row>
    <row r="60" spans="1:16" s="1" customFormat="1" ht="15" customHeight="1">
      <c r="A60" s="834"/>
      <c r="B60" s="793"/>
      <c r="C60" s="400"/>
      <c r="D60" s="830" t="s">
        <v>329</v>
      </c>
      <c r="E60" s="835"/>
      <c r="F60" s="835"/>
      <c r="G60" s="835"/>
      <c r="H60" s="835"/>
      <c r="I60" s="539">
        <f>+I59/H58</f>
        <v>0.839060833546735</v>
      </c>
      <c r="J60" s="795"/>
      <c r="K60" s="559"/>
      <c r="L60" s="559"/>
      <c r="M60" s="172"/>
      <c r="N60" s="172"/>
      <c r="O60" s="173"/>
      <c r="P60" s="165"/>
    </row>
    <row r="61" spans="1:16" s="1" customFormat="1" ht="33.75" customHeight="1">
      <c r="A61" s="834"/>
      <c r="B61" s="803" t="s">
        <v>313</v>
      </c>
      <c r="C61" s="566"/>
      <c r="D61" s="824" t="s">
        <v>314</v>
      </c>
      <c r="E61" s="799" t="s">
        <v>96</v>
      </c>
      <c r="F61" s="799" t="s">
        <v>315</v>
      </c>
      <c r="G61" s="799"/>
      <c r="H61" s="797" t="s">
        <v>251</v>
      </c>
      <c r="I61" s="797"/>
      <c r="J61" s="798"/>
      <c r="K61" s="559"/>
      <c r="L61" s="559"/>
      <c r="M61" s="172"/>
      <c r="N61" s="172"/>
      <c r="O61" s="173"/>
      <c r="P61" s="165"/>
    </row>
    <row r="62" spans="1:16" s="1" customFormat="1" ht="27" customHeight="1">
      <c r="A62" s="834"/>
      <c r="B62" s="803"/>
      <c r="C62" s="566"/>
      <c r="D62" s="825"/>
      <c r="E62" s="799"/>
      <c r="F62" s="570" t="s">
        <v>317</v>
      </c>
      <c r="G62" s="570" t="s">
        <v>318</v>
      </c>
      <c r="H62" s="571" t="s">
        <v>319</v>
      </c>
      <c r="I62" s="568" t="s">
        <v>320</v>
      </c>
      <c r="J62" s="569" t="s">
        <v>321</v>
      </c>
      <c r="K62" s="559"/>
      <c r="L62" s="559"/>
      <c r="M62" s="172"/>
      <c r="N62" s="172"/>
      <c r="O62" s="173"/>
      <c r="P62" s="165"/>
    </row>
    <row r="63" spans="1:16" s="1" customFormat="1" ht="34.5" customHeight="1">
      <c r="A63" s="834"/>
      <c r="B63" s="787" t="s">
        <v>485</v>
      </c>
      <c r="C63" s="445"/>
      <c r="D63" s="534" t="s">
        <v>398</v>
      </c>
      <c r="E63" s="465" t="str">
        <f>+'MATRIZ GENERAL CONSOLIDADA'!C47</f>
        <v>%</v>
      </c>
      <c r="F63" s="577">
        <f>+'MATRIZ GENERAL CONSOLIDADA'!L47</f>
        <v>100</v>
      </c>
      <c r="G63" s="574">
        <f>+'MATRIZ GENERAL CONSOLIDADA'!N47</f>
        <v>25</v>
      </c>
      <c r="H63" s="578">
        <f>+'MATRIZ GENERAL CONSOLIDADA'!M47</f>
        <v>0</v>
      </c>
      <c r="I63" s="540">
        <f>+'MATRIZ GENERAL CONSOLIDADA'!O47</f>
        <v>0</v>
      </c>
      <c r="J63" s="77">
        <f t="shared" ref="J63:J70" si="3">+H63-I63</f>
        <v>0</v>
      </c>
      <c r="K63" s="559"/>
      <c r="L63" s="559"/>
      <c r="M63" s="172"/>
      <c r="N63" s="172"/>
      <c r="O63" s="173"/>
      <c r="P63" s="165"/>
    </row>
    <row r="64" spans="1:16" s="1" customFormat="1" ht="32.25" customHeight="1">
      <c r="A64" s="834"/>
      <c r="B64" s="787"/>
      <c r="C64" s="445"/>
      <c r="D64" s="531" t="str">
        <f>+'Anexo 1 Matriz SINA Inf Gestión'!B48</f>
        <v xml:space="preserve">Áreas protegidas registradas con planes de manejo en ejcución </v>
      </c>
      <c r="E64" s="465" t="str">
        <f>+'MATRIZ GENERAL CONSOLIDADA'!C48</f>
        <v xml:space="preserve">Hectáreas </v>
      </c>
      <c r="F64" s="577">
        <f>+'MATRIZ GENERAL CONSOLIDADA'!L48</f>
        <v>66787</v>
      </c>
      <c r="G64" s="574">
        <f>+'MATRIZ GENERAL CONSOLIDADA'!N48</f>
        <v>16697</v>
      </c>
      <c r="H64" s="578">
        <f>+'MATRIZ GENERAL CONSOLIDADA'!M48</f>
        <v>150600000</v>
      </c>
      <c r="I64" s="540">
        <f>+'Anexo 1 Matriz SINA Inf Gestión'!N48</f>
        <v>73292000</v>
      </c>
      <c r="J64" s="77">
        <f t="shared" si="3"/>
        <v>77308000</v>
      </c>
      <c r="K64" s="559"/>
      <c r="L64" s="559"/>
      <c r="M64" s="172"/>
      <c r="N64" s="172"/>
      <c r="O64" s="173"/>
      <c r="P64" s="165"/>
    </row>
    <row r="65" spans="1:16" s="1" customFormat="1" ht="32.25" customHeight="1">
      <c r="A65" s="834"/>
      <c r="B65" s="787"/>
      <c r="C65" s="445"/>
      <c r="D65" s="531" t="str">
        <f>+'Anexo 1 Matriz SINA Inf Gestión'!B49</f>
        <v xml:space="preserve">Áreas protegidas inscritas con planes de manejo en ejcución </v>
      </c>
      <c r="E65" s="465" t="str">
        <f>+'MATRIZ GENERAL CONSOLIDADA'!C49</f>
        <v xml:space="preserve">Hectáreas </v>
      </c>
      <c r="F65" s="577">
        <f>+'MATRIZ GENERAL CONSOLIDADA'!L49</f>
        <v>220884</v>
      </c>
      <c r="G65" s="574">
        <f>+'MATRIZ GENERAL CONSOLIDADA'!N49</f>
        <v>55221</v>
      </c>
      <c r="H65" s="578">
        <f>+'MATRIZ GENERAL CONSOLIDADA'!M49</f>
        <v>932246601</v>
      </c>
      <c r="I65" s="540">
        <f>+'Anexo 1 Matriz SINA Inf Gestión'!N49</f>
        <v>239454000</v>
      </c>
      <c r="J65" s="77">
        <f t="shared" si="3"/>
        <v>692792601</v>
      </c>
      <c r="K65" s="559"/>
      <c r="L65" s="559"/>
      <c r="M65" s="172"/>
      <c r="N65" s="172"/>
      <c r="O65" s="173"/>
      <c r="P65" s="165"/>
    </row>
    <row r="66" spans="1:16" s="1" customFormat="1" ht="32.25" customHeight="1">
      <c r="A66" s="834"/>
      <c r="B66" s="787"/>
      <c r="C66" s="445"/>
      <c r="D66" s="534" t="s">
        <v>399</v>
      </c>
      <c r="E66" s="465" t="str">
        <f>+'MATRIZ GENERAL CONSOLIDADA'!C50</f>
        <v>%</v>
      </c>
      <c r="F66" s="577">
        <f>+'MATRIZ GENERAL CONSOLIDADA'!L50</f>
        <v>25</v>
      </c>
      <c r="G66" s="574">
        <f>+'MATRIZ GENERAL CONSOLIDADA'!N50</f>
        <v>10</v>
      </c>
      <c r="H66" s="578">
        <f>+'MATRIZ GENERAL CONSOLIDADA'!M50</f>
        <v>0</v>
      </c>
      <c r="I66" s="540">
        <f>+'Anexo 1 Matriz SINA Inf Gestión'!N50</f>
        <v>0</v>
      </c>
      <c r="J66" s="77">
        <f t="shared" si="3"/>
        <v>0</v>
      </c>
      <c r="K66" s="559"/>
      <c r="L66" s="559"/>
      <c r="M66" s="172"/>
      <c r="N66" s="172"/>
      <c r="O66" s="173"/>
      <c r="P66" s="165"/>
    </row>
    <row r="67" spans="1:16" s="1" customFormat="1" ht="36" customHeight="1">
      <c r="A67" s="834"/>
      <c r="B67" s="787"/>
      <c r="C67" s="445"/>
      <c r="D67" s="531" t="s">
        <v>401</v>
      </c>
      <c r="E67" s="465" t="str">
        <f>+'MATRIZ GENERAL CONSOLIDADA'!C51</f>
        <v>Hectáreas</v>
      </c>
      <c r="F67" s="577">
        <f>+'MATRIZ GENERAL CONSOLIDADA'!L51</f>
        <v>217</v>
      </c>
      <c r="G67" s="574">
        <f>+'MATRIZ GENERAL CONSOLIDADA'!N51</f>
        <v>76</v>
      </c>
      <c r="H67" s="578">
        <f>+'MATRIZ GENERAL CONSOLIDADA'!M51</f>
        <v>228002690</v>
      </c>
      <c r="I67" s="540">
        <f>+'Anexo 1 Matriz SINA Inf Gestión'!N51</f>
        <v>0</v>
      </c>
      <c r="J67" s="77">
        <f t="shared" si="3"/>
        <v>228002690</v>
      </c>
      <c r="K67" s="559"/>
      <c r="L67" s="559"/>
      <c r="M67" s="172"/>
      <c r="N67" s="172"/>
      <c r="O67" s="173"/>
      <c r="P67" s="451"/>
    </row>
    <row r="68" spans="1:16" s="1" customFormat="1" ht="36" customHeight="1">
      <c r="A68" s="834"/>
      <c r="B68" s="787"/>
      <c r="C68" s="445"/>
      <c r="D68" s="534" t="s">
        <v>400</v>
      </c>
      <c r="E68" s="465" t="str">
        <f>+'MATRIZ GENERAL CONSOLIDADA'!C52</f>
        <v>%*</v>
      </c>
      <c r="F68" s="577">
        <f>+'MATRIZ GENERAL CONSOLIDADA'!L52</f>
        <v>100</v>
      </c>
      <c r="G68" s="574">
        <f>+'MATRIZ GENERAL CONSOLIDADA'!N52</f>
        <v>100</v>
      </c>
      <c r="H68" s="578">
        <f>+'MATRIZ GENERAL CONSOLIDADA'!M52</f>
        <v>0</v>
      </c>
      <c r="I68" s="540">
        <f>+'Anexo 1 Matriz SINA Inf Gestión'!N52</f>
        <v>0</v>
      </c>
      <c r="J68" s="77">
        <f t="shared" si="3"/>
        <v>0</v>
      </c>
      <c r="K68" s="559"/>
      <c r="L68" s="559"/>
      <c r="M68" s="172"/>
      <c r="N68" s="172"/>
      <c r="O68" s="173"/>
      <c r="P68" s="165"/>
    </row>
    <row r="69" spans="1:16" s="1" customFormat="1" ht="36" customHeight="1">
      <c r="A69" s="834"/>
      <c r="B69" s="787"/>
      <c r="C69" s="445"/>
      <c r="D69" s="531" t="s">
        <v>466</v>
      </c>
      <c r="E69" s="465" t="str">
        <f>+'MATRIZ GENERAL CONSOLIDADA'!C53</f>
        <v xml:space="preserve">Unidad* </v>
      </c>
      <c r="F69" s="577">
        <f>+'MATRIZ GENERAL CONSOLIDADA'!L53</f>
        <v>4</v>
      </c>
      <c r="G69" s="574">
        <f>+'MATRIZ GENERAL CONSOLIDADA'!N53</f>
        <v>4</v>
      </c>
      <c r="H69" s="578">
        <f>+'MATRIZ GENERAL CONSOLIDADA'!M53</f>
        <v>118973737</v>
      </c>
      <c r="I69" s="540">
        <f>+'Anexo 1 Matriz SINA Inf Gestión'!N53</f>
        <v>33132000</v>
      </c>
      <c r="J69" s="77">
        <f t="shared" si="3"/>
        <v>85841737</v>
      </c>
      <c r="K69" s="559"/>
      <c r="L69" s="559"/>
      <c r="M69" s="172"/>
      <c r="N69" s="172"/>
      <c r="O69" s="173"/>
      <c r="P69" s="165"/>
    </row>
    <row r="70" spans="1:16" s="1" customFormat="1" ht="36" customHeight="1">
      <c r="A70" s="834"/>
      <c r="B70" s="787"/>
      <c r="C70" s="563"/>
      <c r="D70" s="579" t="s">
        <v>532</v>
      </c>
      <c r="E70" s="465" t="str">
        <f>+'MATRIZ GENERAL CONSOLIDADA'!C54</f>
        <v>Global</v>
      </c>
      <c r="F70" s="577">
        <f>+'MATRIZ GENERAL CONSOLIDADA'!L54</f>
        <v>0</v>
      </c>
      <c r="G70" s="574">
        <f>+'MATRIZ GENERAL CONSOLIDADA'!N54</f>
        <v>0</v>
      </c>
      <c r="H70" s="578">
        <f>+'MATRIZ GENERAL CONSOLIDADA'!M54</f>
        <v>28614000</v>
      </c>
      <c r="I70" s="540">
        <f>+'Anexo 1 Matriz SINA Inf Gestión'!N54</f>
        <v>23795491</v>
      </c>
      <c r="J70" s="77">
        <f t="shared" si="3"/>
        <v>4818509</v>
      </c>
      <c r="K70" s="559"/>
      <c r="L70" s="559"/>
      <c r="M70" s="172"/>
      <c r="N70" s="172"/>
      <c r="O70" s="173"/>
      <c r="P70" s="165"/>
    </row>
    <row r="71" spans="1:16" s="1" customFormat="1" ht="20.25" customHeight="1">
      <c r="A71" s="834"/>
      <c r="B71" s="787"/>
      <c r="C71" s="563"/>
      <c r="D71" s="828" t="s">
        <v>327</v>
      </c>
      <c r="E71" s="828"/>
      <c r="F71" s="828"/>
      <c r="G71" s="828"/>
      <c r="H71" s="573">
        <f>SUM(H63:H70)</f>
        <v>1458437028</v>
      </c>
      <c r="I71" s="580"/>
      <c r="J71" s="795">
        <f>+H71-I72</f>
        <v>1088763537</v>
      </c>
      <c r="K71" s="559"/>
      <c r="L71" s="559"/>
      <c r="M71" s="172"/>
      <c r="N71" s="172"/>
      <c r="O71" s="173"/>
      <c r="P71" s="165"/>
    </row>
    <row r="72" spans="1:16" s="1" customFormat="1" ht="20.25" customHeight="1">
      <c r="A72" s="834"/>
      <c r="B72" s="793"/>
      <c r="C72" s="563"/>
      <c r="D72" s="828" t="s">
        <v>328</v>
      </c>
      <c r="E72" s="828"/>
      <c r="F72" s="828"/>
      <c r="G72" s="828"/>
      <c r="H72" s="828"/>
      <c r="I72" s="581">
        <f>SUM(I63:I70)</f>
        <v>369673491</v>
      </c>
      <c r="J72" s="795"/>
      <c r="K72" s="559"/>
      <c r="L72" s="559"/>
      <c r="M72" s="172"/>
      <c r="N72" s="172"/>
      <c r="O72" s="173"/>
      <c r="P72" s="165"/>
    </row>
    <row r="73" spans="1:16" s="1" customFormat="1" ht="20.25" customHeight="1">
      <c r="A73" s="834"/>
      <c r="B73" s="804"/>
      <c r="C73" s="400"/>
      <c r="D73" s="830" t="s">
        <v>329</v>
      </c>
      <c r="E73" s="830"/>
      <c r="F73" s="830"/>
      <c r="G73" s="830"/>
      <c r="H73" s="830"/>
      <c r="I73" s="582">
        <f>+I72/H71</f>
        <v>0.25347237069737921</v>
      </c>
      <c r="J73" s="795"/>
      <c r="K73" s="559"/>
      <c r="L73" s="559"/>
      <c r="M73" s="172"/>
      <c r="N73" s="172"/>
      <c r="O73" s="173"/>
      <c r="P73" s="165"/>
    </row>
    <row r="74" spans="1:16" s="1" customFormat="1" ht="16.5" customHeight="1">
      <c r="A74" s="823" t="s">
        <v>312</v>
      </c>
      <c r="B74" s="803" t="s">
        <v>313</v>
      </c>
      <c r="C74" s="566"/>
      <c r="D74" s="824" t="s">
        <v>314</v>
      </c>
      <c r="E74" s="799" t="s">
        <v>96</v>
      </c>
      <c r="F74" s="799" t="s">
        <v>315</v>
      </c>
      <c r="G74" s="799"/>
      <c r="H74" s="797" t="s">
        <v>316</v>
      </c>
      <c r="I74" s="797"/>
      <c r="J74" s="798"/>
      <c r="K74" s="559"/>
      <c r="L74" s="559"/>
      <c r="M74" s="172"/>
      <c r="N74" s="172"/>
      <c r="O74" s="173"/>
      <c r="P74" s="165"/>
    </row>
    <row r="75" spans="1:16" s="1" customFormat="1" ht="44.25" customHeight="1">
      <c r="A75" s="823"/>
      <c r="B75" s="803"/>
      <c r="C75" s="583"/>
      <c r="D75" s="825"/>
      <c r="E75" s="799"/>
      <c r="F75" s="570" t="s">
        <v>317</v>
      </c>
      <c r="G75" s="570" t="s">
        <v>318</v>
      </c>
      <c r="H75" s="571" t="s">
        <v>319</v>
      </c>
      <c r="I75" s="568" t="s">
        <v>320</v>
      </c>
      <c r="J75" s="569" t="s">
        <v>321</v>
      </c>
      <c r="K75" s="559"/>
      <c r="L75" s="559"/>
      <c r="M75" s="172"/>
      <c r="N75" s="172"/>
      <c r="O75" s="173"/>
      <c r="P75" s="165"/>
    </row>
    <row r="76" spans="1:16" s="1" customFormat="1" ht="68.25" customHeight="1">
      <c r="A76" s="831" t="s">
        <v>486</v>
      </c>
      <c r="B76" s="787" t="s">
        <v>494</v>
      </c>
      <c r="C76" s="445"/>
      <c r="D76" s="535" t="s">
        <v>404</v>
      </c>
      <c r="E76" s="474" t="str">
        <f>+'MATRIZ GENERAL CONSOLIDADA'!C57</f>
        <v>%</v>
      </c>
      <c r="F76" s="465">
        <f>+'MATRIZ GENERAL CONSOLIDADA'!L57</f>
        <v>25</v>
      </c>
      <c r="G76" s="540">
        <f>+'MATRIZ GENERAL CONSOLIDADA'!N57</f>
        <v>19</v>
      </c>
      <c r="H76" s="540">
        <f>+'Anexo 1 Matriz SINA Inf Gestión'!M57</f>
        <v>227361200</v>
      </c>
      <c r="I76" s="540">
        <f>+'Anexo 1 Matriz SINA Inf Gestión'!N57</f>
        <v>169073600</v>
      </c>
      <c r="J76" s="77">
        <f t="shared" ref="J76:J82" si="4">+H76-I76</f>
        <v>58287600</v>
      </c>
      <c r="K76" s="559"/>
      <c r="L76" s="559"/>
      <c r="M76" s="172">
        <v>175228</v>
      </c>
      <c r="N76" s="172">
        <v>45086</v>
      </c>
      <c r="O76" s="173">
        <v>334406</v>
      </c>
      <c r="P76" s="165"/>
    </row>
    <row r="77" spans="1:16" s="1" customFormat="1" ht="57" customHeight="1">
      <c r="A77" s="831"/>
      <c r="B77" s="787"/>
      <c r="C77" s="445"/>
      <c r="D77" s="534" t="s">
        <v>405</v>
      </c>
      <c r="E77" s="474" t="str">
        <f>+'MATRIZ GENERAL CONSOLIDADA'!C58</f>
        <v>%</v>
      </c>
      <c r="F77" s="465">
        <f>+'MATRIZ GENERAL CONSOLIDADA'!L58</f>
        <v>27</v>
      </c>
      <c r="G77" s="540">
        <f>+'MATRIZ GENERAL CONSOLIDADA'!N58</f>
        <v>14</v>
      </c>
      <c r="H77" s="540">
        <f>+'Anexo 1 Matriz SINA Inf Gestión'!M58</f>
        <v>0</v>
      </c>
      <c r="I77" s="540">
        <f>+'Anexo 1 Matriz SINA Inf Gestión'!N58</f>
        <v>0</v>
      </c>
      <c r="J77" s="77">
        <f t="shared" si="4"/>
        <v>0</v>
      </c>
      <c r="K77" s="559"/>
      <c r="L77" s="559"/>
      <c r="M77" s="172"/>
      <c r="N77" s="172"/>
      <c r="O77" s="173"/>
      <c r="P77" s="165"/>
    </row>
    <row r="78" spans="1:16" s="1" customFormat="1" ht="73.5" customHeight="1">
      <c r="A78" s="831"/>
      <c r="B78" s="787"/>
      <c r="C78" s="445"/>
      <c r="D78" s="584" t="s">
        <v>406</v>
      </c>
      <c r="E78" s="474" t="str">
        <f>+'MATRIZ GENERAL CONSOLIDADA'!C59</f>
        <v>Número</v>
      </c>
      <c r="F78" s="465">
        <f>+'MATRIZ GENERAL CONSOLIDADA'!L59</f>
        <v>3</v>
      </c>
      <c r="G78" s="540">
        <f>+'MATRIZ GENERAL CONSOLIDADA'!N59</f>
        <v>2</v>
      </c>
      <c r="H78" s="540">
        <f>+'Anexo 1 Matriz SINA Inf Gestión'!M59</f>
        <v>460000000</v>
      </c>
      <c r="I78" s="540">
        <f>+'Anexo 1 Matriz SINA Inf Gestión'!N59</f>
        <v>18072000</v>
      </c>
      <c r="J78" s="77">
        <f t="shared" si="4"/>
        <v>441928000</v>
      </c>
      <c r="K78" s="559"/>
      <c r="L78" s="559"/>
      <c r="M78" s="172"/>
      <c r="N78" s="172"/>
      <c r="O78" s="173"/>
      <c r="P78" s="165"/>
    </row>
    <row r="79" spans="1:16" s="1" customFormat="1" ht="33.75" customHeight="1">
      <c r="A79" s="831"/>
      <c r="B79" s="787"/>
      <c r="C79" s="445"/>
      <c r="D79" s="585" t="s">
        <v>407</v>
      </c>
      <c r="E79" s="474" t="str">
        <f>+'MATRIZ GENERAL CONSOLIDADA'!C60</f>
        <v>Pacto*</v>
      </c>
      <c r="F79" s="465">
        <f>+'MATRIZ GENERAL CONSOLIDADA'!L60</f>
        <v>1</v>
      </c>
      <c r="G79" s="540">
        <f>+'MATRIZ GENERAL CONSOLIDADA'!N60</f>
        <v>0.5</v>
      </c>
      <c r="H79" s="540">
        <f>+'Anexo 1 Matriz SINA Inf Gestión'!M60</f>
        <v>49818800</v>
      </c>
      <c r="I79" s="540">
        <f>+'Anexo 1 Matriz SINA Inf Gestión'!N60</f>
        <v>33132000</v>
      </c>
      <c r="J79" s="77">
        <f t="shared" si="4"/>
        <v>16686800</v>
      </c>
      <c r="K79" s="559"/>
      <c r="L79" s="559"/>
      <c r="M79" s="172"/>
      <c r="N79" s="172"/>
      <c r="O79" s="173"/>
      <c r="P79" s="165"/>
    </row>
    <row r="80" spans="1:16" s="1" customFormat="1" ht="33.75" customHeight="1">
      <c r="A80" s="831"/>
      <c r="B80" s="787"/>
      <c r="C80" s="445"/>
      <c r="D80" s="585" t="s">
        <v>409</v>
      </c>
      <c r="E80" s="474" t="str">
        <f>+'MATRIZ GENERAL CONSOLIDADA'!C61</f>
        <v>Sectores</v>
      </c>
      <c r="F80" s="465">
        <f>+'MATRIZ GENERAL CONSOLIDADA'!L61</f>
        <v>2</v>
      </c>
      <c r="G80" s="540">
        <f>+'MATRIZ GENERAL CONSOLIDADA'!N61</f>
        <v>1</v>
      </c>
      <c r="H80" s="540">
        <f>+'Anexo 1 Matriz SINA Inf Gestión'!M61</f>
        <v>10000000</v>
      </c>
      <c r="I80" s="540">
        <f>+'Anexo 1 Matriz SINA Inf Gestión'!N61</f>
        <v>0</v>
      </c>
      <c r="J80" s="77">
        <f t="shared" si="4"/>
        <v>10000000</v>
      </c>
      <c r="K80" s="559"/>
      <c r="L80" s="559"/>
      <c r="M80" s="172"/>
      <c r="N80" s="172"/>
      <c r="O80" s="173"/>
      <c r="P80" s="165"/>
    </row>
    <row r="81" spans="1:16" s="1" customFormat="1" ht="69.75" customHeight="1">
      <c r="A81" s="831"/>
      <c r="B81" s="787"/>
      <c r="C81" s="445"/>
      <c r="D81" s="579" t="s">
        <v>411</v>
      </c>
      <c r="E81" s="474" t="str">
        <f>+'MATRIZ GENERAL CONSOLIDADA'!C62</f>
        <v>Sectores</v>
      </c>
      <c r="F81" s="465">
        <f>+'MATRIZ GENERAL CONSOLIDADA'!L62</f>
        <v>2</v>
      </c>
      <c r="G81" s="540">
        <f>+'MATRIZ GENERAL CONSOLIDADA'!N62</f>
        <v>0.5</v>
      </c>
      <c r="H81" s="540">
        <f>+'Anexo 1 Matriz SINA Inf Gestión'!M62</f>
        <v>1303441758</v>
      </c>
      <c r="I81" s="540">
        <f>+'Anexo 1 Matriz SINA Inf Gestión'!N62</f>
        <v>30923200</v>
      </c>
      <c r="J81" s="77">
        <f t="shared" si="4"/>
        <v>1272518558</v>
      </c>
      <c r="K81" s="559"/>
      <c r="L81" s="559"/>
      <c r="M81" s="172"/>
      <c r="N81" s="172"/>
      <c r="O81" s="173"/>
      <c r="P81" s="165"/>
    </row>
    <row r="82" spans="1:16" s="1" customFormat="1" ht="33.75" customHeight="1">
      <c r="A82" s="831"/>
      <c r="B82" s="787"/>
      <c r="C82" s="563"/>
      <c r="D82" s="579" t="s">
        <v>532</v>
      </c>
      <c r="E82" s="474" t="str">
        <f>+'MATRIZ GENERAL CONSOLIDADA'!C63</f>
        <v>Global</v>
      </c>
      <c r="F82" s="465">
        <f>+'MATRIZ GENERAL CONSOLIDADA'!L63</f>
        <v>0</v>
      </c>
      <c r="G82" s="540">
        <f>+'MATRIZ GENERAL CONSOLIDADA'!N63</f>
        <v>0</v>
      </c>
      <c r="H82" s="540">
        <f>+'Anexo 1 Matriz SINA Inf Gestión'!M63</f>
        <v>18120000</v>
      </c>
      <c r="I82" s="540">
        <f>+'Anexo 1 Matriz SINA Inf Gestión'!N63</f>
        <v>14800459</v>
      </c>
      <c r="J82" s="77">
        <f t="shared" si="4"/>
        <v>3319541</v>
      </c>
      <c r="K82" s="559"/>
      <c r="L82" s="559"/>
      <c r="M82" s="172"/>
      <c r="N82" s="172"/>
      <c r="O82" s="173"/>
      <c r="P82" s="165"/>
    </row>
    <row r="83" spans="1:16" s="1" customFormat="1" ht="15">
      <c r="A83" s="831"/>
      <c r="B83" s="826"/>
      <c r="C83" s="587"/>
      <c r="D83" s="827" t="s">
        <v>327</v>
      </c>
      <c r="E83" s="828"/>
      <c r="F83" s="828"/>
      <c r="G83" s="828"/>
      <c r="H83" s="573">
        <f>SUM(H76:H82)</f>
        <v>2068741758</v>
      </c>
      <c r="I83" s="467"/>
      <c r="J83" s="795">
        <f>+H83-I84</f>
        <v>1802740499</v>
      </c>
      <c r="K83" s="177"/>
      <c r="L83" s="559"/>
      <c r="M83" s="172">
        <v>630821</v>
      </c>
      <c r="N83" s="172"/>
      <c r="O83" s="173"/>
      <c r="P83" s="165"/>
    </row>
    <row r="84" spans="1:16" s="1" customFormat="1" ht="15">
      <c r="A84" s="831"/>
      <c r="B84" s="826"/>
      <c r="C84" s="586"/>
      <c r="D84" s="828" t="s">
        <v>328</v>
      </c>
      <c r="E84" s="828"/>
      <c r="F84" s="828"/>
      <c r="G84" s="828"/>
      <c r="H84" s="828"/>
      <c r="I84" s="573">
        <f>SUM(I76:I83)</f>
        <v>266001259</v>
      </c>
      <c r="J84" s="795"/>
      <c r="K84" s="174"/>
      <c r="L84" s="559"/>
      <c r="M84" s="172">
        <v>4107244</v>
      </c>
      <c r="N84" s="172"/>
      <c r="O84" s="173"/>
      <c r="P84" s="165"/>
    </row>
    <row r="85" spans="1:16" s="1" customFormat="1" ht="15">
      <c r="A85" s="831"/>
      <c r="B85" s="832"/>
      <c r="C85" s="588"/>
      <c r="D85" s="830" t="s">
        <v>329</v>
      </c>
      <c r="E85" s="830"/>
      <c r="F85" s="830"/>
      <c r="G85" s="830"/>
      <c r="H85" s="830"/>
      <c r="I85" s="539">
        <f>+I84/H83</f>
        <v>0.12858118127666276</v>
      </c>
      <c r="J85" s="795"/>
      <c r="K85" s="559">
        <v>80</v>
      </c>
      <c r="L85" s="559"/>
      <c r="M85" s="178"/>
      <c r="N85" s="175">
        <f>SUM(M76:N84)</f>
        <v>4958379</v>
      </c>
      <c r="O85" s="179">
        <f>SUM(O76:O84)</f>
        <v>334406</v>
      </c>
      <c r="P85" s="165"/>
    </row>
    <row r="86" spans="1:16" s="1" customFormat="1" ht="23.25" customHeight="1">
      <c r="A86" s="831"/>
      <c r="B86" s="803" t="s">
        <v>313</v>
      </c>
      <c r="C86" s="566"/>
      <c r="D86" s="824" t="s">
        <v>314</v>
      </c>
      <c r="E86" s="799" t="s">
        <v>96</v>
      </c>
      <c r="F86" s="799" t="s">
        <v>315</v>
      </c>
      <c r="G86" s="799"/>
      <c r="H86" s="797" t="s">
        <v>316</v>
      </c>
      <c r="I86" s="797"/>
      <c r="J86" s="798"/>
      <c r="K86" s="559"/>
      <c r="L86" s="559"/>
      <c r="M86" s="178"/>
      <c r="N86" s="175"/>
      <c r="O86" s="179"/>
      <c r="P86" s="165"/>
    </row>
    <row r="87" spans="1:16" s="1" customFormat="1" ht="33.75" customHeight="1">
      <c r="A87" s="831"/>
      <c r="B87" s="803"/>
      <c r="C87" s="583"/>
      <c r="D87" s="825"/>
      <c r="E87" s="799"/>
      <c r="F87" s="570" t="s">
        <v>317</v>
      </c>
      <c r="G87" s="570" t="s">
        <v>318</v>
      </c>
      <c r="H87" s="571" t="s">
        <v>319</v>
      </c>
      <c r="I87" s="568" t="s">
        <v>320</v>
      </c>
      <c r="J87" s="569" t="s">
        <v>321</v>
      </c>
      <c r="K87" s="559"/>
      <c r="L87" s="559"/>
      <c r="M87" s="178"/>
      <c r="N87" s="175"/>
      <c r="O87" s="179"/>
      <c r="P87" s="165"/>
    </row>
    <row r="88" spans="1:16" s="1" customFormat="1" ht="50.25" customHeight="1">
      <c r="A88" s="831"/>
      <c r="B88" s="793" t="s">
        <v>487</v>
      </c>
      <c r="C88" s="563"/>
      <c r="D88" s="535" t="s">
        <v>412</v>
      </c>
      <c r="E88" s="474" t="str">
        <f>+'MATRIZ GENERAL CONSOLIDADA'!C65</f>
        <v>%</v>
      </c>
      <c r="F88" s="465">
        <f>+'MATRIZ GENERAL CONSOLIDADA'!L65</f>
        <v>30</v>
      </c>
      <c r="G88" s="540">
        <f>+'MATRIZ GENERAL CONSOLIDADA'!N65</f>
        <v>5</v>
      </c>
      <c r="H88" s="540">
        <f>+'MATRIZ GENERAL CONSOLIDADA'!M65</f>
        <v>0</v>
      </c>
      <c r="I88" s="540">
        <f>+'MATRIZ GENERAL CONSOLIDADA'!O65</f>
        <v>0</v>
      </c>
      <c r="J88" s="77">
        <f>+H88-I88</f>
        <v>0</v>
      </c>
      <c r="K88" s="559"/>
      <c r="L88" s="559"/>
      <c r="M88" s="178"/>
      <c r="N88" s="175"/>
      <c r="O88" s="179"/>
      <c r="P88" s="165"/>
    </row>
    <row r="89" spans="1:16" s="1" customFormat="1" ht="44.25" customHeight="1">
      <c r="A89" s="831"/>
      <c r="B89" s="793"/>
      <c r="C89" s="563"/>
      <c r="D89" s="589" t="s">
        <v>414</v>
      </c>
      <c r="E89" s="474" t="str">
        <f>+'MATRIZ GENERAL CONSOLIDADA'!C66</f>
        <v>Municipio</v>
      </c>
      <c r="F89" s="465">
        <f>+'MATRIZ GENERAL CONSOLIDADA'!L66</f>
        <v>2</v>
      </c>
      <c r="G89" s="540">
        <f>+'MATRIZ GENERAL CONSOLIDADA'!N66</f>
        <v>0</v>
      </c>
      <c r="H89" s="540">
        <f>+'Anexo 1 Matriz SINA Inf Gestión'!M66</f>
        <v>150000000</v>
      </c>
      <c r="I89" s="540">
        <f>+'Anexo 1 Matriz SINA Inf Gestión'!N66</f>
        <v>0</v>
      </c>
      <c r="J89" s="77">
        <f>+H89-I89</f>
        <v>150000000</v>
      </c>
      <c r="K89" s="559"/>
      <c r="L89" s="559"/>
      <c r="M89" s="178"/>
      <c r="N89" s="175"/>
      <c r="O89" s="179"/>
      <c r="P89" s="451"/>
    </row>
    <row r="90" spans="1:16" s="1" customFormat="1" ht="29.25" customHeight="1">
      <c r="A90" s="831"/>
      <c r="B90" s="793"/>
      <c r="C90" s="563"/>
      <c r="D90" s="590" t="s">
        <v>415</v>
      </c>
      <c r="E90" s="474" t="str">
        <f>+'MATRIZ GENERAL CONSOLIDADA'!C67</f>
        <v>Mapas de ruido</v>
      </c>
      <c r="F90" s="465">
        <f>+'MATRIZ GENERAL CONSOLIDADA'!L67</f>
        <v>1</v>
      </c>
      <c r="G90" s="540">
        <f>+'MATRIZ GENERAL CONSOLIDADA'!N67</f>
        <v>0.2</v>
      </c>
      <c r="H90" s="540">
        <f>+'Anexo 1 Matriz SINA Inf Gestión'!M67</f>
        <v>80000000</v>
      </c>
      <c r="I90" s="540">
        <f>+'Anexo 1 Matriz SINA Inf Gestión'!N67</f>
        <v>17448750</v>
      </c>
      <c r="J90" s="77">
        <f>+H90-I90</f>
        <v>62551250</v>
      </c>
      <c r="K90" s="559"/>
      <c r="L90" s="559"/>
      <c r="M90" s="178"/>
      <c r="N90" s="175"/>
      <c r="O90" s="179"/>
      <c r="P90" s="165"/>
    </row>
    <row r="91" spans="1:16" s="1" customFormat="1" ht="61.5" customHeight="1">
      <c r="A91" s="831"/>
      <c r="B91" s="793"/>
      <c r="C91" s="563"/>
      <c r="D91" s="590" t="s">
        <v>416</v>
      </c>
      <c r="E91" s="474" t="str">
        <f>+'MATRIZ GENERAL CONSOLIDADA'!C68</f>
        <v>Municipio</v>
      </c>
      <c r="F91" s="465">
        <f>+'MATRIZ GENERAL CONSOLIDADA'!L68</f>
        <v>1</v>
      </c>
      <c r="G91" s="540">
        <f>+'MATRIZ GENERAL CONSOLIDADA'!N68</f>
        <v>0</v>
      </c>
      <c r="H91" s="540">
        <f>+'Anexo 1 Matriz SINA Inf Gestión'!M68</f>
        <v>614183700</v>
      </c>
      <c r="I91" s="540">
        <f>+'Anexo 1 Matriz SINA Inf Gestión'!N68</f>
        <v>0</v>
      </c>
      <c r="J91" s="77">
        <f>+H91-I91</f>
        <v>614183700</v>
      </c>
      <c r="K91" s="559"/>
      <c r="L91" s="559"/>
      <c r="M91" s="178"/>
      <c r="N91" s="175"/>
      <c r="O91" s="179"/>
      <c r="P91" s="165"/>
    </row>
    <row r="92" spans="1:16" s="1" customFormat="1" ht="15">
      <c r="A92" s="831"/>
      <c r="B92" s="826"/>
      <c r="C92" s="586"/>
      <c r="D92" s="827" t="s">
        <v>327</v>
      </c>
      <c r="E92" s="828"/>
      <c r="F92" s="828"/>
      <c r="G92" s="828"/>
      <c r="H92" s="573">
        <f>SUM(H88:H91)</f>
        <v>844183700</v>
      </c>
      <c r="I92" s="591"/>
      <c r="J92" s="829">
        <f>+H92-I93</f>
        <v>826734950</v>
      </c>
      <c r="K92" s="559"/>
      <c r="L92" s="559"/>
      <c r="M92" s="178"/>
      <c r="N92" s="175"/>
      <c r="O92" s="179"/>
      <c r="P92" s="165"/>
    </row>
    <row r="93" spans="1:16" s="1" customFormat="1" ht="15">
      <c r="A93" s="831"/>
      <c r="B93" s="826"/>
      <c r="C93" s="586"/>
      <c r="D93" s="828" t="s">
        <v>328</v>
      </c>
      <c r="E93" s="828"/>
      <c r="F93" s="828"/>
      <c r="G93" s="828"/>
      <c r="H93" s="828"/>
      <c r="I93" s="573">
        <f>SUM(I88:I92)</f>
        <v>17448750</v>
      </c>
      <c r="J93" s="829"/>
      <c r="K93" s="559"/>
      <c r="L93" s="559"/>
      <c r="M93" s="178"/>
      <c r="N93" s="175"/>
      <c r="O93" s="179"/>
      <c r="P93" s="165"/>
    </row>
    <row r="94" spans="1:16" s="1" customFormat="1" ht="15">
      <c r="A94" s="831"/>
      <c r="B94" s="826"/>
      <c r="C94" s="586"/>
      <c r="D94" s="830" t="s">
        <v>329</v>
      </c>
      <c r="E94" s="830"/>
      <c r="F94" s="830"/>
      <c r="G94" s="830"/>
      <c r="H94" s="830"/>
      <c r="I94" s="592">
        <f>+I93/H92</f>
        <v>2.0669375634710788E-2</v>
      </c>
      <c r="J94" s="829"/>
      <c r="K94" s="559"/>
      <c r="L94" s="559"/>
      <c r="M94" s="178"/>
      <c r="N94" s="175"/>
      <c r="O94" s="179"/>
      <c r="P94" s="165"/>
    </row>
    <row r="95" spans="1:16" s="1" customFormat="1" ht="19.5" customHeight="1">
      <c r="A95" s="823" t="s">
        <v>312</v>
      </c>
      <c r="B95" s="803" t="s">
        <v>313</v>
      </c>
      <c r="C95" s="566"/>
      <c r="D95" s="824" t="s">
        <v>314</v>
      </c>
      <c r="E95" s="799" t="s">
        <v>96</v>
      </c>
      <c r="F95" s="799" t="s">
        <v>315</v>
      </c>
      <c r="G95" s="799"/>
      <c r="H95" s="797" t="s">
        <v>316</v>
      </c>
      <c r="I95" s="797"/>
      <c r="J95" s="798"/>
      <c r="K95" s="559"/>
      <c r="L95" s="559"/>
      <c r="M95" s="172"/>
      <c r="N95" s="172"/>
      <c r="O95" s="173"/>
      <c r="P95" s="165"/>
    </row>
    <row r="96" spans="1:16" s="1" customFormat="1" ht="28.5" customHeight="1">
      <c r="A96" s="823"/>
      <c r="B96" s="803"/>
      <c r="C96" s="583"/>
      <c r="D96" s="825"/>
      <c r="E96" s="799"/>
      <c r="F96" s="570" t="s">
        <v>317</v>
      </c>
      <c r="G96" s="570" t="s">
        <v>318</v>
      </c>
      <c r="H96" s="593" t="s">
        <v>319</v>
      </c>
      <c r="I96" s="570" t="s">
        <v>320</v>
      </c>
      <c r="J96" s="594" t="s">
        <v>321</v>
      </c>
      <c r="K96" s="559"/>
      <c r="L96" s="559"/>
      <c r="M96" s="172"/>
      <c r="N96" s="172"/>
      <c r="O96" s="173"/>
      <c r="P96" s="165"/>
    </row>
    <row r="97" spans="1:16" s="1" customFormat="1" ht="68.25" customHeight="1">
      <c r="A97" s="833" t="s">
        <v>488</v>
      </c>
      <c r="B97" s="804" t="s">
        <v>489</v>
      </c>
      <c r="C97" s="445"/>
      <c r="D97" s="535" t="s">
        <v>419</v>
      </c>
      <c r="E97" s="474" t="str">
        <f>+'MATRIZ GENERAL CONSOLIDADA'!C71</f>
        <v>%*</v>
      </c>
      <c r="F97" s="465">
        <f>+'MATRIZ GENERAL CONSOLIDADA'!L71</f>
        <v>100</v>
      </c>
      <c r="G97" s="540">
        <f>+'MATRIZ GENERAL CONSOLIDADA'!N71</f>
        <v>50</v>
      </c>
      <c r="H97" s="540">
        <f>+'MATRIZ GENERAL CONSOLIDADA'!M71</f>
        <v>0</v>
      </c>
      <c r="I97" s="540">
        <f>+'MATRIZ GENERAL CONSOLIDADA'!O71</f>
        <v>0</v>
      </c>
      <c r="J97" s="77">
        <f t="shared" ref="J97:J112" si="5">+H97-I97</f>
        <v>0</v>
      </c>
      <c r="K97" s="559"/>
      <c r="L97" s="559"/>
      <c r="M97" s="180">
        <v>951912</v>
      </c>
      <c r="N97" s="172">
        <v>69813</v>
      </c>
      <c r="O97" s="173">
        <v>412670</v>
      </c>
      <c r="P97" s="451"/>
    </row>
    <row r="98" spans="1:16" s="1" customFormat="1" ht="60.75" customHeight="1">
      <c r="A98" s="834"/>
      <c r="B98" s="805"/>
      <c r="C98" s="445"/>
      <c r="D98" s="534" t="s">
        <v>420</v>
      </c>
      <c r="E98" s="474" t="str">
        <f>+'MATRIZ GENERAL CONSOLIDADA'!C72</f>
        <v>%*</v>
      </c>
      <c r="F98" s="465">
        <f>+'MATRIZ GENERAL CONSOLIDADA'!L72</f>
        <v>100</v>
      </c>
      <c r="G98" s="540">
        <f>+'MATRIZ GENERAL CONSOLIDADA'!N72</f>
        <v>50</v>
      </c>
      <c r="H98" s="540">
        <f>+'MATRIZ GENERAL CONSOLIDADA'!M72</f>
        <v>0</v>
      </c>
      <c r="I98" s="540">
        <f>+'MATRIZ GENERAL CONSOLIDADA'!O72</f>
        <v>0</v>
      </c>
      <c r="J98" s="77">
        <f t="shared" si="5"/>
        <v>0</v>
      </c>
      <c r="K98" s="559"/>
      <c r="L98" s="559"/>
      <c r="M98" s="180"/>
      <c r="N98" s="172"/>
      <c r="O98" s="173"/>
      <c r="P98" s="165"/>
    </row>
    <row r="99" spans="1:16" s="1" customFormat="1" ht="48" customHeight="1">
      <c r="A99" s="834"/>
      <c r="B99" s="805"/>
      <c r="C99" s="445"/>
      <c r="D99" s="534" t="s">
        <v>421</v>
      </c>
      <c r="E99" s="474" t="str">
        <f>+'MATRIZ GENERAL CONSOLIDADA'!C73</f>
        <v>%*</v>
      </c>
      <c r="F99" s="465">
        <f>+'MATRIZ GENERAL CONSOLIDADA'!L73</f>
        <v>100</v>
      </c>
      <c r="G99" s="540">
        <f>+'MATRIZ GENERAL CONSOLIDADA'!N73</f>
        <v>50</v>
      </c>
      <c r="H99" s="540">
        <f>+'MATRIZ GENERAL CONSOLIDADA'!M73</f>
        <v>0</v>
      </c>
      <c r="I99" s="540">
        <f>+'MATRIZ GENERAL CONSOLIDADA'!O73</f>
        <v>0</v>
      </c>
      <c r="J99" s="77">
        <f t="shared" si="5"/>
        <v>0</v>
      </c>
      <c r="K99" s="559"/>
      <c r="L99" s="559"/>
      <c r="M99" s="180"/>
      <c r="N99" s="172"/>
      <c r="O99" s="173"/>
      <c r="P99" s="165"/>
    </row>
    <row r="100" spans="1:16" s="1" customFormat="1" ht="48.75" customHeight="1">
      <c r="A100" s="834"/>
      <c r="B100" s="805"/>
      <c r="C100" s="445"/>
      <c r="D100" s="535" t="s">
        <v>422</v>
      </c>
      <c r="E100" s="474" t="str">
        <f>+'MATRIZ GENERAL CONSOLIDADA'!C74</f>
        <v>%</v>
      </c>
      <c r="F100" s="465">
        <f>+'MATRIZ GENERAL CONSOLIDADA'!L74</f>
        <v>100</v>
      </c>
      <c r="G100" s="540">
        <f>+'MATRIZ GENERAL CONSOLIDADA'!N74</f>
        <v>69</v>
      </c>
      <c r="H100" s="540">
        <f>+'MATRIZ GENERAL CONSOLIDADA'!M74</f>
        <v>592854618</v>
      </c>
      <c r="I100" s="540">
        <f>+'Anexo 1 Matriz SINA Inf Gestión'!N74</f>
        <v>510705412</v>
      </c>
      <c r="J100" s="77">
        <f t="shared" si="5"/>
        <v>82149206</v>
      </c>
      <c r="K100" s="559"/>
      <c r="L100" s="559"/>
      <c r="M100" s="180"/>
      <c r="N100" s="172"/>
      <c r="O100" s="173"/>
      <c r="P100" s="165"/>
    </row>
    <row r="101" spans="1:16" s="1" customFormat="1" ht="47.25" customHeight="1">
      <c r="A101" s="834"/>
      <c r="B101" s="805"/>
      <c r="C101" s="445"/>
      <c r="D101" s="535" t="s">
        <v>423</v>
      </c>
      <c r="E101" s="474" t="str">
        <f>+'MATRIZ GENERAL CONSOLIDADA'!C75</f>
        <v>Dias*</v>
      </c>
      <c r="F101" s="465">
        <f>+'MATRIZ GENERAL CONSOLIDADA'!L75</f>
        <v>60</v>
      </c>
      <c r="G101" s="540">
        <f>+'MATRIZ GENERAL CONSOLIDADA'!N75</f>
        <v>60</v>
      </c>
      <c r="H101" s="540">
        <f>+'MATRIZ GENERAL CONSOLIDADA'!M75</f>
        <v>0</v>
      </c>
      <c r="I101" s="540">
        <f>+'Anexo 1 Matriz SINA Inf Gestión'!N75</f>
        <v>0</v>
      </c>
      <c r="J101" s="77">
        <f t="shared" si="5"/>
        <v>0</v>
      </c>
      <c r="K101" s="559"/>
      <c r="L101" s="559"/>
      <c r="M101" s="180"/>
      <c r="N101" s="172"/>
      <c r="O101" s="173"/>
      <c r="P101" s="165"/>
    </row>
    <row r="102" spans="1:16" s="1" customFormat="1" ht="56.25" customHeight="1">
      <c r="A102" s="834"/>
      <c r="B102" s="805"/>
      <c r="C102" s="445"/>
      <c r="D102" s="535" t="s">
        <v>424</v>
      </c>
      <c r="E102" s="474" t="str">
        <f>+'MATRIZ GENERAL CONSOLIDADA'!C76</f>
        <v>%*</v>
      </c>
      <c r="F102" s="465">
        <f>+'MATRIZ GENERAL CONSOLIDADA'!L76</f>
        <v>25</v>
      </c>
      <c r="G102" s="540">
        <f>+'MATRIZ GENERAL CONSOLIDADA'!N76</f>
        <v>18</v>
      </c>
      <c r="H102" s="540">
        <f>+'MATRIZ GENERAL CONSOLIDADA'!M76</f>
        <v>0</v>
      </c>
      <c r="I102" s="540">
        <f>+'Anexo 1 Matriz SINA Inf Gestión'!N76</f>
        <v>0</v>
      </c>
      <c r="J102" s="77">
        <f t="shared" si="5"/>
        <v>0</v>
      </c>
      <c r="K102" s="559"/>
      <c r="L102" s="559"/>
      <c r="M102" s="180"/>
      <c r="N102" s="172"/>
      <c r="O102" s="173"/>
      <c r="P102" s="451"/>
    </row>
    <row r="103" spans="1:16" s="1" customFormat="1" ht="78" customHeight="1">
      <c r="A103" s="834"/>
      <c r="B103" s="805"/>
      <c r="C103" s="445"/>
      <c r="D103" s="531" t="s">
        <v>425</v>
      </c>
      <c r="E103" s="474" t="str">
        <f>+'MATRIZ GENERAL CONSOLIDADA'!C77</f>
        <v>%*</v>
      </c>
      <c r="F103" s="465">
        <f>+'MATRIZ GENERAL CONSOLIDADA'!L77</f>
        <v>100</v>
      </c>
      <c r="G103" s="540">
        <f>+'MATRIZ GENERAL CONSOLIDADA'!N77</f>
        <v>64</v>
      </c>
      <c r="H103" s="540">
        <f>+'MATRIZ GENERAL CONSOLIDADA'!M77</f>
        <v>75011224.5</v>
      </c>
      <c r="I103" s="540">
        <f>+'Anexo 1 Matriz SINA Inf Gestión'!N77</f>
        <v>40133394</v>
      </c>
      <c r="J103" s="77">
        <f t="shared" si="5"/>
        <v>34877830.5</v>
      </c>
      <c r="K103" s="559"/>
      <c r="L103" s="559"/>
      <c r="M103" s="180"/>
      <c r="N103" s="172"/>
      <c r="O103" s="173"/>
      <c r="P103" s="165"/>
    </row>
    <row r="104" spans="1:16" s="1" customFormat="1" ht="53.25" customHeight="1">
      <c r="A104" s="834"/>
      <c r="B104" s="805"/>
      <c r="C104" s="445"/>
      <c r="D104" s="595" t="s">
        <v>426</v>
      </c>
      <c r="E104" s="474" t="str">
        <f>+'MATRIZ GENERAL CONSOLIDADA'!C78</f>
        <v>Red*</v>
      </c>
      <c r="F104" s="465">
        <f>+'MATRIZ GENERAL CONSOLIDADA'!L78</f>
        <v>1</v>
      </c>
      <c r="G104" s="540">
        <f>+'MATRIZ GENERAL CONSOLIDADA'!N78</f>
        <v>0.5</v>
      </c>
      <c r="H104" s="540">
        <f>+'MATRIZ GENERAL CONSOLIDADA'!M78</f>
        <v>1258440728</v>
      </c>
      <c r="I104" s="540">
        <f>+'Anexo 1 Matriz SINA Inf Gestión'!N78</f>
        <v>928090253</v>
      </c>
      <c r="J104" s="77">
        <f t="shared" si="5"/>
        <v>330350475</v>
      </c>
      <c r="K104" s="559"/>
      <c r="L104" s="559"/>
      <c r="M104" s="180">
        <f>280554*2</f>
        <v>561108</v>
      </c>
      <c r="N104" s="172">
        <f>105137*2</f>
        <v>210274</v>
      </c>
      <c r="O104" s="173"/>
      <c r="P104" s="165"/>
    </row>
    <row r="105" spans="1:16" s="1" customFormat="1" ht="55.5" customHeight="1">
      <c r="A105" s="834"/>
      <c r="B105" s="805"/>
      <c r="C105" s="445"/>
      <c r="D105" s="595" t="s">
        <v>427</v>
      </c>
      <c r="E105" s="474" t="str">
        <f>+'MATRIZ GENERAL CONSOLIDADA'!C79</f>
        <v>Monitoreo</v>
      </c>
      <c r="F105" s="465">
        <f>+'MATRIZ GENERAL CONSOLIDADA'!L79</f>
        <v>1</v>
      </c>
      <c r="G105" s="540">
        <f>+'MATRIZ GENERAL CONSOLIDADA'!N79</f>
        <v>0.5</v>
      </c>
      <c r="H105" s="540">
        <f>+'MATRIZ GENERAL CONSOLIDADA'!M79</f>
        <v>33000000</v>
      </c>
      <c r="I105" s="540">
        <f>+'Anexo 1 Matriz SINA Inf Gestión'!N79</f>
        <v>23414050</v>
      </c>
      <c r="J105" s="77">
        <f t="shared" si="5"/>
        <v>9585950</v>
      </c>
      <c r="K105" s="559"/>
      <c r="L105" s="559"/>
      <c r="M105" s="180">
        <v>425686</v>
      </c>
      <c r="N105" s="172">
        <v>63158</v>
      </c>
      <c r="O105" s="173"/>
      <c r="P105" s="165"/>
    </row>
    <row r="106" spans="1:16" s="1" customFormat="1" ht="45.75" customHeight="1">
      <c r="A106" s="834"/>
      <c r="B106" s="805"/>
      <c r="C106" s="445"/>
      <c r="D106" s="579" t="s">
        <v>429</v>
      </c>
      <c r="E106" s="474" t="str">
        <f>+'MATRIZ GENERAL CONSOLIDADA'!C80</f>
        <v>Red*</v>
      </c>
      <c r="F106" s="465">
        <f>+'MATRIZ GENERAL CONSOLIDADA'!L80</f>
        <v>1</v>
      </c>
      <c r="G106" s="540">
        <f>+'MATRIZ GENERAL CONSOLIDADA'!N80</f>
        <v>0.5</v>
      </c>
      <c r="H106" s="540">
        <f>+'MATRIZ GENERAL CONSOLIDADA'!M80</f>
        <v>33000000</v>
      </c>
      <c r="I106" s="540">
        <f>+'Anexo 1 Matriz SINA Inf Gestión'!N80</f>
        <v>0</v>
      </c>
      <c r="J106" s="77">
        <f t="shared" si="5"/>
        <v>33000000</v>
      </c>
      <c r="K106" s="559"/>
      <c r="L106" s="559"/>
      <c r="M106" s="180"/>
      <c r="N106" s="172"/>
      <c r="O106" s="173"/>
      <c r="P106" s="165"/>
    </row>
    <row r="107" spans="1:16" s="1" customFormat="1" ht="30">
      <c r="A107" s="834"/>
      <c r="B107" s="805"/>
      <c r="C107" s="445"/>
      <c r="D107" s="595" t="s">
        <v>430</v>
      </c>
      <c r="E107" s="474" t="str">
        <f>+'MATRIZ GENERAL CONSOLIDADA'!C81</f>
        <v>Estrategia *</v>
      </c>
      <c r="F107" s="465">
        <f>+'MATRIZ GENERAL CONSOLIDADA'!L81</f>
        <v>1</v>
      </c>
      <c r="G107" s="540">
        <f>+'MATRIZ GENERAL CONSOLIDADA'!N81</f>
        <v>0.5</v>
      </c>
      <c r="H107" s="540">
        <f>+'MATRIZ GENERAL CONSOLIDADA'!M81</f>
        <v>283617734</v>
      </c>
      <c r="I107" s="540">
        <f>+'Anexo 1 Matriz SINA Inf Gestión'!N81</f>
        <v>107680156</v>
      </c>
      <c r="J107" s="77">
        <f t="shared" si="5"/>
        <v>175937578</v>
      </c>
      <c r="K107" s="559"/>
      <c r="L107" s="559"/>
      <c r="M107" s="180"/>
      <c r="N107" s="172"/>
      <c r="O107" s="173"/>
      <c r="P107" s="165"/>
    </row>
    <row r="108" spans="1:16" s="1" customFormat="1" ht="30">
      <c r="A108" s="834"/>
      <c r="B108" s="805"/>
      <c r="C108" s="445"/>
      <c r="D108" s="579" t="s">
        <v>431</v>
      </c>
      <c r="E108" s="474" t="str">
        <f>+'MATRIZ GENERAL CONSOLIDADA'!C82</f>
        <v>%</v>
      </c>
      <c r="F108" s="465">
        <f>+'MATRIZ GENERAL CONSOLIDADA'!L82</f>
        <v>100</v>
      </c>
      <c r="G108" s="540">
        <f>+'MATRIZ GENERAL CONSOLIDADA'!N82</f>
        <v>10</v>
      </c>
      <c r="H108" s="540">
        <f>+'MATRIZ GENERAL CONSOLIDADA'!M82</f>
        <v>20481600</v>
      </c>
      <c r="I108" s="540">
        <f>+'Anexo 1 Matriz SINA Inf Gestión'!N82</f>
        <v>10843200</v>
      </c>
      <c r="J108" s="77">
        <f t="shared" si="5"/>
        <v>9638400</v>
      </c>
      <c r="K108" s="559"/>
      <c r="L108" s="559"/>
      <c r="M108" s="180"/>
      <c r="N108" s="172"/>
      <c r="O108" s="173"/>
      <c r="P108" s="165"/>
    </row>
    <row r="109" spans="1:16" s="1" customFormat="1" ht="30">
      <c r="A109" s="834"/>
      <c r="B109" s="805"/>
      <c r="C109" s="445"/>
      <c r="D109" s="579" t="s">
        <v>432</v>
      </c>
      <c r="E109" s="474" t="str">
        <f>+'MATRIZ GENERAL CONSOLIDADA'!C83</f>
        <v>Municipio*</v>
      </c>
      <c r="F109" s="465">
        <f>+'MATRIZ GENERAL CONSOLIDADA'!L83</f>
        <v>37</v>
      </c>
      <c r="G109" s="540">
        <f>+'MATRIZ GENERAL CONSOLIDADA'!N83</f>
        <v>15</v>
      </c>
      <c r="H109" s="540">
        <f>+'MATRIZ GENERAL CONSOLIDADA'!M83</f>
        <v>20481600</v>
      </c>
      <c r="I109" s="540">
        <f>+'Anexo 1 Matriz SINA Inf Gestión'!N83</f>
        <v>10843200</v>
      </c>
      <c r="J109" s="77">
        <f t="shared" si="5"/>
        <v>9638400</v>
      </c>
      <c r="K109" s="559"/>
      <c r="L109" s="559"/>
      <c r="M109" s="180"/>
      <c r="N109" s="172"/>
      <c r="O109" s="173"/>
      <c r="P109" s="165"/>
    </row>
    <row r="110" spans="1:16" s="1" customFormat="1" ht="30">
      <c r="A110" s="834"/>
      <c r="B110" s="805"/>
      <c r="C110" s="445"/>
      <c r="D110" s="579" t="s">
        <v>0</v>
      </c>
      <c r="E110" s="474" t="str">
        <f>+'MATRIZ GENERAL CONSOLIDADA'!C84</f>
        <v>Aplicativo actualizado</v>
      </c>
      <c r="F110" s="465">
        <f>+'MATRIZ GENERAL CONSOLIDADA'!L84</f>
        <v>1</v>
      </c>
      <c r="G110" s="540">
        <f>+'MATRIZ GENERAL CONSOLIDADA'!N84</f>
        <v>0.5</v>
      </c>
      <c r="H110" s="540">
        <f>+'MATRIZ GENERAL CONSOLIDADA'!M84</f>
        <v>136639200</v>
      </c>
      <c r="I110" s="540">
        <f>+'Anexo 1 Matriz SINA Inf Gestión'!N84</f>
        <v>109815763</v>
      </c>
      <c r="J110" s="77">
        <f t="shared" si="5"/>
        <v>26823437</v>
      </c>
      <c r="K110" s="559"/>
      <c r="L110" s="559"/>
      <c r="M110" s="180"/>
      <c r="N110" s="172"/>
      <c r="O110" s="173"/>
      <c r="P110" s="165"/>
    </row>
    <row r="111" spans="1:16" s="1" customFormat="1" ht="19.5" customHeight="1">
      <c r="A111" s="834"/>
      <c r="B111" s="805"/>
      <c r="C111" s="445"/>
      <c r="D111" s="596" t="s">
        <v>434</v>
      </c>
      <c r="E111" s="474" t="str">
        <f>+'MATRIZ GENERAL CONSOLIDADA'!C85</f>
        <v>%</v>
      </c>
      <c r="F111" s="465">
        <f>+'MATRIZ GENERAL CONSOLIDADA'!L85</f>
        <v>90</v>
      </c>
      <c r="G111" s="540">
        <f>+'MATRIZ GENERAL CONSOLIDADA'!N85</f>
        <v>66</v>
      </c>
      <c r="H111" s="540">
        <f>+'MATRIZ GENERAL CONSOLIDADA'!M85</f>
        <v>34105034</v>
      </c>
      <c r="I111" s="540">
        <f>+'Anexo 1 Matriz SINA Inf Gestión'!N85</f>
        <v>20883200</v>
      </c>
      <c r="J111" s="77">
        <f t="shared" si="5"/>
        <v>13221834</v>
      </c>
      <c r="K111" s="559"/>
      <c r="L111" s="559"/>
      <c r="M111" s="180"/>
      <c r="N111" s="172"/>
      <c r="O111" s="173"/>
      <c r="P111" s="451"/>
    </row>
    <row r="112" spans="1:16" s="1" customFormat="1" ht="30">
      <c r="A112" s="834"/>
      <c r="B112" s="805"/>
      <c r="C112" s="445"/>
      <c r="D112" s="579" t="s">
        <v>532</v>
      </c>
      <c r="E112" s="474" t="str">
        <f>+'MATRIZ GENERAL CONSOLIDADA'!C86</f>
        <v>Global</v>
      </c>
      <c r="F112" s="465">
        <f>+'MATRIZ GENERAL CONSOLIDADA'!L86</f>
        <v>0</v>
      </c>
      <c r="G112" s="540">
        <f>+'MATRIZ GENERAL CONSOLIDADA'!N86</f>
        <v>0</v>
      </c>
      <c r="H112" s="540">
        <f>+'MATRIZ GENERAL CONSOLIDADA'!M86</f>
        <v>0</v>
      </c>
      <c r="I112" s="540">
        <f>+'Anexo 1 Matriz SINA Inf Gestión'!N86</f>
        <v>0</v>
      </c>
      <c r="J112" s="77">
        <f t="shared" si="5"/>
        <v>0</v>
      </c>
      <c r="K112" s="559"/>
      <c r="L112" s="559"/>
      <c r="M112" s="180"/>
      <c r="N112" s="172"/>
      <c r="O112" s="173"/>
      <c r="P112" s="165"/>
    </row>
    <row r="113" spans="1:19" s="1" customFormat="1" ht="15">
      <c r="A113" s="834"/>
      <c r="B113" s="805"/>
      <c r="C113" s="563"/>
      <c r="D113" s="800" t="s">
        <v>327</v>
      </c>
      <c r="E113" s="801"/>
      <c r="F113" s="801"/>
      <c r="G113" s="802"/>
      <c r="H113" s="573">
        <f>SUM(H97:H112)</f>
        <v>2487631738.5</v>
      </c>
      <c r="J113" s="816">
        <f>+H113-I114</f>
        <v>725223110.5</v>
      </c>
      <c r="K113" s="174">
        <v>29</v>
      </c>
      <c r="L113" s="559"/>
      <c r="M113" s="180"/>
      <c r="N113" s="172"/>
      <c r="O113" s="173"/>
      <c r="P113" s="165"/>
    </row>
    <row r="114" spans="1:19" s="1" customFormat="1" ht="18" customHeight="1">
      <c r="A114" s="834"/>
      <c r="B114" s="805"/>
      <c r="C114" s="563"/>
      <c r="D114" s="800" t="s">
        <v>328</v>
      </c>
      <c r="E114" s="801"/>
      <c r="F114" s="801"/>
      <c r="G114" s="801"/>
      <c r="H114" s="802"/>
      <c r="I114" s="573">
        <f>SUM(I97:I112)</f>
        <v>1762408628</v>
      </c>
      <c r="J114" s="817"/>
      <c r="K114" s="559"/>
      <c r="L114" s="559"/>
      <c r="M114" s="175">
        <f>SUM(M97:M113)</f>
        <v>1938706</v>
      </c>
      <c r="N114" s="175">
        <f>SUM(N97:N113)</f>
        <v>343245</v>
      </c>
      <c r="O114" s="179">
        <f>SUM(O97:O113)</f>
        <v>412670</v>
      </c>
      <c r="P114" s="165"/>
    </row>
    <row r="115" spans="1:19" s="1" customFormat="1" ht="18" customHeight="1">
      <c r="A115" s="839"/>
      <c r="B115" s="806"/>
      <c r="C115" s="400"/>
      <c r="D115" s="800" t="s">
        <v>329</v>
      </c>
      <c r="E115" s="801"/>
      <c r="F115" s="801"/>
      <c r="G115" s="801"/>
      <c r="H115" s="802"/>
      <c r="I115" s="539">
        <f>+I114/H113</f>
        <v>0.70846846047345524</v>
      </c>
      <c r="J115" s="822"/>
      <c r="K115" s="559"/>
      <c r="L115" s="559"/>
      <c r="M115" s="175"/>
      <c r="N115" s="175"/>
      <c r="O115" s="179"/>
      <c r="P115" s="165"/>
    </row>
    <row r="116" spans="1:19" s="1" customFormat="1" ht="19.5" customHeight="1">
      <c r="A116" s="864" t="s">
        <v>312</v>
      </c>
      <c r="B116" s="854" t="s">
        <v>313</v>
      </c>
      <c r="C116" s="583"/>
      <c r="D116" s="824" t="s">
        <v>314</v>
      </c>
      <c r="E116" s="799" t="s">
        <v>96</v>
      </c>
      <c r="F116" s="799" t="s">
        <v>315</v>
      </c>
      <c r="G116" s="799"/>
      <c r="H116" s="797" t="s">
        <v>316</v>
      </c>
      <c r="I116" s="797"/>
      <c r="J116" s="798"/>
      <c r="K116" s="559"/>
      <c r="L116" s="559"/>
      <c r="M116" s="172"/>
      <c r="N116" s="172"/>
      <c r="O116" s="173"/>
      <c r="P116" s="165"/>
    </row>
    <row r="117" spans="1:19" s="1" customFormat="1" ht="50.25" customHeight="1">
      <c r="A117" s="865"/>
      <c r="B117" s="855"/>
      <c r="C117" s="597"/>
      <c r="D117" s="825"/>
      <c r="E117" s="799"/>
      <c r="F117" s="570" t="s">
        <v>317</v>
      </c>
      <c r="G117" s="570" t="s">
        <v>318</v>
      </c>
      <c r="H117" s="571" t="s">
        <v>319</v>
      </c>
      <c r="I117" s="568" t="s">
        <v>320</v>
      </c>
      <c r="J117" s="569" t="s">
        <v>321</v>
      </c>
      <c r="K117" s="559"/>
      <c r="L117" s="559"/>
      <c r="M117" s="172"/>
      <c r="N117" s="172"/>
      <c r="O117" s="173"/>
      <c r="P117" s="165"/>
    </row>
    <row r="118" spans="1:19" s="1" customFormat="1" ht="85.5" customHeight="1">
      <c r="A118" s="833" t="s">
        <v>495</v>
      </c>
      <c r="B118" s="804" t="s">
        <v>496</v>
      </c>
      <c r="C118" s="563"/>
      <c r="D118" s="390" t="s">
        <v>436</v>
      </c>
      <c r="E118" s="474" t="str">
        <f>+'MATRIZ GENERAL CONSOLIDADA'!C89</f>
        <v>%*</v>
      </c>
      <c r="F118" s="465">
        <f>+'MATRIZ GENERAL CONSOLIDADA'!L89</f>
        <v>100</v>
      </c>
      <c r="G118" s="540">
        <f>+'MATRIZ GENERAL CONSOLIDADA'!N89</f>
        <v>60</v>
      </c>
      <c r="H118" s="540">
        <f>+'Anexo 1 Matriz SINA Inf Gestión'!M89</f>
        <v>109100000</v>
      </c>
      <c r="I118" s="465">
        <f>+'MATRIZ GENERAL CONSOLIDADA'!O89</f>
        <v>109092381</v>
      </c>
      <c r="J118" s="77"/>
      <c r="K118" s="559"/>
      <c r="L118" s="559"/>
      <c r="M118" s="172"/>
      <c r="N118" s="172"/>
      <c r="O118" s="173"/>
      <c r="P118" s="451"/>
    </row>
    <row r="119" spans="1:19" s="1" customFormat="1" ht="81" customHeight="1">
      <c r="A119" s="834"/>
      <c r="B119" s="805"/>
      <c r="C119" s="563"/>
      <c r="D119" s="373" t="s">
        <v>437</v>
      </c>
      <c r="E119" s="474" t="str">
        <f>+'MATRIZ GENERAL CONSOLIDADA'!C90</f>
        <v>%*</v>
      </c>
      <c r="F119" s="465">
        <f>+'MATRIZ GENERAL CONSOLIDADA'!L90</f>
        <v>100</v>
      </c>
      <c r="G119" s="540">
        <f>+'MATRIZ GENERAL CONSOLIDADA'!N90</f>
        <v>80</v>
      </c>
      <c r="H119" s="540">
        <f>+'Anexo 1 Matriz SINA Inf Gestión'!M90</f>
        <v>47500000</v>
      </c>
      <c r="I119" s="465">
        <f>+'MATRIZ GENERAL CONSOLIDADA'!O90</f>
        <v>43674000</v>
      </c>
      <c r="J119" s="77">
        <f>+H119-I119</f>
        <v>3826000</v>
      </c>
      <c r="K119" s="559"/>
      <c r="L119" s="559"/>
      <c r="M119" s="172"/>
      <c r="N119" s="172"/>
      <c r="O119" s="173"/>
      <c r="P119" s="165"/>
    </row>
    <row r="120" spans="1:19" s="600" customFormat="1" ht="69.75" customHeight="1">
      <c r="A120" s="834"/>
      <c r="B120" s="805"/>
      <c r="C120" s="598"/>
      <c r="D120" s="373" t="s">
        <v>438</v>
      </c>
      <c r="E120" s="474" t="str">
        <f>+'MATRIZ GENERAL CONSOLIDADA'!C91</f>
        <v>%</v>
      </c>
      <c r="F120" s="465">
        <f>+'MATRIZ GENERAL CONSOLIDADA'!L91</f>
        <v>30</v>
      </c>
      <c r="G120" s="540">
        <f>+'MATRIZ GENERAL CONSOLIDADA'!N91</f>
        <v>5</v>
      </c>
      <c r="H120" s="540">
        <f>+'Anexo 1 Matriz SINA Inf Gestión'!M91</f>
        <v>120000000</v>
      </c>
      <c r="I120" s="465">
        <f>+'MATRIZ GENERAL CONSOLIDADA'!O91</f>
        <v>0</v>
      </c>
      <c r="J120" s="77">
        <f>+H120-I120</f>
        <v>120000000</v>
      </c>
      <c r="K120" s="599"/>
      <c r="L120" s="599"/>
      <c r="M120" s="424"/>
      <c r="N120" s="424"/>
      <c r="O120" s="424"/>
      <c r="P120" s="424"/>
      <c r="Q120" s="1"/>
      <c r="R120" s="1"/>
      <c r="S120" s="1"/>
    </row>
    <row r="121" spans="1:19" s="600" customFormat="1" ht="106.5" customHeight="1">
      <c r="A121" s="834"/>
      <c r="B121" s="805"/>
      <c r="C121" s="598"/>
      <c r="D121" s="631" t="s">
        <v>439</v>
      </c>
      <c r="E121" s="474" t="str">
        <f>+'MATRIZ GENERAL CONSOLIDADA'!C92</f>
        <v>No. Resguardos y/o cabildos y/o comunidades indígenas</v>
      </c>
      <c r="F121" s="465">
        <f>+'MATRIZ GENERAL CONSOLIDADA'!L92</f>
        <v>8</v>
      </c>
      <c r="G121" s="540">
        <f>+'MATRIZ GENERAL CONSOLIDADA'!N92</f>
        <v>0</v>
      </c>
      <c r="H121" s="540">
        <f>+'Anexo 1 Matriz SINA Inf Gestión'!M92</f>
        <v>350000000</v>
      </c>
      <c r="I121" s="465">
        <f>+'MATRIZ GENERAL CONSOLIDADA'!O92</f>
        <v>0</v>
      </c>
      <c r="J121" s="77">
        <f>+H121-I121</f>
        <v>350000000</v>
      </c>
      <c r="K121" s="599"/>
      <c r="L121" s="599"/>
      <c r="M121" s="424"/>
      <c r="N121" s="424"/>
      <c r="O121" s="424"/>
      <c r="P121" s="450"/>
      <c r="Q121" s="1"/>
      <c r="R121" s="1"/>
      <c r="S121" s="1"/>
    </row>
    <row r="122" spans="1:19" s="600" customFormat="1" ht="57" customHeight="1">
      <c r="A122" s="834"/>
      <c r="B122" s="805"/>
      <c r="C122" s="598"/>
      <c r="D122" s="384" t="s">
        <v>441</v>
      </c>
      <c r="E122" s="474" t="str">
        <f>+'MATRIZ GENERAL CONSOLIDADA'!C93</f>
        <v xml:space="preserve">Aplicación </v>
      </c>
      <c r="F122" s="465">
        <f>+'MATRIZ GENERAL CONSOLIDADA'!L93</f>
        <v>1</v>
      </c>
      <c r="G122" s="540">
        <f>+'MATRIZ GENERAL CONSOLIDADA'!N93</f>
        <v>0</v>
      </c>
      <c r="H122" s="540">
        <f>+'Anexo 1 Matriz SINA Inf Gestión'!M93</f>
        <v>50000000</v>
      </c>
      <c r="I122" s="465">
        <f>+'MATRIZ GENERAL CONSOLIDADA'!O93</f>
        <v>0</v>
      </c>
      <c r="J122" s="77">
        <f>+H122-I122</f>
        <v>50000000</v>
      </c>
      <c r="K122" s="599"/>
      <c r="L122" s="599"/>
      <c r="M122" s="424"/>
      <c r="N122" s="424"/>
      <c r="O122" s="424"/>
      <c r="P122" s="424"/>
      <c r="Q122" s="1"/>
      <c r="R122" s="1"/>
      <c r="S122" s="1"/>
    </row>
    <row r="123" spans="1:19" s="600" customFormat="1" ht="39.75" customHeight="1">
      <c r="A123" s="834"/>
      <c r="B123" s="805"/>
      <c r="C123" s="598"/>
      <c r="D123" s="372" t="s">
        <v>532</v>
      </c>
      <c r="E123" s="474" t="str">
        <f>+'MATRIZ GENERAL CONSOLIDADA'!C94</f>
        <v>Global</v>
      </c>
      <c r="F123" s="465">
        <f>+'MATRIZ GENERAL CONSOLIDADA'!L94</f>
        <v>0</v>
      </c>
      <c r="G123" s="540">
        <f>+'MATRIZ GENERAL CONSOLIDADA'!N94</f>
        <v>0</v>
      </c>
      <c r="H123" s="540">
        <f>+'Anexo 1 Matriz SINA Inf Gestión'!M94</f>
        <v>43400000</v>
      </c>
      <c r="I123" s="465">
        <f>+'MATRIZ GENERAL CONSOLIDADA'!O94</f>
        <v>38500574</v>
      </c>
      <c r="J123" s="630"/>
      <c r="K123" s="599"/>
      <c r="L123" s="599"/>
      <c r="M123" s="424"/>
      <c r="N123" s="424"/>
      <c r="O123" s="424"/>
      <c r="P123" s="424"/>
      <c r="Q123" s="1"/>
      <c r="R123" s="1"/>
      <c r="S123" s="1"/>
    </row>
    <row r="124" spans="1:19" s="1" customFormat="1" ht="18" customHeight="1">
      <c r="A124" s="834"/>
      <c r="B124" s="805"/>
      <c r="C124" s="586"/>
      <c r="D124" s="800" t="s">
        <v>327</v>
      </c>
      <c r="E124" s="801"/>
      <c r="F124" s="801"/>
      <c r="G124" s="802"/>
      <c r="H124" s="573">
        <f>SUM(H118:H123)</f>
        <v>720000000</v>
      </c>
      <c r="J124" s="816">
        <f>+H124-I125</f>
        <v>528733045</v>
      </c>
      <c r="K124" s="559"/>
      <c r="L124" s="559"/>
      <c r="M124" s="172"/>
      <c r="N124" s="172"/>
      <c r="O124" s="173"/>
      <c r="P124" s="165"/>
    </row>
    <row r="125" spans="1:19" s="1" customFormat="1" ht="18" customHeight="1">
      <c r="A125" s="834"/>
      <c r="B125" s="805"/>
      <c r="C125" s="586"/>
      <c r="D125" s="800" t="s">
        <v>328</v>
      </c>
      <c r="E125" s="801"/>
      <c r="F125" s="801"/>
      <c r="G125" s="801"/>
      <c r="H125" s="802"/>
      <c r="I125" s="601">
        <f>SUM(I118:I123)</f>
        <v>191266955</v>
      </c>
      <c r="J125" s="817"/>
      <c r="K125" s="559"/>
      <c r="L125" s="559"/>
      <c r="M125" s="172"/>
      <c r="N125" s="172"/>
      <c r="O125" s="173"/>
      <c r="P125" s="165"/>
    </row>
    <row r="126" spans="1:19" s="1" customFormat="1" ht="18" customHeight="1">
      <c r="A126" s="834"/>
      <c r="B126" s="806"/>
      <c r="C126" s="586"/>
      <c r="D126" s="800" t="s">
        <v>329</v>
      </c>
      <c r="E126" s="801"/>
      <c r="F126" s="801"/>
      <c r="G126" s="801"/>
      <c r="H126" s="802"/>
      <c r="I126" s="582">
        <f>+I125/H124</f>
        <v>0.26564854861111109</v>
      </c>
      <c r="J126" s="822"/>
      <c r="K126" s="559"/>
      <c r="L126" s="559"/>
      <c r="M126" s="172"/>
      <c r="N126" s="172"/>
      <c r="O126" s="173"/>
      <c r="P126" s="165"/>
    </row>
    <row r="127" spans="1:19" s="1" customFormat="1" ht="16.5" customHeight="1">
      <c r="A127" s="834"/>
      <c r="B127" s="803" t="s">
        <v>313</v>
      </c>
      <c r="C127" s="566"/>
      <c r="D127" s="824" t="s">
        <v>314</v>
      </c>
      <c r="E127" s="799" t="s">
        <v>96</v>
      </c>
      <c r="F127" s="799" t="s">
        <v>315</v>
      </c>
      <c r="G127" s="799"/>
      <c r="H127" s="797" t="s">
        <v>316</v>
      </c>
      <c r="I127" s="797"/>
      <c r="J127" s="798"/>
      <c r="K127" s="559"/>
      <c r="L127" s="559"/>
      <c r="M127" s="172"/>
      <c r="N127" s="172"/>
      <c r="O127" s="173"/>
      <c r="P127" s="165"/>
    </row>
    <row r="128" spans="1:19" s="1" customFormat="1" ht="30">
      <c r="A128" s="834"/>
      <c r="B128" s="803"/>
      <c r="C128" s="566"/>
      <c r="D128" s="825"/>
      <c r="E128" s="799"/>
      <c r="F128" s="570" t="s">
        <v>317</v>
      </c>
      <c r="G128" s="570" t="s">
        <v>318</v>
      </c>
      <c r="H128" s="571" t="s">
        <v>319</v>
      </c>
      <c r="I128" s="568" t="s">
        <v>320</v>
      </c>
      <c r="J128" s="569" t="s">
        <v>321</v>
      </c>
      <c r="K128" s="559"/>
      <c r="L128" s="559"/>
      <c r="M128" s="172"/>
      <c r="N128" s="172"/>
      <c r="O128" s="173"/>
      <c r="P128" s="165"/>
    </row>
    <row r="129" spans="1:16" s="1" customFormat="1" ht="40.5" customHeight="1">
      <c r="A129" s="834"/>
      <c r="B129" s="804" t="s">
        <v>551</v>
      </c>
      <c r="C129" s="400"/>
      <c r="D129" s="579" t="s">
        <v>442</v>
      </c>
      <c r="E129" s="474" t="str">
        <f>+'MATRIZ GENERAL CONSOLIDADA'!C96</f>
        <v xml:space="preserve">Estudios </v>
      </c>
      <c r="F129" s="465">
        <f>+'MATRIZ GENERAL CONSOLIDADA'!L96</f>
        <v>1</v>
      </c>
      <c r="G129" s="762">
        <f>+'MATRIZ GENERAL CONSOLIDADA'!N96</f>
        <v>0.5</v>
      </c>
      <c r="H129" s="540">
        <f>+'MATRIZ GENERAL CONSOLIDADA'!M96</f>
        <v>587753222</v>
      </c>
      <c r="I129" s="465">
        <f>+'Anexo 1 Matriz SINA Inf Gestión'!N96</f>
        <v>0</v>
      </c>
      <c r="J129" s="77">
        <f>+H129-I129</f>
        <v>587753222</v>
      </c>
      <c r="K129" s="559"/>
      <c r="L129" s="559"/>
      <c r="M129" s="172"/>
      <c r="N129" s="172"/>
      <c r="O129" s="173"/>
      <c r="P129" s="165"/>
    </row>
    <row r="130" spans="1:16" s="1" customFormat="1" ht="38.25" customHeight="1">
      <c r="A130" s="834"/>
      <c r="B130" s="805"/>
      <c r="C130" s="563"/>
      <c r="D130" s="579" t="s">
        <v>444</v>
      </c>
      <c r="E130" s="474" t="str">
        <f>+'MATRIZ GENERAL CONSOLIDADA'!C97</f>
        <v>Municipio</v>
      </c>
      <c r="F130" s="465">
        <f>+'MATRIZ GENERAL CONSOLIDADA'!L97</f>
        <v>1</v>
      </c>
      <c r="G130" s="762">
        <f>+'MATRIZ GENERAL CONSOLIDADA'!N97</f>
        <v>0.5</v>
      </c>
      <c r="H130" s="540">
        <f>+'MATRIZ GENERAL CONSOLIDADA'!M97</f>
        <v>200000000</v>
      </c>
      <c r="I130" s="465">
        <f>+'Anexo 1 Matriz SINA Inf Gestión'!N97</f>
        <v>0</v>
      </c>
      <c r="J130" s="77">
        <f>+H130-I130</f>
        <v>200000000</v>
      </c>
      <c r="K130" s="559"/>
      <c r="L130" s="559"/>
      <c r="M130" s="172"/>
      <c r="N130" s="172"/>
      <c r="O130" s="173"/>
      <c r="P130" s="165"/>
    </row>
    <row r="131" spans="1:16" s="1" customFormat="1" ht="57.75" customHeight="1">
      <c r="A131" s="834"/>
      <c r="B131" s="805"/>
      <c r="C131" s="563"/>
      <c r="D131" s="579" t="s">
        <v>445</v>
      </c>
      <c r="E131" s="474" t="str">
        <f>+'MATRIZ GENERAL CONSOLIDADA'!C98</f>
        <v>%</v>
      </c>
      <c r="F131" s="465">
        <f>+'MATRIZ GENERAL CONSOLIDADA'!L98</f>
        <v>20</v>
      </c>
      <c r="G131" s="762">
        <f>+'MATRIZ GENERAL CONSOLIDADA'!N98</f>
        <v>0</v>
      </c>
      <c r="H131" s="540">
        <f>+'MATRIZ GENERAL CONSOLIDADA'!M98</f>
        <v>849589382</v>
      </c>
      <c r="I131" s="465">
        <f>+'Anexo 1 Matriz SINA Inf Gestión'!N98</f>
        <v>0</v>
      </c>
      <c r="J131" s="77">
        <f>+H131-I131</f>
        <v>849589382</v>
      </c>
      <c r="K131" s="559"/>
      <c r="L131" s="559"/>
      <c r="M131" s="172"/>
      <c r="N131" s="172"/>
      <c r="O131" s="173"/>
      <c r="P131" s="165"/>
    </row>
    <row r="132" spans="1:16" s="1" customFormat="1" ht="77.25" customHeight="1">
      <c r="A132" s="834"/>
      <c r="B132" s="805"/>
      <c r="C132" s="586"/>
      <c r="D132" s="579" t="s">
        <v>446</v>
      </c>
      <c r="E132" s="474" t="str">
        <f>+'MATRIZ GENERAL CONSOLIDADA'!C99</f>
        <v xml:space="preserve">Ente territorial </v>
      </c>
      <c r="F132" s="465">
        <f>+'MATRIZ GENERAL CONSOLIDADA'!L99</f>
        <v>38</v>
      </c>
      <c r="G132" s="762">
        <f>+'MATRIZ GENERAL CONSOLIDADA'!N99</f>
        <v>38</v>
      </c>
      <c r="H132" s="540">
        <f>+'MATRIZ GENERAL CONSOLIDADA'!M99</f>
        <v>327021953</v>
      </c>
      <c r="I132" s="465">
        <f>+'Anexo 1 Matriz SINA Inf Gestión'!N99</f>
        <v>174082826</v>
      </c>
      <c r="J132" s="77">
        <f>+H132-I132</f>
        <v>152939127</v>
      </c>
      <c r="K132" s="559"/>
      <c r="L132" s="559"/>
      <c r="M132" s="172"/>
      <c r="N132" s="172"/>
      <c r="O132" s="173"/>
      <c r="P132" s="165"/>
    </row>
    <row r="133" spans="1:16" s="1" customFormat="1" ht="15">
      <c r="A133" s="834"/>
      <c r="B133" s="805"/>
      <c r="C133" s="586"/>
      <c r="D133" s="860" t="s">
        <v>327</v>
      </c>
      <c r="E133" s="861"/>
      <c r="F133" s="861"/>
      <c r="G133" s="862"/>
      <c r="H133" s="601">
        <f>SUM(H129:H132)</f>
        <v>1964364557</v>
      </c>
      <c r="I133" s="611"/>
      <c r="J133" s="819">
        <f>+H133-I134</f>
        <v>1790281731</v>
      </c>
      <c r="K133" s="559"/>
      <c r="L133" s="559"/>
      <c r="M133" s="172"/>
      <c r="N133" s="172"/>
      <c r="O133" s="173"/>
      <c r="P133" s="165"/>
    </row>
    <row r="134" spans="1:16" s="1" customFormat="1" ht="18" customHeight="1">
      <c r="A134" s="834"/>
      <c r="B134" s="805"/>
      <c r="C134" s="586"/>
      <c r="D134" s="860" t="s">
        <v>328</v>
      </c>
      <c r="E134" s="861"/>
      <c r="F134" s="861"/>
      <c r="G134" s="861"/>
      <c r="H134" s="862"/>
      <c r="I134" s="573">
        <f>SUM(I129:I132)</f>
        <v>174082826</v>
      </c>
      <c r="J134" s="820"/>
      <c r="K134" s="559"/>
      <c r="L134" s="559"/>
      <c r="M134" s="172"/>
      <c r="N134" s="172"/>
      <c r="O134" s="173"/>
      <c r="P134" s="165"/>
    </row>
    <row r="135" spans="1:16" s="1" customFormat="1" ht="18" customHeight="1">
      <c r="A135" s="839"/>
      <c r="B135" s="806"/>
      <c r="C135" s="586"/>
      <c r="D135" s="800" t="s">
        <v>329</v>
      </c>
      <c r="E135" s="801"/>
      <c r="F135" s="801"/>
      <c r="G135" s="801"/>
      <c r="H135" s="802"/>
      <c r="I135" s="592">
        <f>+I134/H133</f>
        <v>8.8620427089084367E-2</v>
      </c>
      <c r="J135" s="821"/>
      <c r="K135" s="559"/>
      <c r="L135" s="559"/>
      <c r="M135" s="172"/>
      <c r="N135" s="172"/>
      <c r="O135" s="173"/>
      <c r="P135" s="165"/>
    </row>
    <row r="136" spans="1:16" s="1" customFormat="1" ht="26.25" customHeight="1">
      <c r="A136" s="823" t="s">
        <v>312</v>
      </c>
      <c r="B136" s="803" t="s">
        <v>313</v>
      </c>
      <c r="C136" s="566"/>
      <c r="D136" s="602"/>
      <c r="E136" s="799" t="s">
        <v>96</v>
      </c>
      <c r="F136" s="799" t="s">
        <v>315</v>
      </c>
      <c r="G136" s="799"/>
      <c r="H136" s="797" t="s">
        <v>316</v>
      </c>
      <c r="I136" s="797"/>
      <c r="J136" s="798"/>
      <c r="K136" s="559"/>
      <c r="L136" s="559"/>
      <c r="M136" s="172"/>
      <c r="N136" s="172"/>
      <c r="O136" s="173"/>
      <c r="P136" s="165"/>
    </row>
    <row r="137" spans="1:16" s="1" customFormat="1" ht="47.25" customHeight="1">
      <c r="A137" s="823"/>
      <c r="B137" s="803"/>
      <c r="C137" s="566"/>
      <c r="D137" s="567" t="s">
        <v>314</v>
      </c>
      <c r="E137" s="799"/>
      <c r="F137" s="570" t="s">
        <v>317</v>
      </c>
      <c r="G137" s="570" t="s">
        <v>318</v>
      </c>
      <c r="H137" s="571" t="s">
        <v>319</v>
      </c>
      <c r="I137" s="568" t="s">
        <v>320</v>
      </c>
      <c r="J137" s="569" t="s">
        <v>321</v>
      </c>
      <c r="K137" s="559"/>
      <c r="L137" s="559"/>
      <c r="M137" s="172"/>
      <c r="N137" s="172"/>
      <c r="O137" s="173"/>
      <c r="P137" s="165"/>
    </row>
    <row r="138" spans="1:16" s="1" customFormat="1" ht="38.25" customHeight="1">
      <c r="A138" s="833" t="s">
        <v>490</v>
      </c>
      <c r="B138" s="804" t="s">
        <v>491</v>
      </c>
      <c r="C138" s="563"/>
      <c r="D138" s="579" t="s">
        <v>449</v>
      </c>
      <c r="E138" s="474" t="str">
        <f>+'MATRIZ GENERAL CONSOLIDADA'!C102</f>
        <v>Sistema *</v>
      </c>
      <c r="F138" s="465">
        <f>+'MATRIZ GENERAL CONSOLIDADA'!L102</f>
        <v>1</v>
      </c>
      <c r="G138" s="763">
        <f>+'MATRIZ GENERAL CONSOLIDADA'!N102</f>
        <v>0.6</v>
      </c>
      <c r="H138" s="540">
        <f>+'Anexo 1 Matriz SINA Inf Gestión'!M102</f>
        <v>101592147</v>
      </c>
      <c r="I138" s="540">
        <f>+'Anexo 1 Matriz SINA Inf Gestión'!N102</f>
        <v>52509200</v>
      </c>
      <c r="J138" s="77">
        <f t="shared" ref="J138:J145" si="6">+H138-I138</f>
        <v>49082947</v>
      </c>
      <c r="K138" s="559"/>
      <c r="L138" s="559"/>
      <c r="M138" s="172">
        <v>70091</v>
      </c>
      <c r="N138" s="172"/>
      <c r="O138" s="173">
        <v>413662</v>
      </c>
      <c r="P138" s="165"/>
    </row>
    <row r="139" spans="1:16" s="1" customFormat="1" ht="38.25" customHeight="1">
      <c r="A139" s="834"/>
      <c r="B139" s="805"/>
      <c r="C139" s="563"/>
      <c r="D139" s="579" t="s">
        <v>450</v>
      </c>
      <c r="E139" s="474" t="str">
        <f>+'MATRIZ GENERAL CONSOLIDADA'!C103</f>
        <v>%</v>
      </c>
      <c r="F139" s="465">
        <f>+'MATRIZ GENERAL CONSOLIDADA'!L103</f>
        <v>50</v>
      </c>
      <c r="G139" s="763">
        <f>+'MATRIZ GENERAL CONSOLIDADA'!N103</f>
        <v>40</v>
      </c>
      <c r="H139" s="540">
        <f>+'Anexo 1 Matriz SINA Inf Gestión'!M103</f>
        <v>450930911</v>
      </c>
      <c r="I139" s="540">
        <f>+'Anexo 1 Matriz SINA Inf Gestión'!N103</f>
        <v>255345638</v>
      </c>
      <c r="J139" s="77">
        <f t="shared" si="6"/>
        <v>195585273</v>
      </c>
      <c r="K139" s="559"/>
      <c r="L139" s="559"/>
      <c r="M139" s="172"/>
      <c r="N139" s="172"/>
      <c r="O139" s="173"/>
      <c r="P139" s="165"/>
    </row>
    <row r="140" spans="1:16" s="1" customFormat="1" ht="40.5" customHeight="1">
      <c r="A140" s="834"/>
      <c r="B140" s="805"/>
      <c r="C140" s="563"/>
      <c r="D140" s="579" t="s">
        <v>451</v>
      </c>
      <c r="E140" s="474" t="str">
        <f>+'MATRIZ GENERAL CONSOLIDADA'!C104</f>
        <v>Programa*</v>
      </c>
      <c r="F140" s="465">
        <f>+'MATRIZ GENERAL CONSOLIDADA'!L104</f>
        <v>1</v>
      </c>
      <c r="G140" s="763">
        <f>+'MATRIZ GENERAL CONSOLIDADA'!N104</f>
        <v>0.7</v>
      </c>
      <c r="H140" s="540">
        <f>+'Anexo 1 Matriz SINA Inf Gestión'!M104</f>
        <v>30120000</v>
      </c>
      <c r="I140" s="540">
        <f>+'Anexo 1 Matriz SINA Inf Gestión'!N104</f>
        <v>10039996</v>
      </c>
      <c r="J140" s="77">
        <f t="shared" si="6"/>
        <v>20080004</v>
      </c>
      <c r="K140" s="559"/>
      <c r="L140" s="559"/>
      <c r="M140" s="172"/>
      <c r="N140" s="172"/>
      <c r="O140" s="173"/>
      <c r="P140" s="165"/>
    </row>
    <row r="141" spans="1:16" s="1" customFormat="1" ht="61.5" customHeight="1">
      <c r="A141" s="834"/>
      <c r="B141" s="805"/>
      <c r="C141" s="563"/>
      <c r="D141" s="579" t="s">
        <v>453</v>
      </c>
      <c r="E141" s="474" t="str">
        <f>+'MATRIZ GENERAL CONSOLIDADA'!C106</f>
        <v>Fase</v>
      </c>
      <c r="F141" s="465">
        <f>+'MATRIZ GENERAL CONSOLIDADA'!L106</f>
        <v>1</v>
      </c>
      <c r="G141" s="763">
        <f>+'MATRIZ GENERAL CONSOLIDADA'!N106</f>
        <v>0.5</v>
      </c>
      <c r="H141" s="540">
        <f>+'Anexo 1 Matriz SINA Inf Gestión'!M106</f>
        <v>1208007458</v>
      </c>
      <c r="I141" s="540">
        <f>+'Anexo 1 Matriz SINA Inf Gestión'!N106</f>
        <v>1061206092</v>
      </c>
      <c r="J141" s="77">
        <f t="shared" si="6"/>
        <v>146801366</v>
      </c>
      <c r="K141" s="559"/>
      <c r="L141" s="559"/>
      <c r="M141" s="172"/>
      <c r="N141" s="172"/>
      <c r="O141" s="173"/>
      <c r="P141" s="165"/>
    </row>
    <row r="142" spans="1:16" s="1" customFormat="1" ht="45" customHeight="1">
      <c r="A142" s="834"/>
      <c r="B142" s="805"/>
      <c r="C142" s="563"/>
      <c r="D142" s="579" t="s">
        <v>455</v>
      </c>
      <c r="E142" s="474" t="str">
        <f>+'MATRIZ GENERAL CONSOLIDADA'!C107</f>
        <v>Sede</v>
      </c>
      <c r="F142" s="465">
        <f>+'MATRIZ GENERAL CONSOLIDADA'!L107</f>
        <v>1</v>
      </c>
      <c r="G142" s="763">
        <f>+'MATRIZ GENERAL CONSOLIDADA'!N107</f>
        <v>0.5</v>
      </c>
      <c r="H142" s="540">
        <f>+'Anexo 1 Matriz SINA Inf Gestión'!M107</f>
        <v>340264030</v>
      </c>
      <c r="I142" s="540">
        <f>+'Anexo 1 Matriz SINA Inf Gestión'!N107</f>
        <v>4456023</v>
      </c>
      <c r="J142" s="77">
        <f t="shared" si="6"/>
        <v>335808007</v>
      </c>
      <c r="K142" s="559"/>
      <c r="L142" s="559"/>
      <c r="M142" s="172"/>
      <c r="N142" s="172"/>
      <c r="O142" s="173"/>
      <c r="P142" s="165"/>
    </row>
    <row r="143" spans="1:16" s="1" customFormat="1" ht="25.5" customHeight="1">
      <c r="A143" s="834"/>
      <c r="B143" s="805"/>
      <c r="C143" s="563"/>
      <c r="D143" s="579" t="s">
        <v>456</v>
      </c>
      <c r="E143" s="474" t="str">
        <f>+'MATRIZ GENERAL CONSOLIDADA'!C108</f>
        <v>Estrategia *</v>
      </c>
      <c r="F143" s="465">
        <f>+'MATRIZ GENERAL CONSOLIDADA'!L108</f>
        <v>1</v>
      </c>
      <c r="G143" s="763">
        <f>+'MATRIZ GENERAL CONSOLIDADA'!N108</f>
        <v>0</v>
      </c>
      <c r="H143" s="540">
        <f>+'Anexo 1 Matriz SINA Inf Gestión'!M108</f>
        <v>12963146</v>
      </c>
      <c r="I143" s="540">
        <f>+'Anexo 1 Matriz SINA Inf Gestión'!N108</f>
        <v>0</v>
      </c>
      <c r="J143" s="77">
        <f t="shared" si="6"/>
        <v>12963146</v>
      </c>
      <c r="K143" s="559"/>
      <c r="L143" s="559"/>
      <c r="M143" s="172"/>
      <c r="N143" s="172"/>
      <c r="O143" s="173"/>
      <c r="P143" s="165"/>
    </row>
    <row r="144" spans="1:16" s="1" customFormat="1" ht="29.25" customHeight="1">
      <c r="A144" s="834"/>
      <c r="B144" s="805"/>
      <c r="C144" s="563"/>
      <c r="D144" s="579" t="s">
        <v>457</v>
      </c>
      <c r="E144" s="474" t="str">
        <f>+'MATRIZ GENERAL CONSOLIDADA'!C109</f>
        <v>Municipio</v>
      </c>
      <c r="F144" s="465">
        <f>+'MATRIZ GENERAL CONSOLIDADA'!L109</f>
        <v>1</v>
      </c>
      <c r="G144" s="763">
        <f>+'MATRIZ GENERAL CONSOLIDADA'!N109</f>
        <v>0</v>
      </c>
      <c r="H144" s="540">
        <f>+'Anexo 1 Matriz SINA Inf Gestión'!M109</f>
        <v>50200000</v>
      </c>
      <c r="I144" s="540">
        <f>+'Anexo 1 Matriz SINA Inf Gestión'!N109</f>
        <v>0</v>
      </c>
      <c r="J144" s="77">
        <f t="shared" si="6"/>
        <v>50200000</v>
      </c>
      <c r="K144" s="559"/>
      <c r="L144" s="559"/>
      <c r="M144" s="172"/>
      <c r="N144" s="172"/>
      <c r="O144" s="173"/>
      <c r="P144" s="165"/>
    </row>
    <row r="145" spans="1:18" s="1" customFormat="1" ht="35.25" customHeight="1">
      <c r="A145" s="834"/>
      <c r="B145" s="805"/>
      <c r="C145" s="563"/>
      <c r="D145" s="575" t="s">
        <v>532</v>
      </c>
      <c r="E145" s="474" t="str">
        <f>+'MATRIZ GENERAL CONSOLIDADA'!C110</f>
        <v>Global</v>
      </c>
      <c r="F145" s="465">
        <f>+'MATRIZ GENERAL CONSOLIDADA'!L110</f>
        <v>0</v>
      </c>
      <c r="G145" s="763">
        <f>+'MATRIZ GENERAL CONSOLIDADA'!N110</f>
        <v>0</v>
      </c>
      <c r="H145" s="540">
        <f>+'Anexo 1 Matriz SINA Inf Gestión'!M110</f>
        <v>8323201</v>
      </c>
      <c r="I145" s="540">
        <f>+'Anexo 1 Matriz SINA Inf Gestión'!N110</f>
        <v>3288186</v>
      </c>
      <c r="J145" s="77">
        <f t="shared" si="6"/>
        <v>5035015</v>
      </c>
      <c r="K145" s="559"/>
      <c r="L145" s="559"/>
      <c r="M145" s="172"/>
      <c r="N145" s="172"/>
      <c r="O145" s="173"/>
      <c r="P145" s="165"/>
    </row>
    <row r="146" spans="1:18" s="1" customFormat="1" ht="15">
      <c r="A146" s="834"/>
      <c r="B146" s="805"/>
      <c r="C146" s="586"/>
      <c r="D146" s="800" t="s">
        <v>327</v>
      </c>
      <c r="E146" s="801"/>
      <c r="F146" s="801"/>
      <c r="G146" s="802"/>
      <c r="H146" s="573">
        <f>SUM(H138:H145)</f>
        <v>2202400893</v>
      </c>
      <c r="I146" s="540">
        <f>+'MATRIZ GENERAL CONSOLIDADA'!O111</f>
        <v>374102581</v>
      </c>
      <c r="J146" s="816">
        <f>+H146-I147</f>
        <v>815555758</v>
      </c>
      <c r="K146" s="603">
        <v>21</v>
      </c>
      <c r="L146" s="559"/>
      <c r="M146" s="172"/>
      <c r="N146" s="172"/>
      <c r="O146" s="173"/>
      <c r="P146" s="165"/>
    </row>
    <row r="147" spans="1:18" s="182" customFormat="1" ht="19.5" customHeight="1">
      <c r="A147" s="834"/>
      <c r="B147" s="805"/>
      <c r="C147" s="586"/>
      <c r="D147" s="800" t="s">
        <v>328</v>
      </c>
      <c r="E147" s="801"/>
      <c r="F147" s="801"/>
      <c r="G147" s="801"/>
      <c r="H147" s="802"/>
      <c r="I147" s="573">
        <f>SUM(I138:I145)</f>
        <v>1386845135</v>
      </c>
      <c r="J147" s="817"/>
      <c r="K147" s="174">
        <f>SUM(K21:K146)/7</f>
        <v>20.142857142857142</v>
      </c>
      <c r="L147" s="174"/>
      <c r="M147" s="175">
        <f>SUM(M138:M146)</f>
        <v>70091</v>
      </c>
      <c r="N147" s="175"/>
      <c r="O147" s="175">
        <f>SUM(O138:O146)</f>
        <v>413662</v>
      </c>
      <c r="P147" s="38"/>
    </row>
    <row r="148" spans="1:18" s="182" customFormat="1" ht="19.5" customHeight="1">
      <c r="A148" s="834"/>
      <c r="B148" s="806"/>
      <c r="C148" s="586"/>
      <c r="D148" s="800" t="s">
        <v>329</v>
      </c>
      <c r="E148" s="801"/>
      <c r="F148" s="801"/>
      <c r="G148" s="801"/>
      <c r="H148" s="802"/>
      <c r="I148" s="591">
        <f>+I147/H146</f>
        <v>0.62969695454078256</v>
      </c>
      <c r="J148" s="822"/>
      <c r="K148" s="174"/>
      <c r="L148" s="174"/>
      <c r="M148" s="175"/>
      <c r="N148" s="175"/>
      <c r="O148" s="175"/>
      <c r="P148" s="38"/>
    </row>
    <row r="149" spans="1:18" s="182" customFormat="1" ht="37.5" customHeight="1">
      <c r="A149" s="834"/>
      <c r="B149" s="803" t="s">
        <v>313</v>
      </c>
      <c r="C149" s="566"/>
      <c r="D149" s="566"/>
      <c r="E149" s="799" t="s">
        <v>96</v>
      </c>
      <c r="F149" s="799" t="s">
        <v>315</v>
      </c>
      <c r="G149" s="799"/>
      <c r="H149" s="797" t="s">
        <v>316</v>
      </c>
      <c r="I149" s="797"/>
      <c r="J149" s="798"/>
      <c r="K149" s="174"/>
      <c r="L149" s="174"/>
      <c r="M149" s="175"/>
      <c r="N149" s="175"/>
      <c r="O149" s="175"/>
      <c r="P149" s="38"/>
    </row>
    <row r="150" spans="1:18" s="182" customFormat="1" ht="46.9" customHeight="1">
      <c r="A150" s="834"/>
      <c r="B150" s="803"/>
      <c r="C150" s="566"/>
      <c r="D150" s="567" t="s">
        <v>314</v>
      </c>
      <c r="E150" s="799"/>
      <c r="F150" s="570" t="s">
        <v>317</v>
      </c>
      <c r="G150" s="570" t="s">
        <v>318</v>
      </c>
      <c r="H150" s="571" t="s">
        <v>319</v>
      </c>
      <c r="I150" s="568" t="s">
        <v>320</v>
      </c>
      <c r="J150" s="569" t="s">
        <v>321</v>
      </c>
      <c r="K150" s="174"/>
      <c r="L150" s="174"/>
      <c r="M150" s="175"/>
      <c r="N150" s="175"/>
      <c r="O150" s="175"/>
      <c r="P150" s="38"/>
    </row>
    <row r="151" spans="1:18" s="182" customFormat="1" ht="36.75" customHeight="1">
      <c r="A151" s="834"/>
      <c r="B151" s="804" t="s">
        <v>492</v>
      </c>
      <c r="C151" s="400"/>
      <c r="D151" s="534" t="s">
        <v>458</v>
      </c>
      <c r="E151" s="474" t="str">
        <f>+'MATRIZ GENERAL CONSOLIDADA'!C112</f>
        <v>%</v>
      </c>
      <c r="F151" s="465">
        <f>+'MATRIZ GENERAL CONSOLIDADA'!L112</f>
        <v>50</v>
      </c>
      <c r="G151" s="764">
        <f>+'MATRIZ GENERAL CONSOLIDADA'!N112</f>
        <v>35</v>
      </c>
      <c r="H151" s="576">
        <f>+'Anexo 1 Matriz SINA Inf Gestión'!M112</f>
        <v>0</v>
      </c>
      <c r="I151" s="576">
        <f>+'Anexo 1 Matriz SINA Inf Gestión'!N112</f>
        <v>0</v>
      </c>
      <c r="J151" s="77">
        <f t="shared" ref="J151:J156" si="7">+H151-I151</f>
        <v>0</v>
      </c>
      <c r="K151" s="174"/>
      <c r="L151" s="174"/>
      <c r="M151" s="175"/>
      <c r="N151" s="175"/>
      <c r="O151" s="175"/>
      <c r="P151" s="38"/>
    </row>
    <row r="152" spans="1:18" s="182" customFormat="1" ht="15">
      <c r="A152" s="834"/>
      <c r="B152" s="805"/>
      <c r="C152" s="604"/>
      <c r="D152" s="584" t="s">
        <v>459</v>
      </c>
      <c r="E152" s="474" t="str">
        <f>+'MATRIZ GENERAL CONSOLIDADA'!C113</f>
        <v>Política*</v>
      </c>
      <c r="F152" s="465">
        <f>+'MATRIZ GENERAL CONSOLIDADA'!L113</f>
        <v>1</v>
      </c>
      <c r="G152" s="764">
        <f>+'MATRIZ GENERAL CONSOLIDADA'!N113</f>
        <v>0.7</v>
      </c>
      <c r="H152" s="576">
        <f>+'Anexo 1 Matriz SINA Inf Gestión'!M113</f>
        <v>173492800</v>
      </c>
      <c r="I152" s="576">
        <f>+'Anexo 1 Matriz SINA Inf Gestión'!N113</f>
        <v>89556800</v>
      </c>
      <c r="J152" s="77">
        <f t="shared" si="7"/>
        <v>83936000</v>
      </c>
      <c r="K152" s="174"/>
      <c r="L152" s="174"/>
      <c r="M152" s="175"/>
      <c r="N152" s="175"/>
      <c r="O152" s="175"/>
      <c r="P152" s="38"/>
    </row>
    <row r="153" spans="1:18" s="182" customFormat="1" ht="15">
      <c r="A153" s="834"/>
      <c r="B153" s="805"/>
      <c r="C153" s="604"/>
      <c r="D153" s="531" t="s">
        <v>460</v>
      </c>
      <c r="E153" s="474" t="str">
        <f>+'MATRIZ GENERAL CONSOLIDADA'!C114</f>
        <v>Programa*</v>
      </c>
      <c r="F153" s="465">
        <f>+'MATRIZ GENERAL CONSOLIDADA'!L114</f>
        <v>1</v>
      </c>
      <c r="G153" s="764">
        <f>+'MATRIZ GENERAL CONSOLIDADA'!N114</f>
        <v>0.45</v>
      </c>
      <c r="H153" s="576">
        <f>+'Anexo 1 Matriz SINA Inf Gestión'!M114</f>
        <v>360000000</v>
      </c>
      <c r="I153" s="576">
        <f>+'Anexo 1 Matriz SINA Inf Gestión'!N114</f>
        <v>0</v>
      </c>
      <c r="J153" s="77">
        <f t="shared" si="7"/>
        <v>360000000</v>
      </c>
      <c r="K153" s="174"/>
      <c r="L153" s="174"/>
      <c r="M153" s="183"/>
      <c r="N153" s="175"/>
      <c r="O153" s="175"/>
      <c r="P153" s="38"/>
    </row>
    <row r="154" spans="1:18" s="182" customFormat="1" ht="28.5">
      <c r="A154" s="834"/>
      <c r="B154" s="805"/>
      <c r="C154" s="604"/>
      <c r="D154" s="531" t="s">
        <v>462</v>
      </c>
      <c r="E154" s="474" t="str">
        <f>+'MATRIZ GENERAL CONSOLIDADA'!C115</f>
        <v>Sendero</v>
      </c>
      <c r="F154" s="465">
        <f>+'MATRIZ GENERAL CONSOLIDADA'!L115</f>
        <v>1</v>
      </c>
      <c r="G154" s="764">
        <f>+'MATRIZ GENERAL CONSOLIDADA'!N115</f>
        <v>0.5</v>
      </c>
      <c r="H154" s="576">
        <f>+'Anexo 1 Matriz SINA Inf Gestión'!M115</f>
        <v>377109600</v>
      </c>
      <c r="I154" s="576">
        <f>+'Anexo 1 Matriz SINA Inf Gestión'!N115</f>
        <v>0</v>
      </c>
      <c r="J154" s="77">
        <f t="shared" si="7"/>
        <v>377109600</v>
      </c>
      <c r="K154" s="174"/>
      <c r="L154" s="174"/>
      <c r="M154" s="183"/>
      <c r="N154" s="175"/>
      <c r="O154" s="175"/>
      <c r="P154" s="38"/>
    </row>
    <row r="155" spans="1:18" s="182" customFormat="1" ht="43.5" thickBot="1">
      <c r="A155" s="834"/>
      <c r="B155" s="805"/>
      <c r="C155" s="604"/>
      <c r="D155" s="605" t="s">
        <v>463</v>
      </c>
      <c r="E155" s="474" t="str">
        <f>+'MATRIZ GENERAL CONSOLIDADA'!C116</f>
        <v>Estrategia *</v>
      </c>
      <c r="F155" s="465">
        <f>+'MATRIZ GENERAL CONSOLIDADA'!L116</f>
        <v>1</v>
      </c>
      <c r="G155" s="764">
        <f>+'MATRIZ GENERAL CONSOLIDADA'!N116</f>
        <v>0.7</v>
      </c>
      <c r="H155" s="576">
        <f>+'Anexo 1 Matriz SINA Inf Gestión'!M116</f>
        <v>472870000</v>
      </c>
      <c r="I155" s="576">
        <f>+'Anexo 1 Matriz SINA Inf Gestión'!N116</f>
        <v>271765213</v>
      </c>
      <c r="J155" s="77">
        <f t="shared" si="7"/>
        <v>201104787</v>
      </c>
      <c r="K155" s="174"/>
      <c r="L155" s="174"/>
      <c r="M155" s="183"/>
      <c r="N155" s="175"/>
      <c r="O155" s="175"/>
      <c r="P155" s="38"/>
    </row>
    <row r="156" spans="1:18" s="182" customFormat="1" ht="66" customHeight="1">
      <c r="A156" s="834"/>
      <c r="B156" s="805"/>
      <c r="C156" s="604"/>
      <c r="D156" s="575" t="s">
        <v>532</v>
      </c>
      <c r="E156" s="474" t="str">
        <f>+'MATRIZ GENERAL CONSOLIDADA'!C117</f>
        <v>Global</v>
      </c>
      <c r="F156" s="465">
        <f>+'MATRIZ GENERAL CONSOLIDADA'!L117</f>
        <v>0</v>
      </c>
      <c r="G156" s="764">
        <f>+'MATRIZ GENERAL CONSOLIDADA'!N117</f>
        <v>0</v>
      </c>
      <c r="H156" s="576">
        <f>+'Anexo 1 Matriz SINA Inf Gestión'!M117</f>
        <v>16527600</v>
      </c>
      <c r="I156" s="576">
        <f>+'Anexo 1 Matriz SINA Inf Gestión'!N117</f>
        <v>12780568</v>
      </c>
      <c r="J156" s="77">
        <f t="shared" si="7"/>
        <v>3747032</v>
      </c>
      <c r="K156" s="174"/>
      <c r="L156" s="174"/>
      <c r="M156" s="183"/>
      <c r="N156" s="175"/>
      <c r="O156" s="175"/>
      <c r="P156" s="38"/>
    </row>
    <row r="157" spans="1:18" s="182" customFormat="1" ht="15">
      <c r="A157" s="834"/>
      <c r="B157" s="805"/>
      <c r="C157" s="604"/>
      <c r="D157" s="800" t="s">
        <v>327</v>
      </c>
      <c r="E157" s="801"/>
      <c r="F157" s="801"/>
      <c r="G157" s="802"/>
      <c r="H157" s="573">
        <f>SUM(H151:H156)</f>
        <v>1400000000</v>
      </c>
      <c r="J157" s="816">
        <f>+H157-I158</f>
        <v>1025897419</v>
      </c>
      <c r="K157" s="184"/>
      <c r="L157" s="174"/>
      <c r="M157" s="174"/>
      <c r="N157" s="175"/>
      <c r="O157" s="175"/>
      <c r="P157" s="449"/>
    </row>
    <row r="158" spans="1:18" s="182" customFormat="1" ht="18" customHeight="1">
      <c r="A158" s="834"/>
      <c r="B158" s="805"/>
      <c r="C158" s="560"/>
      <c r="D158" s="800" t="s">
        <v>328</v>
      </c>
      <c r="E158" s="801"/>
      <c r="F158" s="801"/>
      <c r="G158" s="801"/>
      <c r="H158" s="802"/>
      <c r="I158" s="573">
        <f>SUM(I151:I156)</f>
        <v>374102581</v>
      </c>
      <c r="J158" s="817"/>
      <c r="K158" s="184"/>
      <c r="L158" s="174"/>
      <c r="M158" s="174"/>
      <c r="N158" s="175"/>
      <c r="O158" s="175"/>
      <c r="P158" s="449"/>
      <c r="R158" s="174"/>
    </row>
    <row r="159" spans="1:18" s="182" customFormat="1" ht="18" customHeight="1" thickBot="1">
      <c r="A159" s="856"/>
      <c r="B159" s="863"/>
      <c r="C159" s="604"/>
      <c r="D159" s="857" t="s">
        <v>329</v>
      </c>
      <c r="E159" s="858"/>
      <c r="F159" s="858"/>
      <c r="G159" s="858"/>
      <c r="H159" s="859"/>
      <c r="I159" s="539">
        <f>+I158/H157</f>
        <v>0.26721612928571431</v>
      </c>
      <c r="J159" s="818"/>
      <c r="K159" s="181"/>
      <c r="L159" s="174"/>
      <c r="M159" s="174"/>
      <c r="N159" s="175"/>
      <c r="O159" s="175"/>
      <c r="P159" s="175"/>
    </row>
    <row r="160" spans="1:18" ht="18" customHeight="1">
      <c r="A160" s="810" t="s">
        <v>547</v>
      </c>
      <c r="B160" s="811"/>
      <c r="C160" s="811"/>
      <c r="D160" s="811"/>
      <c r="E160" s="811"/>
      <c r="F160" s="811"/>
      <c r="G160" s="811"/>
      <c r="H160" s="812"/>
      <c r="I160" s="606">
        <f>+H20+H35+H42+H58+H71+H83+H92+H113+H124+H133+H146+H157+1</f>
        <v>28065904025.959999</v>
      </c>
      <c r="J160" s="794">
        <f>+I160-I161</f>
        <v>16867975853.959999</v>
      </c>
    </row>
    <row r="161" spans="1:10" ht="18" customHeight="1">
      <c r="A161" s="813" t="s">
        <v>548</v>
      </c>
      <c r="B161" s="814"/>
      <c r="C161" s="814"/>
      <c r="D161" s="814"/>
      <c r="E161" s="814"/>
      <c r="F161" s="814"/>
      <c r="G161" s="814"/>
      <c r="H161" s="815"/>
      <c r="I161" s="607">
        <f>+I21+I36+I43+I59+I72+I84+I93+I114+I125+I134+I147+I158</f>
        <v>11197928172</v>
      </c>
      <c r="J161" s="795"/>
    </row>
    <row r="162" spans="1:10" ht="18.75" customHeight="1" thickBot="1">
      <c r="A162" s="807" t="s">
        <v>549</v>
      </c>
      <c r="B162" s="808"/>
      <c r="C162" s="808"/>
      <c r="D162" s="808"/>
      <c r="E162" s="808"/>
      <c r="F162" s="808"/>
      <c r="G162" s="808"/>
      <c r="H162" s="809"/>
      <c r="I162" s="608">
        <f>+I161/I160</f>
        <v>0.39898690459577929</v>
      </c>
      <c r="J162" s="796"/>
    </row>
    <row r="163" spans="1:10">
      <c r="D163" s="546"/>
    </row>
    <row r="164" spans="1:10">
      <c r="D164" s="546"/>
    </row>
    <row r="165" spans="1:10" ht="15">
      <c r="D165" s="609"/>
    </row>
    <row r="166" spans="1:10">
      <c r="D166" s="546"/>
    </row>
    <row r="167" spans="1:10">
      <c r="D167" s="610"/>
    </row>
    <row r="168" spans="1:10">
      <c r="D168" s="610"/>
    </row>
  </sheetData>
  <mergeCells count="140">
    <mergeCell ref="A97:A115"/>
    <mergeCell ref="A138:A159"/>
    <mergeCell ref="D157:G157"/>
    <mergeCell ref="D158:H158"/>
    <mergeCell ref="D159:H159"/>
    <mergeCell ref="D115:H115"/>
    <mergeCell ref="D124:G124"/>
    <mergeCell ref="D125:H125"/>
    <mergeCell ref="B97:B115"/>
    <mergeCell ref="D146:G146"/>
    <mergeCell ref="A118:A135"/>
    <mergeCell ref="D133:G133"/>
    <mergeCell ref="D134:H134"/>
    <mergeCell ref="B151:B159"/>
    <mergeCell ref="E149:E150"/>
    <mergeCell ref="A136:A137"/>
    <mergeCell ref="B136:B137"/>
    <mergeCell ref="E136:E137"/>
    <mergeCell ref="F136:G136"/>
    <mergeCell ref="A116:A117"/>
    <mergeCell ref="D135:H135"/>
    <mergeCell ref="B138:B148"/>
    <mergeCell ref="D147:H147"/>
    <mergeCell ref="D23:D24"/>
    <mergeCell ref="E23:E24"/>
    <mergeCell ref="F23:G23"/>
    <mergeCell ref="D114:H114"/>
    <mergeCell ref="J113:J115"/>
    <mergeCell ref="D127:D128"/>
    <mergeCell ref="B118:B126"/>
    <mergeCell ref="J124:J126"/>
    <mergeCell ref="D113:G113"/>
    <mergeCell ref="B116:B117"/>
    <mergeCell ref="H116:J116"/>
    <mergeCell ref="D116:D117"/>
    <mergeCell ref="H23:J23"/>
    <mergeCell ref="B25:B37"/>
    <mergeCell ref="D35:G35"/>
    <mergeCell ref="J35:J37"/>
    <mergeCell ref="D36:H36"/>
    <mergeCell ref="D37:H37"/>
    <mergeCell ref="D126:H126"/>
    <mergeCell ref="E116:E117"/>
    <mergeCell ref="F116:G116"/>
    <mergeCell ref="A1:I3"/>
    <mergeCell ref="B4:J4"/>
    <mergeCell ref="A5:B5"/>
    <mergeCell ref="D5:E5"/>
    <mergeCell ref="H5:J5"/>
    <mergeCell ref="B6:J6"/>
    <mergeCell ref="E7:E8"/>
    <mergeCell ref="F7:G7"/>
    <mergeCell ref="H7:J7"/>
    <mergeCell ref="A7:A8"/>
    <mergeCell ref="B7:B8"/>
    <mergeCell ref="D20:G20"/>
    <mergeCell ref="J20:J22"/>
    <mergeCell ref="D21:H21"/>
    <mergeCell ref="D22:H22"/>
    <mergeCell ref="D7:D8"/>
    <mergeCell ref="A9:A44"/>
    <mergeCell ref="B9:B22"/>
    <mergeCell ref="A45:A46"/>
    <mergeCell ref="B45:B46"/>
    <mergeCell ref="D45:D46"/>
    <mergeCell ref="E45:E46"/>
    <mergeCell ref="F45:G45"/>
    <mergeCell ref="H45:J45"/>
    <mergeCell ref="B38:B39"/>
    <mergeCell ref="D38:D39"/>
    <mergeCell ref="E38:E39"/>
    <mergeCell ref="F38:G38"/>
    <mergeCell ref="H38:J38"/>
    <mergeCell ref="B40:B44"/>
    <mergeCell ref="D42:G42"/>
    <mergeCell ref="J42:J44"/>
    <mergeCell ref="D43:H43"/>
    <mergeCell ref="D44:H44"/>
    <mergeCell ref="B23:B24"/>
    <mergeCell ref="A74:A75"/>
    <mergeCell ref="B74:B75"/>
    <mergeCell ref="D74:D75"/>
    <mergeCell ref="E74:E75"/>
    <mergeCell ref="F74:G74"/>
    <mergeCell ref="H74:J74"/>
    <mergeCell ref="H61:J61"/>
    <mergeCell ref="B63:B73"/>
    <mergeCell ref="D71:G71"/>
    <mergeCell ref="J71:J73"/>
    <mergeCell ref="D72:H72"/>
    <mergeCell ref="D73:H73"/>
    <mergeCell ref="A47:A73"/>
    <mergeCell ref="B47:B60"/>
    <mergeCell ref="D58:G58"/>
    <mergeCell ref="J58:J60"/>
    <mergeCell ref="D59:H59"/>
    <mergeCell ref="D60:H60"/>
    <mergeCell ref="B61:B62"/>
    <mergeCell ref="D61:D62"/>
    <mergeCell ref="E61:E62"/>
    <mergeCell ref="F61:G61"/>
    <mergeCell ref="A95:A96"/>
    <mergeCell ref="B95:B96"/>
    <mergeCell ref="D95:D96"/>
    <mergeCell ref="E95:E96"/>
    <mergeCell ref="F95:G95"/>
    <mergeCell ref="H95:J95"/>
    <mergeCell ref="B88:B94"/>
    <mergeCell ref="D92:G92"/>
    <mergeCell ref="J92:J94"/>
    <mergeCell ref="D93:H93"/>
    <mergeCell ref="D94:H94"/>
    <mergeCell ref="A76:A94"/>
    <mergeCell ref="B76:B85"/>
    <mergeCell ref="D83:G83"/>
    <mergeCell ref="J83:J85"/>
    <mergeCell ref="D84:H84"/>
    <mergeCell ref="D85:H85"/>
    <mergeCell ref="B86:B87"/>
    <mergeCell ref="D86:D87"/>
    <mergeCell ref="E86:E87"/>
    <mergeCell ref="F86:G86"/>
    <mergeCell ref="H86:J86"/>
    <mergeCell ref="J160:J162"/>
    <mergeCell ref="H149:J149"/>
    <mergeCell ref="H127:J127"/>
    <mergeCell ref="H136:J136"/>
    <mergeCell ref="E127:E128"/>
    <mergeCell ref="F127:G127"/>
    <mergeCell ref="D148:H148"/>
    <mergeCell ref="B127:B128"/>
    <mergeCell ref="B149:B150"/>
    <mergeCell ref="F149:G149"/>
    <mergeCell ref="B129:B135"/>
    <mergeCell ref="A162:H162"/>
    <mergeCell ref="A160:H160"/>
    <mergeCell ref="A161:H161"/>
    <mergeCell ref="J157:J159"/>
    <mergeCell ref="J133:J135"/>
    <mergeCell ref="J146:J148"/>
  </mergeCells>
  <pageMargins left="0.19685039370078741" right="0.19685039370078741" top="0.23622047244094491" bottom="0.23622047244094491" header="0.31496062992125984" footer="0.31496062992125984"/>
  <pageSetup scale="55" fitToWidth="0" orientation="landscape" horizontalDpi="4294967295" verticalDpi="4294967295" r:id="rId1"/>
  <headerFooter alignWithMargins="0"/>
  <rowBreaks count="6" manualBreakCount="6">
    <brk id="22" max="16383" man="1"/>
    <brk id="44" max="16383" man="1"/>
    <brk id="73" max="16383" man="1"/>
    <brk id="94" max="16383" man="1"/>
    <brk id="115" max="16383" man="1"/>
    <brk id="13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F15" sqref="F14:F15"/>
    </sheetView>
  </sheetViews>
  <sheetFormatPr baseColWidth="10" defaultRowHeight="12.75"/>
  <cols>
    <col min="1" max="1" width="9.140625" style="667" customWidth="1"/>
    <col min="2" max="2" width="49" style="667" customWidth="1"/>
    <col min="3" max="4" width="20.5703125" style="667" customWidth="1"/>
    <col min="5" max="256" width="11.42578125" style="667"/>
    <col min="257" max="257" width="9.140625" style="667" customWidth="1"/>
    <col min="258" max="258" width="49" style="667" customWidth="1"/>
    <col min="259" max="260" width="20.5703125" style="667" customWidth="1"/>
    <col min="261" max="512" width="11.42578125" style="667"/>
    <col min="513" max="513" width="9.140625" style="667" customWidth="1"/>
    <col min="514" max="514" width="49" style="667" customWidth="1"/>
    <col min="515" max="516" width="20.5703125" style="667" customWidth="1"/>
    <col min="517" max="768" width="11.42578125" style="667"/>
    <col min="769" max="769" width="9.140625" style="667" customWidth="1"/>
    <col min="770" max="770" width="49" style="667" customWidth="1"/>
    <col min="771" max="772" width="20.5703125" style="667" customWidth="1"/>
    <col min="773" max="1024" width="11.42578125" style="667"/>
    <col min="1025" max="1025" width="9.140625" style="667" customWidth="1"/>
    <col min="1026" max="1026" width="49" style="667" customWidth="1"/>
    <col min="1027" max="1028" width="20.5703125" style="667" customWidth="1"/>
    <col min="1029" max="1280" width="11.42578125" style="667"/>
    <col min="1281" max="1281" width="9.140625" style="667" customWidth="1"/>
    <col min="1282" max="1282" width="49" style="667" customWidth="1"/>
    <col min="1283" max="1284" width="20.5703125" style="667" customWidth="1"/>
    <col min="1285" max="1536" width="11.42578125" style="667"/>
    <col min="1537" max="1537" width="9.140625" style="667" customWidth="1"/>
    <col min="1538" max="1538" width="49" style="667" customWidth="1"/>
    <col min="1539" max="1540" width="20.5703125" style="667" customWidth="1"/>
    <col min="1541" max="1792" width="11.42578125" style="667"/>
    <col min="1793" max="1793" width="9.140625" style="667" customWidth="1"/>
    <col min="1794" max="1794" width="49" style="667" customWidth="1"/>
    <col min="1795" max="1796" width="20.5703125" style="667" customWidth="1"/>
    <col min="1797" max="2048" width="11.42578125" style="667"/>
    <col min="2049" max="2049" width="9.140625" style="667" customWidth="1"/>
    <col min="2050" max="2050" width="49" style="667" customWidth="1"/>
    <col min="2051" max="2052" width="20.5703125" style="667" customWidth="1"/>
    <col min="2053" max="2304" width="11.42578125" style="667"/>
    <col min="2305" max="2305" width="9.140625" style="667" customWidth="1"/>
    <col min="2306" max="2306" width="49" style="667" customWidth="1"/>
    <col min="2307" max="2308" width="20.5703125" style="667" customWidth="1"/>
    <col min="2309" max="2560" width="11.42578125" style="667"/>
    <col min="2561" max="2561" width="9.140625" style="667" customWidth="1"/>
    <col min="2562" max="2562" width="49" style="667" customWidth="1"/>
    <col min="2563" max="2564" width="20.5703125" style="667" customWidth="1"/>
    <col min="2565" max="2816" width="11.42578125" style="667"/>
    <col min="2817" max="2817" width="9.140625" style="667" customWidth="1"/>
    <col min="2818" max="2818" width="49" style="667" customWidth="1"/>
    <col min="2819" max="2820" width="20.5703125" style="667" customWidth="1"/>
    <col min="2821" max="3072" width="11.42578125" style="667"/>
    <col min="3073" max="3073" width="9.140625" style="667" customWidth="1"/>
    <col min="3074" max="3074" width="49" style="667" customWidth="1"/>
    <col min="3075" max="3076" width="20.5703125" style="667" customWidth="1"/>
    <col min="3077" max="3328" width="11.42578125" style="667"/>
    <col min="3329" max="3329" width="9.140625" style="667" customWidth="1"/>
    <col min="3330" max="3330" width="49" style="667" customWidth="1"/>
    <col min="3331" max="3332" width="20.5703125" style="667" customWidth="1"/>
    <col min="3333" max="3584" width="11.42578125" style="667"/>
    <col min="3585" max="3585" width="9.140625" style="667" customWidth="1"/>
    <col min="3586" max="3586" width="49" style="667" customWidth="1"/>
    <col min="3587" max="3588" width="20.5703125" style="667" customWidth="1"/>
    <col min="3589" max="3840" width="11.42578125" style="667"/>
    <col min="3841" max="3841" width="9.140625" style="667" customWidth="1"/>
    <col min="3842" max="3842" width="49" style="667" customWidth="1"/>
    <col min="3843" max="3844" width="20.5703125" style="667" customWidth="1"/>
    <col min="3845" max="4096" width="11.42578125" style="667"/>
    <col min="4097" max="4097" width="9.140625" style="667" customWidth="1"/>
    <col min="4098" max="4098" width="49" style="667" customWidth="1"/>
    <col min="4099" max="4100" width="20.5703125" style="667" customWidth="1"/>
    <col min="4101" max="4352" width="11.42578125" style="667"/>
    <col min="4353" max="4353" width="9.140625" style="667" customWidth="1"/>
    <col min="4354" max="4354" width="49" style="667" customWidth="1"/>
    <col min="4355" max="4356" width="20.5703125" style="667" customWidth="1"/>
    <col min="4357" max="4608" width="11.42578125" style="667"/>
    <col min="4609" max="4609" width="9.140625" style="667" customWidth="1"/>
    <col min="4610" max="4610" width="49" style="667" customWidth="1"/>
    <col min="4611" max="4612" width="20.5703125" style="667" customWidth="1"/>
    <col min="4613" max="4864" width="11.42578125" style="667"/>
    <col min="4865" max="4865" width="9.140625" style="667" customWidth="1"/>
    <col min="4866" max="4866" width="49" style="667" customWidth="1"/>
    <col min="4867" max="4868" width="20.5703125" style="667" customWidth="1"/>
    <col min="4869" max="5120" width="11.42578125" style="667"/>
    <col min="5121" max="5121" width="9.140625" style="667" customWidth="1"/>
    <col min="5122" max="5122" width="49" style="667" customWidth="1"/>
    <col min="5123" max="5124" width="20.5703125" style="667" customWidth="1"/>
    <col min="5125" max="5376" width="11.42578125" style="667"/>
    <col min="5377" max="5377" width="9.140625" style="667" customWidth="1"/>
    <col min="5378" max="5378" width="49" style="667" customWidth="1"/>
    <col min="5379" max="5380" width="20.5703125" style="667" customWidth="1"/>
    <col min="5381" max="5632" width="11.42578125" style="667"/>
    <col min="5633" max="5633" width="9.140625" style="667" customWidth="1"/>
    <col min="5634" max="5634" width="49" style="667" customWidth="1"/>
    <col min="5635" max="5636" width="20.5703125" style="667" customWidth="1"/>
    <col min="5637" max="5888" width="11.42578125" style="667"/>
    <col min="5889" max="5889" width="9.140625" style="667" customWidth="1"/>
    <col min="5890" max="5890" width="49" style="667" customWidth="1"/>
    <col min="5891" max="5892" width="20.5703125" style="667" customWidth="1"/>
    <col min="5893" max="6144" width="11.42578125" style="667"/>
    <col min="6145" max="6145" width="9.140625" style="667" customWidth="1"/>
    <col min="6146" max="6146" width="49" style="667" customWidth="1"/>
    <col min="6147" max="6148" width="20.5703125" style="667" customWidth="1"/>
    <col min="6149" max="6400" width="11.42578125" style="667"/>
    <col min="6401" max="6401" width="9.140625" style="667" customWidth="1"/>
    <col min="6402" max="6402" width="49" style="667" customWidth="1"/>
    <col min="6403" max="6404" width="20.5703125" style="667" customWidth="1"/>
    <col min="6405" max="6656" width="11.42578125" style="667"/>
    <col min="6657" max="6657" width="9.140625" style="667" customWidth="1"/>
    <col min="6658" max="6658" width="49" style="667" customWidth="1"/>
    <col min="6659" max="6660" width="20.5703125" style="667" customWidth="1"/>
    <col min="6661" max="6912" width="11.42578125" style="667"/>
    <col min="6913" max="6913" width="9.140625" style="667" customWidth="1"/>
    <col min="6914" max="6914" width="49" style="667" customWidth="1"/>
    <col min="6915" max="6916" width="20.5703125" style="667" customWidth="1"/>
    <col min="6917" max="7168" width="11.42578125" style="667"/>
    <col min="7169" max="7169" width="9.140625" style="667" customWidth="1"/>
    <col min="7170" max="7170" width="49" style="667" customWidth="1"/>
    <col min="7171" max="7172" width="20.5703125" style="667" customWidth="1"/>
    <col min="7173" max="7424" width="11.42578125" style="667"/>
    <col min="7425" max="7425" width="9.140625" style="667" customWidth="1"/>
    <col min="7426" max="7426" width="49" style="667" customWidth="1"/>
    <col min="7427" max="7428" width="20.5703125" style="667" customWidth="1"/>
    <col min="7429" max="7680" width="11.42578125" style="667"/>
    <col min="7681" max="7681" width="9.140625" style="667" customWidth="1"/>
    <col min="7682" max="7682" width="49" style="667" customWidth="1"/>
    <col min="7683" max="7684" width="20.5703125" style="667" customWidth="1"/>
    <col min="7685" max="7936" width="11.42578125" style="667"/>
    <col min="7937" max="7937" width="9.140625" style="667" customWidth="1"/>
    <col min="7938" max="7938" width="49" style="667" customWidth="1"/>
    <col min="7939" max="7940" width="20.5703125" style="667" customWidth="1"/>
    <col min="7941" max="8192" width="11.42578125" style="667"/>
    <col min="8193" max="8193" width="9.140625" style="667" customWidth="1"/>
    <col min="8194" max="8194" width="49" style="667" customWidth="1"/>
    <col min="8195" max="8196" width="20.5703125" style="667" customWidth="1"/>
    <col min="8197" max="8448" width="11.42578125" style="667"/>
    <col min="8449" max="8449" width="9.140625" style="667" customWidth="1"/>
    <col min="8450" max="8450" width="49" style="667" customWidth="1"/>
    <col min="8451" max="8452" width="20.5703125" style="667" customWidth="1"/>
    <col min="8453" max="8704" width="11.42578125" style="667"/>
    <col min="8705" max="8705" width="9.140625" style="667" customWidth="1"/>
    <col min="8706" max="8706" width="49" style="667" customWidth="1"/>
    <col min="8707" max="8708" width="20.5703125" style="667" customWidth="1"/>
    <col min="8709" max="8960" width="11.42578125" style="667"/>
    <col min="8961" max="8961" width="9.140625" style="667" customWidth="1"/>
    <col min="8962" max="8962" width="49" style="667" customWidth="1"/>
    <col min="8963" max="8964" width="20.5703125" style="667" customWidth="1"/>
    <col min="8965" max="9216" width="11.42578125" style="667"/>
    <col min="9217" max="9217" width="9.140625" style="667" customWidth="1"/>
    <col min="9218" max="9218" width="49" style="667" customWidth="1"/>
    <col min="9219" max="9220" width="20.5703125" style="667" customWidth="1"/>
    <col min="9221" max="9472" width="11.42578125" style="667"/>
    <col min="9473" max="9473" width="9.140625" style="667" customWidth="1"/>
    <col min="9474" max="9474" width="49" style="667" customWidth="1"/>
    <col min="9475" max="9476" width="20.5703125" style="667" customWidth="1"/>
    <col min="9477" max="9728" width="11.42578125" style="667"/>
    <col min="9729" max="9729" width="9.140625" style="667" customWidth="1"/>
    <col min="9730" max="9730" width="49" style="667" customWidth="1"/>
    <col min="9731" max="9732" width="20.5703125" style="667" customWidth="1"/>
    <col min="9733" max="9984" width="11.42578125" style="667"/>
    <col min="9985" max="9985" width="9.140625" style="667" customWidth="1"/>
    <col min="9986" max="9986" width="49" style="667" customWidth="1"/>
    <col min="9987" max="9988" width="20.5703125" style="667" customWidth="1"/>
    <col min="9989" max="10240" width="11.42578125" style="667"/>
    <col min="10241" max="10241" width="9.140625" style="667" customWidth="1"/>
    <col min="10242" max="10242" width="49" style="667" customWidth="1"/>
    <col min="10243" max="10244" width="20.5703125" style="667" customWidth="1"/>
    <col min="10245" max="10496" width="11.42578125" style="667"/>
    <col min="10497" max="10497" width="9.140625" style="667" customWidth="1"/>
    <col min="10498" max="10498" width="49" style="667" customWidth="1"/>
    <col min="10499" max="10500" width="20.5703125" style="667" customWidth="1"/>
    <col min="10501" max="10752" width="11.42578125" style="667"/>
    <col min="10753" max="10753" width="9.140625" style="667" customWidth="1"/>
    <col min="10754" max="10754" width="49" style="667" customWidth="1"/>
    <col min="10755" max="10756" width="20.5703125" style="667" customWidth="1"/>
    <col min="10757" max="11008" width="11.42578125" style="667"/>
    <col min="11009" max="11009" width="9.140625" style="667" customWidth="1"/>
    <col min="11010" max="11010" width="49" style="667" customWidth="1"/>
    <col min="11011" max="11012" width="20.5703125" style="667" customWidth="1"/>
    <col min="11013" max="11264" width="11.42578125" style="667"/>
    <col min="11265" max="11265" width="9.140625" style="667" customWidth="1"/>
    <col min="11266" max="11266" width="49" style="667" customWidth="1"/>
    <col min="11267" max="11268" width="20.5703125" style="667" customWidth="1"/>
    <col min="11269" max="11520" width="11.42578125" style="667"/>
    <col min="11521" max="11521" width="9.140625" style="667" customWidth="1"/>
    <col min="11522" max="11522" width="49" style="667" customWidth="1"/>
    <col min="11523" max="11524" width="20.5703125" style="667" customWidth="1"/>
    <col min="11525" max="11776" width="11.42578125" style="667"/>
    <col min="11777" max="11777" width="9.140625" style="667" customWidth="1"/>
    <col min="11778" max="11778" width="49" style="667" customWidth="1"/>
    <col min="11779" max="11780" width="20.5703125" style="667" customWidth="1"/>
    <col min="11781" max="12032" width="11.42578125" style="667"/>
    <col min="12033" max="12033" width="9.140625" style="667" customWidth="1"/>
    <col min="12034" max="12034" width="49" style="667" customWidth="1"/>
    <col min="12035" max="12036" width="20.5703125" style="667" customWidth="1"/>
    <col min="12037" max="12288" width="11.42578125" style="667"/>
    <col min="12289" max="12289" width="9.140625" style="667" customWidth="1"/>
    <col min="12290" max="12290" width="49" style="667" customWidth="1"/>
    <col min="12291" max="12292" width="20.5703125" style="667" customWidth="1"/>
    <col min="12293" max="12544" width="11.42578125" style="667"/>
    <col min="12545" max="12545" width="9.140625" style="667" customWidth="1"/>
    <col min="12546" max="12546" width="49" style="667" customWidth="1"/>
    <col min="12547" max="12548" width="20.5703125" style="667" customWidth="1"/>
    <col min="12549" max="12800" width="11.42578125" style="667"/>
    <col min="12801" max="12801" width="9.140625" style="667" customWidth="1"/>
    <col min="12802" max="12802" width="49" style="667" customWidth="1"/>
    <col min="12803" max="12804" width="20.5703125" style="667" customWidth="1"/>
    <col min="12805" max="13056" width="11.42578125" style="667"/>
    <col min="13057" max="13057" width="9.140625" style="667" customWidth="1"/>
    <col min="13058" max="13058" width="49" style="667" customWidth="1"/>
    <col min="13059" max="13060" width="20.5703125" style="667" customWidth="1"/>
    <col min="13061" max="13312" width="11.42578125" style="667"/>
    <col min="13313" max="13313" width="9.140625" style="667" customWidth="1"/>
    <col min="13314" max="13314" width="49" style="667" customWidth="1"/>
    <col min="13315" max="13316" width="20.5703125" style="667" customWidth="1"/>
    <col min="13317" max="13568" width="11.42578125" style="667"/>
    <col min="13569" max="13569" width="9.140625" style="667" customWidth="1"/>
    <col min="13570" max="13570" width="49" style="667" customWidth="1"/>
    <col min="13571" max="13572" width="20.5703125" style="667" customWidth="1"/>
    <col min="13573" max="13824" width="11.42578125" style="667"/>
    <col min="13825" max="13825" width="9.140625" style="667" customWidth="1"/>
    <col min="13826" max="13826" width="49" style="667" customWidth="1"/>
    <col min="13827" max="13828" width="20.5703125" style="667" customWidth="1"/>
    <col min="13829" max="14080" width="11.42578125" style="667"/>
    <col min="14081" max="14081" width="9.140625" style="667" customWidth="1"/>
    <col min="14082" max="14082" width="49" style="667" customWidth="1"/>
    <col min="14083" max="14084" width="20.5703125" style="667" customWidth="1"/>
    <col min="14085" max="14336" width="11.42578125" style="667"/>
    <col min="14337" max="14337" width="9.140625" style="667" customWidth="1"/>
    <col min="14338" max="14338" width="49" style="667" customWidth="1"/>
    <col min="14339" max="14340" width="20.5703125" style="667" customWidth="1"/>
    <col min="14341" max="14592" width="11.42578125" style="667"/>
    <col min="14593" max="14593" width="9.140625" style="667" customWidth="1"/>
    <col min="14594" max="14594" width="49" style="667" customWidth="1"/>
    <col min="14595" max="14596" width="20.5703125" style="667" customWidth="1"/>
    <col min="14597" max="14848" width="11.42578125" style="667"/>
    <col min="14849" max="14849" width="9.140625" style="667" customWidth="1"/>
    <col min="14850" max="14850" width="49" style="667" customWidth="1"/>
    <col min="14851" max="14852" width="20.5703125" style="667" customWidth="1"/>
    <col min="14853" max="15104" width="11.42578125" style="667"/>
    <col min="15105" max="15105" width="9.140625" style="667" customWidth="1"/>
    <col min="15106" max="15106" width="49" style="667" customWidth="1"/>
    <col min="15107" max="15108" width="20.5703125" style="667" customWidth="1"/>
    <col min="15109" max="15360" width="11.42578125" style="667"/>
    <col min="15361" max="15361" width="9.140625" style="667" customWidth="1"/>
    <col min="15362" max="15362" width="49" style="667" customWidth="1"/>
    <col min="15363" max="15364" width="20.5703125" style="667" customWidth="1"/>
    <col min="15365" max="15616" width="11.42578125" style="667"/>
    <col min="15617" max="15617" width="9.140625" style="667" customWidth="1"/>
    <col min="15618" max="15618" width="49" style="667" customWidth="1"/>
    <col min="15619" max="15620" width="20.5703125" style="667" customWidth="1"/>
    <col min="15621" max="15872" width="11.42578125" style="667"/>
    <col min="15873" max="15873" width="9.140625" style="667" customWidth="1"/>
    <col min="15874" max="15874" width="49" style="667" customWidth="1"/>
    <col min="15875" max="15876" width="20.5703125" style="667" customWidth="1"/>
    <col min="15877" max="16128" width="11.42578125" style="667"/>
    <col min="16129" max="16129" width="9.140625" style="667" customWidth="1"/>
    <col min="16130" max="16130" width="49" style="667" customWidth="1"/>
    <col min="16131" max="16132" width="20.5703125" style="667" customWidth="1"/>
    <col min="16133" max="16384" width="11.42578125" style="667"/>
  </cols>
  <sheetData>
    <row r="1" spans="1:7" ht="130.5" customHeight="1">
      <c r="A1" s="666"/>
      <c r="B1" s="666"/>
      <c r="C1" s="666"/>
      <c r="D1" s="666"/>
    </row>
    <row r="2" spans="1:7" s="669" customFormat="1">
      <c r="A2" s="866" t="s">
        <v>554</v>
      </c>
      <c r="B2" s="866"/>
      <c r="C2" s="866"/>
      <c r="D2" s="866"/>
      <c r="E2" s="668"/>
      <c r="F2" s="668"/>
      <c r="G2" s="668"/>
    </row>
    <row r="3" spans="1:7" s="669" customFormat="1">
      <c r="A3" s="866">
        <f>'[3]Datos Generales'!C5</f>
        <v>0</v>
      </c>
      <c r="B3" s="866"/>
      <c r="C3" s="866"/>
      <c r="D3" s="866"/>
      <c r="E3" s="668"/>
      <c r="F3" s="668"/>
      <c r="G3" s="668"/>
    </row>
    <row r="4" spans="1:7" s="669" customFormat="1" ht="15.75" customHeight="1" thickBot="1">
      <c r="A4" s="867" t="s">
        <v>582</v>
      </c>
      <c r="B4" s="867"/>
      <c r="C4" s="670">
        <f>'[3]Datos Generales'!C6</f>
        <v>0</v>
      </c>
      <c r="D4" s="670"/>
      <c r="E4" s="671"/>
      <c r="F4" s="671"/>
      <c r="G4" s="671"/>
    </row>
    <row r="5" spans="1:7" s="674" customFormat="1" ht="21" customHeight="1">
      <c r="A5" s="672"/>
      <c r="B5" s="673" t="s">
        <v>203</v>
      </c>
      <c r="C5" s="673" t="s">
        <v>204</v>
      </c>
      <c r="D5" s="673" t="s">
        <v>205</v>
      </c>
    </row>
    <row r="6" spans="1:7" s="669" customFormat="1">
      <c r="A6" s="675">
        <v>3000</v>
      </c>
      <c r="B6" s="676" t="s">
        <v>206</v>
      </c>
      <c r="C6" s="677">
        <f>SUM(C7+C33)</f>
        <v>31320918610</v>
      </c>
      <c r="D6" s="677">
        <f>SUM(D7+D33)</f>
        <v>21371480198</v>
      </c>
    </row>
    <row r="7" spans="1:7" s="669" customFormat="1">
      <c r="A7" s="678">
        <v>3100</v>
      </c>
      <c r="B7" s="679" t="s">
        <v>207</v>
      </c>
      <c r="C7" s="680">
        <f>SUM(C8+C12)</f>
        <v>19011592341</v>
      </c>
      <c r="D7" s="680">
        <f>SUM(D8+D12)</f>
        <v>9374192010</v>
      </c>
    </row>
    <row r="8" spans="1:7" s="669" customFormat="1">
      <c r="A8" s="681">
        <v>3110</v>
      </c>
      <c r="B8" s="682" t="s">
        <v>208</v>
      </c>
      <c r="C8" s="683">
        <f>SUM(C9:C11)</f>
        <v>8557612194</v>
      </c>
      <c r="D8" s="683">
        <f>SUM(D9:D11)</f>
        <v>5911104592</v>
      </c>
    </row>
    <row r="9" spans="1:7" s="687" customFormat="1" ht="11.25">
      <c r="A9" s="684"/>
      <c r="B9" s="685" t="s">
        <v>209</v>
      </c>
      <c r="C9" s="686"/>
      <c r="D9" s="686"/>
    </row>
    <row r="10" spans="1:7" s="687" customFormat="1" ht="11.25">
      <c r="A10" s="684"/>
      <c r="B10" s="685" t="s">
        <v>210</v>
      </c>
      <c r="C10" s="686">
        <v>8557612194</v>
      </c>
      <c r="D10" s="686">
        <v>5911104592</v>
      </c>
    </row>
    <row r="11" spans="1:7" s="687" customFormat="1" ht="11.25">
      <c r="A11" s="684"/>
      <c r="B11" s="685" t="s">
        <v>211</v>
      </c>
      <c r="C11" s="686"/>
      <c r="D11" s="686"/>
    </row>
    <row r="12" spans="1:7" s="669" customFormat="1">
      <c r="A12" s="681">
        <v>3120</v>
      </c>
      <c r="B12" s="682" t="s">
        <v>212</v>
      </c>
      <c r="C12" s="683">
        <f>SUM(C13+C17+C18+C19+C20+C25)</f>
        <v>10453980147</v>
      </c>
      <c r="D12" s="683">
        <f>SUM(D13+D17+D18+D19+D20+D25)</f>
        <v>3463087418</v>
      </c>
    </row>
    <row r="13" spans="1:7" s="690" customFormat="1" ht="12">
      <c r="A13" s="684">
        <v>3121</v>
      </c>
      <c r="B13" s="688" t="s">
        <v>213</v>
      </c>
      <c r="C13" s="689">
        <f>SUM(C14:C16)</f>
        <v>849924856</v>
      </c>
      <c r="D13" s="689">
        <f>SUM(D14:D16)</f>
        <v>444319594</v>
      </c>
    </row>
    <row r="14" spans="1:7" s="687" customFormat="1" ht="11.25">
      <c r="A14" s="684"/>
      <c r="B14" s="685" t="s">
        <v>213</v>
      </c>
      <c r="C14" s="686">
        <v>0</v>
      </c>
      <c r="D14" s="686">
        <v>0</v>
      </c>
    </row>
    <row r="15" spans="1:7" s="687" customFormat="1" ht="11.25">
      <c r="A15" s="684"/>
      <c r="B15" s="685" t="s">
        <v>214</v>
      </c>
      <c r="C15" s="686">
        <v>849924856</v>
      </c>
      <c r="D15" s="686">
        <v>444319594</v>
      </c>
    </row>
    <row r="16" spans="1:7" s="687" customFormat="1" ht="11.25">
      <c r="A16" s="684"/>
      <c r="B16" s="685" t="s">
        <v>215</v>
      </c>
      <c r="C16" s="686">
        <v>0</v>
      </c>
      <c r="D16" s="686">
        <v>0</v>
      </c>
    </row>
    <row r="17" spans="1:4" s="690" customFormat="1" ht="12">
      <c r="A17" s="684">
        <v>3123</v>
      </c>
      <c r="B17" s="688" t="s">
        <v>216</v>
      </c>
      <c r="C17" s="689">
        <v>0</v>
      </c>
      <c r="D17" s="689">
        <v>0</v>
      </c>
    </row>
    <row r="18" spans="1:4" s="690" customFormat="1" ht="12">
      <c r="A18" s="684">
        <v>3124</v>
      </c>
      <c r="B18" s="688" t="s">
        <v>217</v>
      </c>
      <c r="C18" s="689">
        <v>0</v>
      </c>
      <c r="D18" s="689">
        <v>0</v>
      </c>
    </row>
    <row r="19" spans="1:4" s="690" customFormat="1" ht="12">
      <c r="A19" s="684">
        <v>3125</v>
      </c>
      <c r="B19" s="688" t="s">
        <v>218</v>
      </c>
      <c r="C19" s="689">
        <v>0</v>
      </c>
      <c r="D19" s="689">
        <v>0</v>
      </c>
    </row>
    <row r="20" spans="1:4" s="690" customFormat="1" ht="12">
      <c r="A20" s="684">
        <v>3126</v>
      </c>
      <c r="B20" s="688" t="s">
        <v>219</v>
      </c>
      <c r="C20" s="689">
        <f>SUM(C21:C24)</f>
        <v>6468644284</v>
      </c>
      <c r="D20" s="689">
        <f>SUM(D21:D24)</f>
        <v>2224107782</v>
      </c>
    </row>
    <row r="21" spans="1:4" s="687" customFormat="1" ht="11.25">
      <c r="A21" s="684"/>
      <c r="B21" s="685" t="s">
        <v>220</v>
      </c>
      <c r="C21" s="686">
        <v>6468644284</v>
      </c>
      <c r="D21" s="686">
        <v>2218813696</v>
      </c>
    </row>
    <row r="22" spans="1:4" s="687" customFormat="1" ht="11.25">
      <c r="A22" s="684"/>
      <c r="B22" s="685" t="s">
        <v>221</v>
      </c>
      <c r="C22" s="686"/>
      <c r="D22" s="686"/>
    </row>
    <row r="23" spans="1:4" s="687" customFormat="1" ht="11.25">
      <c r="A23" s="684"/>
      <c r="B23" s="685" t="s">
        <v>222</v>
      </c>
      <c r="C23" s="686">
        <v>0</v>
      </c>
      <c r="D23" s="686">
        <v>0</v>
      </c>
    </row>
    <row r="24" spans="1:4" s="687" customFormat="1" ht="11.25">
      <c r="A24" s="684"/>
      <c r="B24" s="685" t="s">
        <v>223</v>
      </c>
      <c r="C24" s="686">
        <v>0</v>
      </c>
      <c r="D24" s="686">
        <v>5294086</v>
      </c>
    </row>
    <row r="25" spans="1:4" s="690" customFormat="1" ht="12">
      <c r="A25" s="684">
        <v>3128</v>
      </c>
      <c r="B25" s="688" t="s">
        <v>224</v>
      </c>
      <c r="C25" s="689">
        <f>SUM(C26:C32)</f>
        <v>3135411007</v>
      </c>
      <c r="D25" s="689">
        <f>SUM(D26:D32)</f>
        <v>794660042</v>
      </c>
    </row>
    <row r="26" spans="1:4" s="687" customFormat="1" ht="11.25">
      <c r="A26" s="684"/>
      <c r="B26" s="685" t="s">
        <v>225</v>
      </c>
      <c r="C26" s="686">
        <v>989495721</v>
      </c>
      <c r="D26" s="686">
        <v>324148254</v>
      </c>
    </row>
    <row r="27" spans="1:4" s="687" customFormat="1" ht="11.25">
      <c r="A27" s="684"/>
      <c r="B27" s="685" t="s">
        <v>226</v>
      </c>
      <c r="C27" s="686"/>
      <c r="D27" s="686"/>
    </row>
    <row r="28" spans="1:4" s="687" customFormat="1" ht="11.25">
      <c r="A28" s="684"/>
      <c r="B28" s="685" t="s">
        <v>227</v>
      </c>
      <c r="C28" s="686">
        <v>1237800348</v>
      </c>
      <c r="D28" s="686">
        <v>222017472</v>
      </c>
    </row>
    <row r="29" spans="1:4" s="687" customFormat="1" ht="11.25">
      <c r="A29" s="684"/>
      <c r="B29" s="685" t="s">
        <v>228</v>
      </c>
      <c r="C29" s="686">
        <v>507495478</v>
      </c>
      <c r="D29" s="686">
        <v>102754447</v>
      </c>
    </row>
    <row r="30" spans="1:4" s="687" customFormat="1" ht="11.25">
      <c r="A30" s="684"/>
      <c r="B30" s="685" t="s">
        <v>229</v>
      </c>
      <c r="C30" s="686"/>
      <c r="D30" s="686"/>
    </row>
    <row r="31" spans="1:4" s="687" customFormat="1" ht="11.25">
      <c r="A31" s="684"/>
      <c r="B31" s="685" t="s">
        <v>230</v>
      </c>
      <c r="C31" s="686">
        <v>338558803</v>
      </c>
      <c r="D31" s="686">
        <v>111082540</v>
      </c>
    </row>
    <row r="32" spans="1:4" s="687" customFormat="1" ht="11.25">
      <c r="A32" s="684"/>
      <c r="B32" s="685" t="s">
        <v>224</v>
      </c>
      <c r="C32" s="686">
        <v>62060657</v>
      </c>
      <c r="D32" s="686">
        <v>34657329</v>
      </c>
    </row>
    <row r="33" spans="1:4" s="669" customFormat="1">
      <c r="A33" s="678">
        <v>3200</v>
      </c>
      <c r="B33" s="679" t="s">
        <v>231</v>
      </c>
      <c r="C33" s="680">
        <f>SUM(C34+C37+C40+C41+C47+C48)</f>
        <v>12309326269</v>
      </c>
      <c r="D33" s="680">
        <f>SUM(D34+D37+D40+D41+D47+D48)</f>
        <v>11997288188</v>
      </c>
    </row>
    <row r="34" spans="1:4" s="690" customFormat="1" ht="12">
      <c r="A34" s="684">
        <v>3210</v>
      </c>
      <c r="B34" s="691" t="s">
        <v>232</v>
      </c>
      <c r="C34" s="692">
        <v>0</v>
      </c>
      <c r="D34" s="692">
        <v>0</v>
      </c>
    </row>
    <row r="35" spans="1:4" s="687" customFormat="1" ht="11.25">
      <c r="A35" s="693">
        <v>3211</v>
      </c>
      <c r="B35" s="685" t="s">
        <v>233</v>
      </c>
      <c r="C35" s="686">
        <v>0</v>
      </c>
      <c r="D35" s="686">
        <v>0</v>
      </c>
    </row>
    <row r="36" spans="1:4" s="687" customFormat="1" ht="11.25">
      <c r="A36" s="693">
        <v>3212</v>
      </c>
      <c r="B36" s="685" t="s">
        <v>234</v>
      </c>
      <c r="C36" s="686">
        <v>0</v>
      </c>
      <c r="D36" s="686">
        <v>0</v>
      </c>
    </row>
    <row r="37" spans="1:4" s="690" customFormat="1" ht="12">
      <c r="A37" s="684">
        <v>3220</v>
      </c>
      <c r="B37" s="691" t="s">
        <v>235</v>
      </c>
      <c r="C37" s="692">
        <v>0</v>
      </c>
      <c r="D37" s="692">
        <v>0</v>
      </c>
    </row>
    <row r="38" spans="1:4" s="687" customFormat="1" ht="11.25">
      <c r="A38" s="693">
        <v>3221</v>
      </c>
      <c r="B38" s="685" t="s">
        <v>233</v>
      </c>
      <c r="C38" s="686">
        <v>0</v>
      </c>
      <c r="D38" s="686">
        <v>0</v>
      </c>
    </row>
    <row r="39" spans="1:4" s="687" customFormat="1" ht="11.25">
      <c r="A39" s="693">
        <v>3222</v>
      </c>
      <c r="B39" s="685" t="s">
        <v>234</v>
      </c>
      <c r="C39" s="686">
        <v>0</v>
      </c>
      <c r="D39" s="686">
        <v>0</v>
      </c>
    </row>
    <row r="40" spans="1:4" s="690" customFormat="1" ht="12">
      <c r="A40" s="684">
        <v>3230</v>
      </c>
      <c r="B40" s="691" t="s">
        <v>236</v>
      </c>
      <c r="C40" s="694">
        <v>566354371</v>
      </c>
      <c r="D40" s="694">
        <v>493454545</v>
      </c>
    </row>
    <row r="41" spans="1:4" s="690" customFormat="1" ht="12">
      <c r="A41" s="684">
        <v>3250</v>
      </c>
      <c r="B41" s="691" t="s">
        <v>237</v>
      </c>
      <c r="C41" s="694">
        <f>SUM(C42:C46)</f>
        <v>11742971898</v>
      </c>
      <c r="D41" s="694">
        <f>SUM(D42:D46)</f>
        <v>11503833643</v>
      </c>
    </row>
    <row r="42" spans="1:4" s="687" customFormat="1" ht="11.25">
      <c r="A42" s="693">
        <v>3251</v>
      </c>
      <c r="B42" s="685" t="s">
        <v>238</v>
      </c>
      <c r="C42" s="686">
        <v>0</v>
      </c>
      <c r="D42" s="686">
        <v>0</v>
      </c>
    </row>
    <row r="43" spans="1:4" s="687" customFormat="1" ht="11.25">
      <c r="A43" s="693">
        <v>3252</v>
      </c>
      <c r="B43" s="685" t="s">
        <v>239</v>
      </c>
      <c r="C43" s="686">
        <v>7783475405</v>
      </c>
      <c r="D43" s="686">
        <f>+C43</f>
        <v>7783475405</v>
      </c>
    </row>
    <row r="44" spans="1:4" s="687" customFormat="1" ht="11.25">
      <c r="A44" s="693">
        <v>3253</v>
      </c>
      <c r="B44" s="685" t="s">
        <v>240</v>
      </c>
      <c r="C44" s="686">
        <v>0</v>
      </c>
      <c r="D44" s="686">
        <v>0</v>
      </c>
    </row>
    <row r="45" spans="1:4" s="687" customFormat="1" ht="11.25">
      <c r="A45" s="693">
        <v>3254</v>
      </c>
      <c r="B45" s="685" t="s">
        <v>241</v>
      </c>
      <c r="C45" s="686">
        <v>3959496493</v>
      </c>
      <c r="D45" s="686">
        <v>3720358238</v>
      </c>
    </row>
    <row r="46" spans="1:4" s="687" customFormat="1" ht="11.25">
      <c r="A46" s="693">
        <v>3255</v>
      </c>
      <c r="B46" s="685" t="s">
        <v>242</v>
      </c>
      <c r="C46" s="686">
        <v>0</v>
      </c>
      <c r="D46" s="686">
        <v>0</v>
      </c>
    </row>
    <row r="47" spans="1:4" s="690" customFormat="1" ht="12">
      <c r="A47" s="684">
        <v>3260</v>
      </c>
      <c r="B47" s="691" t="s">
        <v>243</v>
      </c>
      <c r="C47" s="692">
        <v>0</v>
      </c>
      <c r="D47" s="692">
        <v>0</v>
      </c>
    </row>
    <row r="48" spans="1:4" s="669" customFormat="1">
      <c r="A48" s="678">
        <v>3500</v>
      </c>
      <c r="B48" s="679" t="s">
        <v>244</v>
      </c>
      <c r="C48" s="680">
        <v>0</v>
      </c>
      <c r="D48" s="680">
        <v>0</v>
      </c>
    </row>
    <row r="49" spans="1:4" s="669" customFormat="1">
      <c r="A49" s="675">
        <v>4000</v>
      </c>
      <c r="B49" s="695" t="s">
        <v>245</v>
      </c>
      <c r="C49" s="677">
        <f>SUM(C50:C53)</f>
        <v>5125805000</v>
      </c>
      <c r="D49" s="677">
        <f>SUM(D50:D53)</f>
        <v>670884454</v>
      </c>
    </row>
    <row r="50" spans="1:4" s="690" customFormat="1" ht="12">
      <c r="A50" s="696">
        <v>4100</v>
      </c>
      <c r="B50" s="697" t="s">
        <v>246</v>
      </c>
      <c r="C50" s="698">
        <v>2074005000</v>
      </c>
      <c r="D50" s="698">
        <v>670884454</v>
      </c>
    </row>
    <row r="51" spans="1:4" s="690" customFormat="1" ht="12">
      <c r="A51" s="696">
        <v>4200</v>
      </c>
      <c r="B51" s="697" t="s">
        <v>247</v>
      </c>
      <c r="C51" s="699">
        <v>0</v>
      </c>
      <c r="D51" s="699">
        <v>0</v>
      </c>
    </row>
    <row r="52" spans="1:4" s="690" customFormat="1" ht="12">
      <c r="A52" s="696">
        <v>4300</v>
      </c>
      <c r="B52" s="697" t="s">
        <v>248</v>
      </c>
      <c r="C52" s="699">
        <v>3051800000</v>
      </c>
      <c r="D52" s="699">
        <v>0</v>
      </c>
    </row>
    <row r="53" spans="1:4" s="669" customFormat="1">
      <c r="A53" s="696">
        <v>41001</v>
      </c>
      <c r="B53" s="697" t="s">
        <v>249</v>
      </c>
      <c r="C53" s="699">
        <v>0</v>
      </c>
      <c r="D53" s="699">
        <v>0</v>
      </c>
    </row>
    <row r="54" spans="1:4" ht="23.25" customHeight="1">
      <c r="A54" s="675"/>
      <c r="B54" s="675" t="s">
        <v>250</v>
      </c>
      <c r="C54" s="677">
        <f>SUM(C6+C49)</f>
        <v>36446723610</v>
      </c>
      <c r="D54" s="677">
        <f>SUM(D6+D49)</f>
        <v>22042364652</v>
      </c>
    </row>
    <row r="55" spans="1:4" ht="7.5" customHeight="1"/>
  </sheetData>
  <mergeCells count="3">
    <mergeCell ref="A2:D2"/>
    <mergeCell ref="A3:D3"/>
    <mergeCell ref="A4:B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E9" sqref="E9"/>
    </sheetView>
  </sheetViews>
  <sheetFormatPr baseColWidth="10" defaultRowHeight="12.75"/>
  <cols>
    <col min="1" max="1" width="46" style="701" customWidth="1"/>
    <col min="2" max="2" width="14.42578125" style="701" customWidth="1"/>
    <col min="3" max="4" width="14" style="701" customWidth="1"/>
    <col min="5" max="7" width="13.5703125" style="701" customWidth="1"/>
    <col min="8" max="8" width="14.28515625" style="701" customWidth="1"/>
    <col min="9" max="10" width="14" style="701" customWidth="1"/>
    <col min="11" max="11" width="11.42578125" style="701"/>
    <col min="12" max="12" width="12.7109375" style="701" bestFit="1" customWidth="1"/>
    <col min="13" max="256" width="11.42578125" style="701"/>
    <col min="257" max="257" width="46" style="701" customWidth="1"/>
    <col min="258" max="258" width="14.42578125" style="701" customWidth="1"/>
    <col min="259" max="260" width="14" style="701" customWidth="1"/>
    <col min="261" max="263" width="13.5703125" style="701" customWidth="1"/>
    <col min="264" max="264" width="14.28515625" style="701" customWidth="1"/>
    <col min="265" max="266" width="14" style="701" customWidth="1"/>
    <col min="267" max="512" width="11.42578125" style="701"/>
    <col min="513" max="513" width="46" style="701" customWidth="1"/>
    <col min="514" max="514" width="14.42578125" style="701" customWidth="1"/>
    <col min="515" max="516" width="14" style="701" customWidth="1"/>
    <col min="517" max="519" width="13.5703125" style="701" customWidth="1"/>
    <col min="520" max="520" width="14.28515625" style="701" customWidth="1"/>
    <col min="521" max="522" width="14" style="701" customWidth="1"/>
    <col min="523" max="768" width="11.42578125" style="701"/>
    <col min="769" max="769" width="46" style="701" customWidth="1"/>
    <col min="770" max="770" width="14.42578125" style="701" customWidth="1"/>
    <col min="771" max="772" width="14" style="701" customWidth="1"/>
    <col min="773" max="775" width="13.5703125" style="701" customWidth="1"/>
    <col min="776" max="776" width="14.28515625" style="701" customWidth="1"/>
    <col min="777" max="778" width="14" style="701" customWidth="1"/>
    <col min="779" max="1024" width="11.42578125" style="701"/>
    <col min="1025" max="1025" width="46" style="701" customWidth="1"/>
    <col min="1026" max="1026" width="14.42578125" style="701" customWidth="1"/>
    <col min="1027" max="1028" width="14" style="701" customWidth="1"/>
    <col min="1029" max="1031" width="13.5703125" style="701" customWidth="1"/>
    <col min="1032" max="1032" width="14.28515625" style="701" customWidth="1"/>
    <col min="1033" max="1034" width="14" style="701" customWidth="1"/>
    <col min="1035" max="1280" width="11.42578125" style="701"/>
    <col min="1281" max="1281" width="46" style="701" customWidth="1"/>
    <col min="1282" max="1282" width="14.42578125" style="701" customWidth="1"/>
    <col min="1283" max="1284" width="14" style="701" customWidth="1"/>
    <col min="1285" max="1287" width="13.5703125" style="701" customWidth="1"/>
    <col min="1288" max="1288" width="14.28515625" style="701" customWidth="1"/>
    <col min="1289" max="1290" width="14" style="701" customWidth="1"/>
    <col min="1291" max="1536" width="11.42578125" style="701"/>
    <col min="1537" max="1537" width="46" style="701" customWidth="1"/>
    <col min="1538" max="1538" width="14.42578125" style="701" customWidth="1"/>
    <col min="1539" max="1540" width="14" style="701" customWidth="1"/>
    <col min="1541" max="1543" width="13.5703125" style="701" customWidth="1"/>
    <col min="1544" max="1544" width="14.28515625" style="701" customWidth="1"/>
    <col min="1545" max="1546" width="14" style="701" customWidth="1"/>
    <col min="1547" max="1792" width="11.42578125" style="701"/>
    <col min="1793" max="1793" width="46" style="701" customWidth="1"/>
    <col min="1794" max="1794" width="14.42578125" style="701" customWidth="1"/>
    <col min="1795" max="1796" width="14" style="701" customWidth="1"/>
    <col min="1797" max="1799" width="13.5703125" style="701" customWidth="1"/>
    <col min="1800" max="1800" width="14.28515625" style="701" customWidth="1"/>
    <col min="1801" max="1802" width="14" style="701" customWidth="1"/>
    <col min="1803" max="2048" width="11.42578125" style="701"/>
    <col min="2049" max="2049" width="46" style="701" customWidth="1"/>
    <col min="2050" max="2050" width="14.42578125" style="701" customWidth="1"/>
    <col min="2051" max="2052" width="14" style="701" customWidth="1"/>
    <col min="2053" max="2055" width="13.5703125" style="701" customWidth="1"/>
    <col min="2056" max="2056" width="14.28515625" style="701" customWidth="1"/>
    <col min="2057" max="2058" width="14" style="701" customWidth="1"/>
    <col min="2059" max="2304" width="11.42578125" style="701"/>
    <col min="2305" max="2305" width="46" style="701" customWidth="1"/>
    <col min="2306" max="2306" width="14.42578125" style="701" customWidth="1"/>
    <col min="2307" max="2308" width="14" style="701" customWidth="1"/>
    <col min="2309" max="2311" width="13.5703125" style="701" customWidth="1"/>
    <col min="2312" max="2312" width="14.28515625" style="701" customWidth="1"/>
    <col min="2313" max="2314" width="14" style="701" customWidth="1"/>
    <col min="2315" max="2560" width="11.42578125" style="701"/>
    <col min="2561" max="2561" width="46" style="701" customWidth="1"/>
    <col min="2562" max="2562" width="14.42578125" style="701" customWidth="1"/>
    <col min="2563" max="2564" width="14" style="701" customWidth="1"/>
    <col min="2565" max="2567" width="13.5703125" style="701" customWidth="1"/>
    <col min="2568" max="2568" width="14.28515625" style="701" customWidth="1"/>
    <col min="2569" max="2570" width="14" style="701" customWidth="1"/>
    <col min="2571" max="2816" width="11.42578125" style="701"/>
    <col min="2817" max="2817" width="46" style="701" customWidth="1"/>
    <col min="2818" max="2818" width="14.42578125" style="701" customWidth="1"/>
    <col min="2819" max="2820" width="14" style="701" customWidth="1"/>
    <col min="2821" max="2823" width="13.5703125" style="701" customWidth="1"/>
    <col min="2824" max="2824" width="14.28515625" style="701" customWidth="1"/>
    <col min="2825" max="2826" width="14" style="701" customWidth="1"/>
    <col min="2827" max="3072" width="11.42578125" style="701"/>
    <col min="3073" max="3073" width="46" style="701" customWidth="1"/>
    <col min="3074" max="3074" width="14.42578125" style="701" customWidth="1"/>
    <col min="3075" max="3076" width="14" style="701" customWidth="1"/>
    <col min="3077" max="3079" width="13.5703125" style="701" customWidth="1"/>
    <col min="3080" max="3080" width="14.28515625" style="701" customWidth="1"/>
    <col min="3081" max="3082" width="14" style="701" customWidth="1"/>
    <col min="3083" max="3328" width="11.42578125" style="701"/>
    <col min="3329" max="3329" width="46" style="701" customWidth="1"/>
    <col min="3330" max="3330" width="14.42578125" style="701" customWidth="1"/>
    <col min="3331" max="3332" width="14" style="701" customWidth="1"/>
    <col min="3333" max="3335" width="13.5703125" style="701" customWidth="1"/>
    <col min="3336" max="3336" width="14.28515625" style="701" customWidth="1"/>
    <col min="3337" max="3338" width="14" style="701" customWidth="1"/>
    <col min="3339" max="3584" width="11.42578125" style="701"/>
    <col min="3585" max="3585" width="46" style="701" customWidth="1"/>
    <col min="3586" max="3586" width="14.42578125" style="701" customWidth="1"/>
    <col min="3587" max="3588" width="14" style="701" customWidth="1"/>
    <col min="3589" max="3591" width="13.5703125" style="701" customWidth="1"/>
    <col min="3592" max="3592" width="14.28515625" style="701" customWidth="1"/>
    <col min="3593" max="3594" width="14" style="701" customWidth="1"/>
    <col min="3595" max="3840" width="11.42578125" style="701"/>
    <col min="3841" max="3841" width="46" style="701" customWidth="1"/>
    <col min="3842" max="3842" width="14.42578125" style="701" customWidth="1"/>
    <col min="3843" max="3844" width="14" style="701" customWidth="1"/>
    <col min="3845" max="3847" width="13.5703125" style="701" customWidth="1"/>
    <col min="3848" max="3848" width="14.28515625" style="701" customWidth="1"/>
    <col min="3849" max="3850" width="14" style="701" customWidth="1"/>
    <col min="3851" max="4096" width="11.42578125" style="701"/>
    <col min="4097" max="4097" width="46" style="701" customWidth="1"/>
    <col min="4098" max="4098" width="14.42578125" style="701" customWidth="1"/>
    <col min="4099" max="4100" width="14" style="701" customWidth="1"/>
    <col min="4101" max="4103" width="13.5703125" style="701" customWidth="1"/>
    <col min="4104" max="4104" width="14.28515625" style="701" customWidth="1"/>
    <col min="4105" max="4106" width="14" style="701" customWidth="1"/>
    <col min="4107" max="4352" width="11.42578125" style="701"/>
    <col min="4353" max="4353" width="46" style="701" customWidth="1"/>
    <col min="4354" max="4354" width="14.42578125" style="701" customWidth="1"/>
    <col min="4355" max="4356" width="14" style="701" customWidth="1"/>
    <col min="4357" max="4359" width="13.5703125" style="701" customWidth="1"/>
    <col min="4360" max="4360" width="14.28515625" style="701" customWidth="1"/>
    <col min="4361" max="4362" width="14" style="701" customWidth="1"/>
    <col min="4363" max="4608" width="11.42578125" style="701"/>
    <col min="4609" max="4609" width="46" style="701" customWidth="1"/>
    <col min="4610" max="4610" width="14.42578125" style="701" customWidth="1"/>
    <col min="4611" max="4612" width="14" style="701" customWidth="1"/>
    <col min="4613" max="4615" width="13.5703125" style="701" customWidth="1"/>
    <col min="4616" max="4616" width="14.28515625" style="701" customWidth="1"/>
    <col min="4617" max="4618" width="14" style="701" customWidth="1"/>
    <col min="4619" max="4864" width="11.42578125" style="701"/>
    <col min="4865" max="4865" width="46" style="701" customWidth="1"/>
    <col min="4866" max="4866" width="14.42578125" style="701" customWidth="1"/>
    <col min="4867" max="4868" width="14" style="701" customWidth="1"/>
    <col min="4869" max="4871" width="13.5703125" style="701" customWidth="1"/>
    <col min="4872" max="4872" width="14.28515625" style="701" customWidth="1"/>
    <col min="4873" max="4874" width="14" style="701" customWidth="1"/>
    <col min="4875" max="5120" width="11.42578125" style="701"/>
    <col min="5121" max="5121" width="46" style="701" customWidth="1"/>
    <col min="5122" max="5122" width="14.42578125" style="701" customWidth="1"/>
    <col min="5123" max="5124" width="14" style="701" customWidth="1"/>
    <col min="5125" max="5127" width="13.5703125" style="701" customWidth="1"/>
    <col min="5128" max="5128" width="14.28515625" style="701" customWidth="1"/>
    <col min="5129" max="5130" width="14" style="701" customWidth="1"/>
    <col min="5131" max="5376" width="11.42578125" style="701"/>
    <col min="5377" max="5377" width="46" style="701" customWidth="1"/>
    <col min="5378" max="5378" width="14.42578125" style="701" customWidth="1"/>
    <col min="5379" max="5380" width="14" style="701" customWidth="1"/>
    <col min="5381" max="5383" width="13.5703125" style="701" customWidth="1"/>
    <col min="5384" max="5384" width="14.28515625" style="701" customWidth="1"/>
    <col min="5385" max="5386" width="14" style="701" customWidth="1"/>
    <col min="5387" max="5632" width="11.42578125" style="701"/>
    <col min="5633" max="5633" width="46" style="701" customWidth="1"/>
    <col min="5634" max="5634" width="14.42578125" style="701" customWidth="1"/>
    <col min="5635" max="5636" width="14" style="701" customWidth="1"/>
    <col min="5637" max="5639" width="13.5703125" style="701" customWidth="1"/>
    <col min="5640" max="5640" width="14.28515625" style="701" customWidth="1"/>
    <col min="5641" max="5642" width="14" style="701" customWidth="1"/>
    <col min="5643" max="5888" width="11.42578125" style="701"/>
    <col min="5889" max="5889" width="46" style="701" customWidth="1"/>
    <col min="5890" max="5890" width="14.42578125" style="701" customWidth="1"/>
    <col min="5891" max="5892" width="14" style="701" customWidth="1"/>
    <col min="5893" max="5895" width="13.5703125" style="701" customWidth="1"/>
    <col min="5896" max="5896" width="14.28515625" style="701" customWidth="1"/>
    <col min="5897" max="5898" width="14" style="701" customWidth="1"/>
    <col min="5899" max="6144" width="11.42578125" style="701"/>
    <col min="6145" max="6145" width="46" style="701" customWidth="1"/>
    <col min="6146" max="6146" width="14.42578125" style="701" customWidth="1"/>
    <col min="6147" max="6148" width="14" style="701" customWidth="1"/>
    <col min="6149" max="6151" width="13.5703125" style="701" customWidth="1"/>
    <col min="6152" max="6152" width="14.28515625" style="701" customWidth="1"/>
    <col min="6153" max="6154" width="14" style="701" customWidth="1"/>
    <col min="6155" max="6400" width="11.42578125" style="701"/>
    <col min="6401" max="6401" width="46" style="701" customWidth="1"/>
    <col min="6402" max="6402" width="14.42578125" style="701" customWidth="1"/>
    <col min="6403" max="6404" width="14" style="701" customWidth="1"/>
    <col min="6405" max="6407" width="13.5703125" style="701" customWidth="1"/>
    <col min="6408" max="6408" width="14.28515625" style="701" customWidth="1"/>
    <col min="6409" max="6410" width="14" style="701" customWidth="1"/>
    <col min="6411" max="6656" width="11.42578125" style="701"/>
    <col min="6657" max="6657" width="46" style="701" customWidth="1"/>
    <col min="6658" max="6658" width="14.42578125" style="701" customWidth="1"/>
    <col min="6659" max="6660" width="14" style="701" customWidth="1"/>
    <col min="6661" max="6663" width="13.5703125" style="701" customWidth="1"/>
    <col min="6664" max="6664" width="14.28515625" style="701" customWidth="1"/>
    <col min="6665" max="6666" width="14" style="701" customWidth="1"/>
    <col min="6667" max="6912" width="11.42578125" style="701"/>
    <col min="6913" max="6913" width="46" style="701" customWidth="1"/>
    <col min="6914" max="6914" width="14.42578125" style="701" customWidth="1"/>
    <col min="6915" max="6916" width="14" style="701" customWidth="1"/>
    <col min="6917" max="6919" width="13.5703125" style="701" customWidth="1"/>
    <col min="6920" max="6920" width="14.28515625" style="701" customWidth="1"/>
    <col min="6921" max="6922" width="14" style="701" customWidth="1"/>
    <col min="6923" max="7168" width="11.42578125" style="701"/>
    <col min="7169" max="7169" width="46" style="701" customWidth="1"/>
    <col min="7170" max="7170" width="14.42578125" style="701" customWidth="1"/>
    <col min="7171" max="7172" width="14" style="701" customWidth="1"/>
    <col min="7173" max="7175" width="13.5703125" style="701" customWidth="1"/>
    <col min="7176" max="7176" width="14.28515625" style="701" customWidth="1"/>
    <col min="7177" max="7178" width="14" style="701" customWidth="1"/>
    <col min="7179" max="7424" width="11.42578125" style="701"/>
    <col min="7425" max="7425" width="46" style="701" customWidth="1"/>
    <col min="7426" max="7426" width="14.42578125" style="701" customWidth="1"/>
    <col min="7427" max="7428" width="14" style="701" customWidth="1"/>
    <col min="7429" max="7431" width="13.5703125" style="701" customWidth="1"/>
    <col min="7432" max="7432" width="14.28515625" style="701" customWidth="1"/>
    <col min="7433" max="7434" width="14" style="701" customWidth="1"/>
    <col min="7435" max="7680" width="11.42578125" style="701"/>
    <col min="7681" max="7681" width="46" style="701" customWidth="1"/>
    <col min="7682" max="7682" width="14.42578125" style="701" customWidth="1"/>
    <col min="7683" max="7684" width="14" style="701" customWidth="1"/>
    <col min="7685" max="7687" width="13.5703125" style="701" customWidth="1"/>
    <col min="7688" max="7688" width="14.28515625" style="701" customWidth="1"/>
    <col min="7689" max="7690" width="14" style="701" customWidth="1"/>
    <col min="7691" max="7936" width="11.42578125" style="701"/>
    <col min="7937" max="7937" width="46" style="701" customWidth="1"/>
    <col min="7938" max="7938" width="14.42578125" style="701" customWidth="1"/>
    <col min="7939" max="7940" width="14" style="701" customWidth="1"/>
    <col min="7941" max="7943" width="13.5703125" style="701" customWidth="1"/>
    <col min="7944" max="7944" width="14.28515625" style="701" customWidth="1"/>
    <col min="7945" max="7946" width="14" style="701" customWidth="1"/>
    <col min="7947" max="8192" width="11.42578125" style="701"/>
    <col min="8193" max="8193" width="46" style="701" customWidth="1"/>
    <col min="8194" max="8194" width="14.42578125" style="701" customWidth="1"/>
    <col min="8195" max="8196" width="14" style="701" customWidth="1"/>
    <col min="8197" max="8199" width="13.5703125" style="701" customWidth="1"/>
    <col min="8200" max="8200" width="14.28515625" style="701" customWidth="1"/>
    <col min="8201" max="8202" width="14" style="701" customWidth="1"/>
    <col min="8203" max="8448" width="11.42578125" style="701"/>
    <col min="8449" max="8449" width="46" style="701" customWidth="1"/>
    <col min="8450" max="8450" width="14.42578125" style="701" customWidth="1"/>
    <col min="8451" max="8452" width="14" style="701" customWidth="1"/>
    <col min="8453" max="8455" width="13.5703125" style="701" customWidth="1"/>
    <col min="8456" max="8456" width="14.28515625" style="701" customWidth="1"/>
    <col min="8457" max="8458" width="14" style="701" customWidth="1"/>
    <col min="8459" max="8704" width="11.42578125" style="701"/>
    <col min="8705" max="8705" width="46" style="701" customWidth="1"/>
    <col min="8706" max="8706" width="14.42578125" style="701" customWidth="1"/>
    <col min="8707" max="8708" width="14" style="701" customWidth="1"/>
    <col min="8709" max="8711" width="13.5703125" style="701" customWidth="1"/>
    <col min="8712" max="8712" width="14.28515625" style="701" customWidth="1"/>
    <col min="8713" max="8714" width="14" style="701" customWidth="1"/>
    <col min="8715" max="8960" width="11.42578125" style="701"/>
    <col min="8961" max="8961" width="46" style="701" customWidth="1"/>
    <col min="8962" max="8962" width="14.42578125" style="701" customWidth="1"/>
    <col min="8963" max="8964" width="14" style="701" customWidth="1"/>
    <col min="8965" max="8967" width="13.5703125" style="701" customWidth="1"/>
    <col min="8968" max="8968" width="14.28515625" style="701" customWidth="1"/>
    <col min="8969" max="8970" width="14" style="701" customWidth="1"/>
    <col min="8971" max="9216" width="11.42578125" style="701"/>
    <col min="9217" max="9217" width="46" style="701" customWidth="1"/>
    <col min="9218" max="9218" width="14.42578125" style="701" customWidth="1"/>
    <col min="9219" max="9220" width="14" style="701" customWidth="1"/>
    <col min="9221" max="9223" width="13.5703125" style="701" customWidth="1"/>
    <col min="9224" max="9224" width="14.28515625" style="701" customWidth="1"/>
    <col min="9225" max="9226" width="14" style="701" customWidth="1"/>
    <col min="9227" max="9472" width="11.42578125" style="701"/>
    <col min="9473" max="9473" width="46" style="701" customWidth="1"/>
    <col min="9474" max="9474" width="14.42578125" style="701" customWidth="1"/>
    <col min="9475" max="9476" width="14" style="701" customWidth="1"/>
    <col min="9477" max="9479" width="13.5703125" style="701" customWidth="1"/>
    <col min="9480" max="9480" width="14.28515625" style="701" customWidth="1"/>
    <col min="9481" max="9482" width="14" style="701" customWidth="1"/>
    <col min="9483" max="9728" width="11.42578125" style="701"/>
    <col min="9729" max="9729" width="46" style="701" customWidth="1"/>
    <col min="9730" max="9730" width="14.42578125" style="701" customWidth="1"/>
    <col min="9731" max="9732" width="14" style="701" customWidth="1"/>
    <col min="9733" max="9735" width="13.5703125" style="701" customWidth="1"/>
    <col min="9736" max="9736" width="14.28515625" style="701" customWidth="1"/>
    <col min="9737" max="9738" width="14" style="701" customWidth="1"/>
    <col min="9739" max="9984" width="11.42578125" style="701"/>
    <col min="9985" max="9985" width="46" style="701" customWidth="1"/>
    <col min="9986" max="9986" width="14.42578125" style="701" customWidth="1"/>
    <col min="9987" max="9988" width="14" style="701" customWidth="1"/>
    <col min="9989" max="9991" width="13.5703125" style="701" customWidth="1"/>
    <col min="9992" max="9992" width="14.28515625" style="701" customWidth="1"/>
    <col min="9993" max="9994" width="14" style="701" customWidth="1"/>
    <col min="9995" max="10240" width="11.42578125" style="701"/>
    <col min="10241" max="10241" width="46" style="701" customWidth="1"/>
    <col min="10242" max="10242" width="14.42578125" style="701" customWidth="1"/>
    <col min="10243" max="10244" width="14" style="701" customWidth="1"/>
    <col min="10245" max="10247" width="13.5703125" style="701" customWidth="1"/>
    <col min="10248" max="10248" width="14.28515625" style="701" customWidth="1"/>
    <col min="10249" max="10250" width="14" style="701" customWidth="1"/>
    <col min="10251" max="10496" width="11.42578125" style="701"/>
    <col min="10497" max="10497" width="46" style="701" customWidth="1"/>
    <col min="10498" max="10498" width="14.42578125" style="701" customWidth="1"/>
    <col min="10499" max="10500" width="14" style="701" customWidth="1"/>
    <col min="10501" max="10503" width="13.5703125" style="701" customWidth="1"/>
    <col min="10504" max="10504" width="14.28515625" style="701" customWidth="1"/>
    <col min="10505" max="10506" width="14" style="701" customWidth="1"/>
    <col min="10507" max="10752" width="11.42578125" style="701"/>
    <col min="10753" max="10753" width="46" style="701" customWidth="1"/>
    <col min="10754" max="10754" width="14.42578125" style="701" customWidth="1"/>
    <col min="10755" max="10756" width="14" style="701" customWidth="1"/>
    <col min="10757" max="10759" width="13.5703125" style="701" customWidth="1"/>
    <col min="10760" max="10760" width="14.28515625" style="701" customWidth="1"/>
    <col min="10761" max="10762" width="14" style="701" customWidth="1"/>
    <col min="10763" max="11008" width="11.42578125" style="701"/>
    <col min="11009" max="11009" width="46" style="701" customWidth="1"/>
    <col min="11010" max="11010" width="14.42578125" style="701" customWidth="1"/>
    <col min="11011" max="11012" width="14" style="701" customWidth="1"/>
    <col min="11013" max="11015" width="13.5703125" style="701" customWidth="1"/>
    <col min="11016" max="11016" width="14.28515625" style="701" customWidth="1"/>
    <col min="11017" max="11018" width="14" style="701" customWidth="1"/>
    <col min="11019" max="11264" width="11.42578125" style="701"/>
    <col min="11265" max="11265" width="46" style="701" customWidth="1"/>
    <col min="11266" max="11266" width="14.42578125" style="701" customWidth="1"/>
    <col min="11267" max="11268" width="14" style="701" customWidth="1"/>
    <col min="11269" max="11271" width="13.5703125" style="701" customWidth="1"/>
    <col min="11272" max="11272" width="14.28515625" style="701" customWidth="1"/>
    <col min="11273" max="11274" width="14" style="701" customWidth="1"/>
    <col min="11275" max="11520" width="11.42578125" style="701"/>
    <col min="11521" max="11521" width="46" style="701" customWidth="1"/>
    <col min="11522" max="11522" width="14.42578125" style="701" customWidth="1"/>
    <col min="11523" max="11524" width="14" style="701" customWidth="1"/>
    <col min="11525" max="11527" width="13.5703125" style="701" customWidth="1"/>
    <col min="11528" max="11528" width="14.28515625" style="701" customWidth="1"/>
    <col min="11529" max="11530" width="14" style="701" customWidth="1"/>
    <col min="11531" max="11776" width="11.42578125" style="701"/>
    <col min="11777" max="11777" width="46" style="701" customWidth="1"/>
    <col min="11778" max="11778" width="14.42578125" style="701" customWidth="1"/>
    <col min="11779" max="11780" width="14" style="701" customWidth="1"/>
    <col min="11781" max="11783" width="13.5703125" style="701" customWidth="1"/>
    <col min="11784" max="11784" width="14.28515625" style="701" customWidth="1"/>
    <col min="11785" max="11786" width="14" style="701" customWidth="1"/>
    <col min="11787" max="12032" width="11.42578125" style="701"/>
    <col min="12033" max="12033" width="46" style="701" customWidth="1"/>
    <col min="12034" max="12034" width="14.42578125" style="701" customWidth="1"/>
    <col min="12035" max="12036" width="14" style="701" customWidth="1"/>
    <col min="12037" max="12039" width="13.5703125" style="701" customWidth="1"/>
    <col min="12040" max="12040" width="14.28515625" style="701" customWidth="1"/>
    <col min="12041" max="12042" width="14" style="701" customWidth="1"/>
    <col min="12043" max="12288" width="11.42578125" style="701"/>
    <col min="12289" max="12289" width="46" style="701" customWidth="1"/>
    <col min="12290" max="12290" width="14.42578125" style="701" customWidth="1"/>
    <col min="12291" max="12292" width="14" style="701" customWidth="1"/>
    <col min="12293" max="12295" width="13.5703125" style="701" customWidth="1"/>
    <col min="12296" max="12296" width="14.28515625" style="701" customWidth="1"/>
    <col min="12297" max="12298" width="14" style="701" customWidth="1"/>
    <col min="12299" max="12544" width="11.42578125" style="701"/>
    <col min="12545" max="12545" width="46" style="701" customWidth="1"/>
    <col min="12546" max="12546" width="14.42578125" style="701" customWidth="1"/>
    <col min="12547" max="12548" width="14" style="701" customWidth="1"/>
    <col min="12549" max="12551" width="13.5703125" style="701" customWidth="1"/>
    <col min="12552" max="12552" width="14.28515625" style="701" customWidth="1"/>
    <col min="12553" max="12554" width="14" style="701" customWidth="1"/>
    <col min="12555" max="12800" width="11.42578125" style="701"/>
    <col min="12801" max="12801" width="46" style="701" customWidth="1"/>
    <col min="12802" max="12802" width="14.42578125" style="701" customWidth="1"/>
    <col min="12803" max="12804" width="14" style="701" customWidth="1"/>
    <col min="12805" max="12807" width="13.5703125" style="701" customWidth="1"/>
    <col min="12808" max="12808" width="14.28515625" style="701" customWidth="1"/>
    <col min="12809" max="12810" width="14" style="701" customWidth="1"/>
    <col min="12811" max="13056" width="11.42578125" style="701"/>
    <col min="13057" max="13057" width="46" style="701" customWidth="1"/>
    <col min="13058" max="13058" width="14.42578125" style="701" customWidth="1"/>
    <col min="13059" max="13060" width="14" style="701" customWidth="1"/>
    <col min="13061" max="13063" width="13.5703125" style="701" customWidth="1"/>
    <col min="13064" max="13064" width="14.28515625" style="701" customWidth="1"/>
    <col min="13065" max="13066" width="14" style="701" customWidth="1"/>
    <col min="13067" max="13312" width="11.42578125" style="701"/>
    <col min="13313" max="13313" width="46" style="701" customWidth="1"/>
    <col min="13314" max="13314" width="14.42578125" style="701" customWidth="1"/>
    <col min="13315" max="13316" width="14" style="701" customWidth="1"/>
    <col min="13317" max="13319" width="13.5703125" style="701" customWidth="1"/>
    <col min="13320" max="13320" width="14.28515625" style="701" customWidth="1"/>
    <col min="13321" max="13322" width="14" style="701" customWidth="1"/>
    <col min="13323" max="13568" width="11.42578125" style="701"/>
    <col min="13569" max="13569" width="46" style="701" customWidth="1"/>
    <col min="13570" max="13570" width="14.42578125" style="701" customWidth="1"/>
    <col min="13571" max="13572" width="14" style="701" customWidth="1"/>
    <col min="13573" max="13575" width="13.5703125" style="701" customWidth="1"/>
    <col min="13576" max="13576" width="14.28515625" style="701" customWidth="1"/>
    <col min="13577" max="13578" width="14" style="701" customWidth="1"/>
    <col min="13579" max="13824" width="11.42578125" style="701"/>
    <col min="13825" max="13825" width="46" style="701" customWidth="1"/>
    <col min="13826" max="13826" width="14.42578125" style="701" customWidth="1"/>
    <col min="13827" max="13828" width="14" style="701" customWidth="1"/>
    <col min="13829" max="13831" width="13.5703125" style="701" customWidth="1"/>
    <col min="13832" max="13832" width="14.28515625" style="701" customWidth="1"/>
    <col min="13833" max="13834" width="14" style="701" customWidth="1"/>
    <col min="13835" max="14080" width="11.42578125" style="701"/>
    <col min="14081" max="14081" width="46" style="701" customWidth="1"/>
    <col min="14082" max="14082" width="14.42578125" style="701" customWidth="1"/>
    <col min="14083" max="14084" width="14" style="701" customWidth="1"/>
    <col min="14085" max="14087" width="13.5703125" style="701" customWidth="1"/>
    <col min="14088" max="14088" width="14.28515625" style="701" customWidth="1"/>
    <col min="14089" max="14090" width="14" style="701" customWidth="1"/>
    <col min="14091" max="14336" width="11.42578125" style="701"/>
    <col min="14337" max="14337" width="46" style="701" customWidth="1"/>
    <col min="14338" max="14338" width="14.42578125" style="701" customWidth="1"/>
    <col min="14339" max="14340" width="14" style="701" customWidth="1"/>
    <col min="14341" max="14343" width="13.5703125" style="701" customWidth="1"/>
    <col min="14344" max="14344" width="14.28515625" style="701" customWidth="1"/>
    <col min="14345" max="14346" width="14" style="701" customWidth="1"/>
    <col min="14347" max="14592" width="11.42578125" style="701"/>
    <col min="14593" max="14593" width="46" style="701" customWidth="1"/>
    <col min="14594" max="14594" width="14.42578125" style="701" customWidth="1"/>
    <col min="14595" max="14596" width="14" style="701" customWidth="1"/>
    <col min="14597" max="14599" width="13.5703125" style="701" customWidth="1"/>
    <col min="14600" max="14600" width="14.28515625" style="701" customWidth="1"/>
    <col min="14601" max="14602" width="14" style="701" customWidth="1"/>
    <col min="14603" max="14848" width="11.42578125" style="701"/>
    <col min="14849" max="14849" width="46" style="701" customWidth="1"/>
    <col min="14850" max="14850" width="14.42578125" style="701" customWidth="1"/>
    <col min="14851" max="14852" width="14" style="701" customWidth="1"/>
    <col min="14853" max="14855" width="13.5703125" style="701" customWidth="1"/>
    <col min="14856" max="14856" width="14.28515625" style="701" customWidth="1"/>
    <col min="14857" max="14858" width="14" style="701" customWidth="1"/>
    <col min="14859" max="15104" width="11.42578125" style="701"/>
    <col min="15105" max="15105" width="46" style="701" customWidth="1"/>
    <col min="15106" max="15106" width="14.42578125" style="701" customWidth="1"/>
    <col min="15107" max="15108" width="14" style="701" customWidth="1"/>
    <col min="15109" max="15111" width="13.5703125" style="701" customWidth="1"/>
    <col min="15112" max="15112" width="14.28515625" style="701" customWidth="1"/>
    <col min="15113" max="15114" width="14" style="701" customWidth="1"/>
    <col min="15115" max="15360" width="11.42578125" style="701"/>
    <col min="15361" max="15361" width="46" style="701" customWidth="1"/>
    <col min="15362" max="15362" width="14.42578125" style="701" customWidth="1"/>
    <col min="15363" max="15364" width="14" style="701" customWidth="1"/>
    <col min="15365" max="15367" width="13.5703125" style="701" customWidth="1"/>
    <col min="15368" max="15368" width="14.28515625" style="701" customWidth="1"/>
    <col min="15369" max="15370" width="14" style="701" customWidth="1"/>
    <col min="15371" max="15616" width="11.42578125" style="701"/>
    <col min="15617" max="15617" width="46" style="701" customWidth="1"/>
    <col min="15618" max="15618" width="14.42578125" style="701" customWidth="1"/>
    <col min="15619" max="15620" width="14" style="701" customWidth="1"/>
    <col min="15621" max="15623" width="13.5703125" style="701" customWidth="1"/>
    <col min="15624" max="15624" width="14.28515625" style="701" customWidth="1"/>
    <col min="15625" max="15626" width="14" style="701" customWidth="1"/>
    <col min="15627" max="15872" width="11.42578125" style="701"/>
    <col min="15873" max="15873" width="46" style="701" customWidth="1"/>
    <col min="15874" max="15874" width="14.42578125" style="701" customWidth="1"/>
    <col min="15875" max="15876" width="14" style="701" customWidth="1"/>
    <col min="15877" max="15879" width="13.5703125" style="701" customWidth="1"/>
    <col min="15880" max="15880" width="14.28515625" style="701" customWidth="1"/>
    <col min="15881" max="15882" width="14" style="701" customWidth="1"/>
    <col min="15883" max="16128" width="11.42578125" style="701"/>
    <col min="16129" max="16129" width="46" style="701" customWidth="1"/>
    <col min="16130" max="16130" width="14.42578125" style="701" customWidth="1"/>
    <col min="16131" max="16132" width="14" style="701" customWidth="1"/>
    <col min="16133" max="16135" width="13.5703125" style="701" customWidth="1"/>
    <col min="16136" max="16136" width="14.28515625" style="701" customWidth="1"/>
    <col min="16137" max="16138" width="14" style="701" customWidth="1"/>
    <col min="16139" max="16384" width="11.42578125" style="701"/>
  </cols>
  <sheetData>
    <row r="1" spans="1:10" ht="130.5" customHeight="1" thickBot="1">
      <c r="A1" s="868"/>
      <c r="B1" s="868"/>
      <c r="C1" s="868"/>
      <c r="D1" s="868"/>
      <c r="E1" s="868"/>
      <c r="F1" s="868"/>
      <c r="G1" s="868"/>
      <c r="H1" s="868"/>
      <c r="I1" s="868"/>
      <c r="J1" s="700"/>
    </row>
    <row r="2" spans="1:10">
      <c r="A2" s="869" t="s">
        <v>555</v>
      </c>
      <c r="B2" s="870"/>
      <c r="C2" s="870"/>
      <c r="D2" s="870"/>
      <c r="E2" s="870"/>
      <c r="F2" s="870"/>
      <c r="G2" s="870"/>
      <c r="H2" s="870"/>
      <c r="I2" s="870"/>
      <c r="J2" s="871"/>
    </row>
    <row r="3" spans="1:10">
      <c r="A3" s="872">
        <f>'[3]Datos Generales'!C5</f>
        <v>0</v>
      </c>
      <c r="B3" s="873"/>
      <c r="C3" s="873"/>
      <c r="D3" s="873"/>
      <c r="E3" s="873"/>
      <c r="F3" s="873"/>
      <c r="G3" s="873"/>
      <c r="H3" s="873"/>
      <c r="I3" s="873"/>
      <c r="J3" s="874"/>
    </row>
    <row r="4" spans="1:10" ht="24.75" customHeight="1" thickBot="1">
      <c r="A4" s="702" t="s">
        <v>556</v>
      </c>
      <c r="B4" s="875"/>
      <c r="C4" s="875"/>
      <c r="D4" s="875"/>
      <c r="E4" s="876"/>
      <c r="F4" s="876"/>
      <c r="G4" s="876"/>
      <c r="H4" s="876"/>
      <c r="I4" s="876"/>
      <c r="J4" s="877"/>
    </row>
    <row r="5" spans="1:10" ht="33" customHeight="1">
      <c r="A5" s="878" t="s">
        <v>257</v>
      </c>
      <c r="B5" s="879" t="s">
        <v>258</v>
      </c>
      <c r="C5" s="880"/>
      <c r="D5" s="881"/>
      <c r="E5" s="879" t="s">
        <v>259</v>
      </c>
      <c r="F5" s="880"/>
      <c r="G5" s="881"/>
      <c r="H5" s="879" t="s">
        <v>260</v>
      </c>
      <c r="I5" s="880"/>
      <c r="J5" s="881"/>
    </row>
    <row r="6" spans="1:10" ht="21.75" customHeight="1" thickBot="1">
      <c r="A6" s="878"/>
      <c r="B6" s="703" t="s">
        <v>557</v>
      </c>
      <c r="C6" s="704" t="s">
        <v>558</v>
      </c>
      <c r="D6" s="705" t="s">
        <v>559</v>
      </c>
      <c r="E6" s="703" t="s">
        <v>557</v>
      </c>
      <c r="F6" s="704" t="s">
        <v>558</v>
      </c>
      <c r="G6" s="705" t="s">
        <v>559</v>
      </c>
      <c r="H6" s="703" t="s">
        <v>557</v>
      </c>
      <c r="I6" s="704" t="s">
        <v>558</v>
      </c>
      <c r="J6" s="705" t="s">
        <v>559</v>
      </c>
    </row>
    <row r="7" spans="1:10" s="674" customFormat="1" ht="13.5" thickBot="1">
      <c r="A7" s="706" t="s">
        <v>263</v>
      </c>
      <c r="B7" s="707">
        <v>2363497053</v>
      </c>
      <c r="C7" s="708">
        <v>780632122</v>
      </c>
      <c r="D7" s="709">
        <v>417648152</v>
      </c>
      <c r="E7" s="707">
        <v>2039750000</v>
      </c>
      <c r="F7" s="708">
        <v>1288282206</v>
      </c>
      <c r="G7" s="709">
        <f>+F7</f>
        <v>1288282206</v>
      </c>
      <c r="H7" s="710">
        <f>+B7+E7</f>
        <v>4403247053</v>
      </c>
      <c r="I7" s="710">
        <f>+C7+F7</f>
        <v>2068914328</v>
      </c>
      <c r="J7" s="710">
        <f>+D7+G7</f>
        <v>1705930358</v>
      </c>
    </row>
    <row r="8" spans="1:10" s="674" customFormat="1">
      <c r="A8" s="711" t="s">
        <v>264</v>
      </c>
      <c r="B8" s="712">
        <f t="shared" ref="B8:I8" si="0">SUM(B9:B11)</f>
        <v>1463924851</v>
      </c>
      <c r="C8" s="713">
        <f t="shared" si="0"/>
        <v>641121681</v>
      </c>
      <c r="D8" s="714">
        <f t="shared" si="0"/>
        <v>255014035</v>
      </c>
      <c r="E8" s="712">
        <f t="shared" si="0"/>
        <v>24024000</v>
      </c>
      <c r="F8" s="713">
        <f t="shared" si="0"/>
        <v>17488880</v>
      </c>
      <c r="G8" s="714">
        <f>SUM(G9:G11)</f>
        <v>17488880</v>
      </c>
      <c r="H8" s="712">
        <f t="shared" si="0"/>
        <v>1487948851</v>
      </c>
      <c r="I8" s="713">
        <f t="shared" si="0"/>
        <v>658610561</v>
      </c>
      <c r="J8" s="714">
        <f>SUM(J9:J11)</f>
        <v>272502915</v>
      </c>
    </row>
    <row r="9" spans="1:10">
      <c r="A9" s="715" t="s">
        <v>265</v>
      </c>
      <c r="B9" s="710">
        <v>333638910</v>
      </c>
      <c r="C9" s="716">
        <v>79082742</v>
      </c>
      <c r="D9" s="717">
        <v>15628778</v>
      </c>
      <c r="E9" s="710">
        <v>0</v>
      </c>
      <c r="F9" s="716">
        <v>0</v>
      </c>
      <c r="G9" s="717"/>
      <c r="H9" s="710">
        <f t="shared" ref="H9:J11" si="1">+B9+E9</f>
        <v>333638910</v>
      </c>
      <c r="I9" s="716">
        <f t="shared" si="1"/>
        <v>79082742</v>
      </c>
      <c r="J9" s="717">
        <f t="shared" si="1"/>
        <v>15628778</v>
      </c>
    </row>
    <row r="10" spans="1:10">
      <c r="A10" s="715" t="s">
        <v>266</v>
      </c>
      <c r="B10" s="710">
        <v>1066566191</v>
      </c>
      <c r="C10" s="716">
        <v>513570738</v>
      </c>
      <c r="D10" s="717">
        <v>195482747</v>
      </c>
      <c r="E10" s="710">
        <v>22601000</v>
      </c>
      <c r="F10" s="716">
        <v>17488880</v>
      </c>
      <c r="G10" s="717">
        <f>+F10</f>
        <v>17488880</v>
      </c>
      <c r="H10" s="710">
        <f t="shared" si="1"/>
        <v>1089167191</v>
      </c>
      <c r="I10" s="716">
        <f t="shared" si="1"/>
        <v>531059618</v>
      </c>
      <c r="J10" s="717">
        <f t="shared" si="1"/>
        <v>212971627</v>
      </c>
    </row>
    <row r="11" spans="1:10" ht="13.5" thickBot="1">
      <c r="A11" s="718" t="s">
        <v>267</v>
      </c>
      <c r="B11" s="719">
        <v>63719750</v>
      </c>
      <c r="C11" s="720">
        <v>48468201</v>
      </c>
      <c r="D11" s="721">
        <v>43902510</v>
      </c>
      <c r="E11" s="719">
        <v>1423000</v>
      </c>
      <c r="F11" s="720">
        <v>0</v>
      </c>
      <c r="G11" s="721">
        <f>+F11</f>
        <v>0</v>
      </c>
      <c r="H11" s="719">
        <f t="shared" si="1"/>
        <v>65142750</v>
      </c>
      <c r="I11" s="720">
        <f t="shared" si="1"/>
        <v>48468201</v>
      </c>
      <c r="J11" s="721">
        <f t="shared" si="1"/>
        <v>43902510</v>
      </c>
    </row>
    <row r="12" spans="1:10" s="674" customFormat="1">
      <c r="A12" s="711" t="s">
        <v>268</v>
      </c>
      <c r="B12" s="712">
        <f>+B13+B17+B20</f>
        <v>2479392680</v>
      </c>
      <c r="C12" s="712">
        <f>+C13+C17+C20</f>
        <v>666724517</v>
      </c>
      <c r="D12" s="712">
        <f>+D13+D17+D20</f>
        <v>666724517</v>
      </c>
      <c r="E12" s="712">
        <f t="shared" ref="E12:J12" si="2">+E13+E17</f>
        <v>10231000</v>
      </c>
      <c r="F12" s="713">
        <f t="shared" si="2"/>
        <v>0</v>
      </c>
      <c r="G12" s="714">
        <f t="shared" si="2"/>
        <v>0</v>
      </c>
      <c r="H12" s="712">
        <f t="shared" si="2"/>
        <v>2289623680</v>
      </c>
      <c r="I12" s="713">
        <f t="shared" si="2"/>
        <v>666724517</v>
      </c>
      <c r="J12" s="714">
        <f t="shared" si="2"/>
        <v>666724517</v>
      </c>
    </row>
    <row r="13" spans="1:10" s="726" customFormat="1" ht="12">
      <c r="A13" s="722" t="s">
        <v>269</v>
      </c>
      <c r="B13" s="723">
        <f t="shared" ref="B13:I13" si="3">SUM(B14:B16)</f>
        <v>2279392680</v>
      </c>
      <c r="C13" s="724">
        <f t="shared" si="3"/>
        <v>666724517</v>
      </c>
      <c r="D13" s="725">
        <f>SUM(D14:D16)</f>
        <v>666724517</v>
      </c>
      <c r="E13" s="723">
        <f t="shared" si="3"/>
        <v>10231000</v>
      </c>
      <c r="F13" s="724">
        <f t="shared" si="3"/>
        <v>0</v>
      </c>
      <c r="G13" s="725">
        <f>SUM(G14:G16)</f>
        <v>0</v>
      </c>
      <c r="H13" s="723">
        <f t="shared" si="3"/>
        <v>2289623680</v>
      </c>
      <c r="I13" s="724">
        <f t="shared" si="3"/>
        <v>666724517</v>
      </c>
      <c r="J13" s="725">
        <f>SUM(J14:J16)</f>
        <v>666724517</v>
      </c>
    </row>
    <row r="14" spans="1:10" s="727" customFormat="1" ht="11.25">
      <c r="A14" s="715" t="s">
        <v>270</v>
      </c>
      <c r="B14" s="710">
        <v>26622800</v>
      </c>
      <c r="C14" s="716">
        <v>0</v>
      </c>
      <c r="D14" s="717">
        <f>+C14</f>
        <v>0</v>
      </c>
      <c r="E14" s="710">
        <v>10231000</v>
      </c>
      <c r="F14" s="716">
        <v>0</v>
      </c>
      <c r="G14" s="717">
        <v>0</v>
      </c>
      <c r="H14" s="710">
        <f t="shared" ref="H14:J16" si="4">+B14+E14</f>
        <v>36853800</v>
      </c>
      <c r="I14" s="716">
        <f t="shared" si="4"/>
        <v>0</v>
      </c>
      <c r="J14" s="717">
        <f t="shared" si="4"/>
        <v>0</v>
      </c>
    </row>
    <row r="15" spans="1:10" s="727" customFormat="1" ht="11.25">
      <c r="A15" s="715" t="s">
        <v>271</v>
      </c>
      <c r="B15" s="710">
        <v>2228373280</v>
      </c>
      <c r="C15" s="716">
        <v>642365267</v>
      </c>
      <c r="D15" s="717">
        <f>+C15</f>
        <v>642365267</v>
      </c>
      <c r="E15" s="710"/>
      <c r="F15" s="716"/>
      <c r="G15" s="717"/>
      <c r="H15" s="710">
        <f t="shared" si="4"/>
        <v>2228373280</v>
      </c>
      <c r="I15" s="716">
        <f t="shared" si="4"/>
        <v>642365267</v>
      </c>
      <c r="J15" s="717">
        <f t="shared" si="4"/>
        <v>642365267</v>
      </c>
    </row>
    <row r="16" spans="1:10" s="727" customFormat="1" ht="11.25">
      <c r="A16" s="715" t="s">
        <v>211</v>
      </c>
      <c r="B16" s="710">
        <v>24396600</v>
      </c>
      <c r="C16" s="716">
        <v>24359250</v>
      </c>
      <c r="D16" s="717">
        <f>+C16</f>
        <v>24359250</v>
      </c>
      <c r="E16" s="710"/>
      <c r="F16" s="716"/>
      <c r="G16" s="717"/>
      <c r="H16" s="710">
        <f t="shared" si="4"/>
        <v>24396600</v>
      </c>
      <c r="I16" s="716">
        <f t="shared" si="4"/>
        <v>24359250</v>
      </c>
      <c r="J16" s="717">
        <f t="shared" si="4"/>
        <v>24359250</v>
      </c>
    </row>
    <row r="17" spans="1:13" s="726" customFormat="1" ht="12">
      <c r="A17" s="722" t="s">
        <v>272</v>
      </c>
      <c r="B17" s="723">
        <f t="shared" ref="B17:J17" si="5">SUM(B18:B19)</f>
        <v>0</v>
      </c>
      <c r="C17" s="724">
        <f t="shared" si="5"/>
        <v>0</v>
      </c>
      <c r="D17" s="725">
        <f t="shared" si="5"/>
        <v>0</v>
      </c>
      <c r="E17" s="723">
        <f t="shared" si="5"/>
        <v>0</v>
      </c>
      <c r="F17" s="724">
        <f t="shared" si="5"/>
        <v>0</v>
      </c>
      <c r="G17" s="725">
        <f t="shared" si="5"/>
        <v>0</v>
      </c>
      <c r="H17" s="723">
        <f t="shared" si="5"/>
        <v>0</v>
      </c>
      <c r="I17" s="724">
        <f t="shared" si="5"/>
        <v>0</v>
      </c>
      <c r="J17" s="725">
        <f t="shared" si="5"/>
        <v>0</v>
      </c>
    </row>
    <row r="18" spans="1:13" s="727" customFormat="1" ht="11.25">
      <c r="A18" s="715" t="s">
        <v>273</v>
      </c>
      <c r="B18" s="710"/>
      <c r="C18" s="716"/>
      <c r="D18" s="717"/>
      <c r="E18" s="710"/>
      <c r="F18" s="716"/>
      <c r="G18" s="717"/>
      <c r="H18" s="710">
        <f t="shared" ref="H18:J19" si="6">+B18+E18</f>
        <v>0</v>
      </c>
      <c r="I18" s="716">
        <f t="shared" si="6"/>
        <v>0</v>
      </c>
      <c r="J18" s="717">
        <f t="shared" si="6"/>
        <v>0</v>
      </c>
    </row>
    <row r="19" spans="1:13" s="727" customFormat="1" ht="11.25">
      <c r="A19" s="715" t="s">
        <v>274</v>
      </c>
      <c r="B19" s="710"/>
      <c r="C19" s="716"/>
      <c r="D19" s="717"/>
      <c r="E19" s="710"/>
      <c r="F19" s="716"/>
      <c r="G19" s="717"/>
      <c r="H19" s="710">
        <f t="shared" si="6"/>
        <v>0</v>
      </c>
      <c r="I19" s="716">
        <f t="shared" si="6"/>
        <v>0</v>
      </c>
      <c r="J19" s="717">
        <f t="shared" si="6"/>
        <v>0</v>
      </c>
    </row>
    <row r="20" spans="1:13" s="674" customFormat="1">
      <c r="A20" s="728" t="s">
        <v>275</v>
      </c>
      <c r="B20" s="729">
        <f t="shared" ref="B20:J20" si="7">+B21+B23</f>
        <v>200000000</v>
      </c>
      <c r="C20" s="730">
        <f t="shared" si="7"/>
        <v>0</v>
      </c>
      <c r="D20" s="731">
        <f t="shared" si="7"/>
        <v>0</v>
      </c>
      <c r="E20" s="729">
        <f t="shared" si="7"/>
        <v>0</v>
      </c>
      <c r="F20" s="730">
        <f t="shared" si="7"/>
        <v>0</v>
      </c>
      <c r="G20" s="731">
        <f t="shared" si="7"/>
        <v>0</v>
      </c>
      <c r="H20" s="729">
        <f t="shared" si="7"/>
        <v>200000000</v>
      </c>
      <c r="I20" s="730">
        <f t="shared" si="7"/>
        <v>0</v>
      </c>
      <c r="J20" s="731">
        <f t="shared" si="7"/>
        <v>0</v>
      </c>
    </row>
    <row r="21" spans="1:13" s="726" customFormat="1" ht="12">
      <c r="A21" s="722" t="s">
        <v>276</v>
      </c>
      <c r="B21" s="723">
        <f t="shared" ref="B21:J21" si="8">SUM(B22)</f>
        <v>200000000</v>
      </c>
      <c r="C21" s="724">
        <f t="shared" si="8"/>
        <v>0</v>
      </c>
      <c r="D21" s="725">
        <f t="shared" si="8"/>
        <v>0</v>
      </c>
      <c r="E21" s="723">
        <f t="shared" si="8"/>
        <v>0</v>
      </c>
      <c r="F21" s="724">
        <f t="shared" si="8"/>
        <v>0</v>
      </c>
      <c r="G21" s="725">
        <f t="shared" si="8"/>
        <v>0</v>
      </c>
      <c r="H21" s="723">
        <f t="shared" si="8"/>
        <v>200000000</v>
      </c>
      <c r="I21" s="724">
        <f t="shared" si="8"/>
        <v>0</v>
      </c>
      <c r="J21" s="725">
        <f t="shared" si="8"/>
        <v>0</v>
      </c>
    </row>
    <row r="22" spans="1:13">
      <c r="A22" s="715" t="s">
        <v>277</v>
      </c>
      <c r="B22" s="710">
        <v>200000000</v>
      </c>
      <c r="C22" s="716">
        <v>0</v>
      </c>
      <c r="D22" s="717">
        <f>+C22</f>
        <v>0</v>
      </c>
      <c r="E22" s="710"/>
      <c r="F22" s="716"/>
      <c r="G22" s="717"/>
      <c r="H22" s="710">
        <f t="shared" ref="H22:J23" si="9">+B22+E22</f>
        <v>200000000</v>
      </c>
      <c r="I22" s="716">
        <f t="shared" si="9"/>
        <v>0</v>
      </c>
      <c r="J22" s="717">
        <f t="shared" si="9"/>
        <v>0</v>
      </c>
    </row>
    <row r="23" spans="1:13" s="726" customFormat="1" thickBot="1">
      <c r="A23" s="732" t="s">
        <v>278</v>
      </c>
      <c r="B23" s="733"/>
      <c r="C23" s="734"/>
      <c r="D23" s="735"/>
      <c r="E23" s="733"/>
      <c r="F23" s="734"/>
      <c r="G23" s="735"/>
      <c r="H23" s="733">
        <f t="shared" si="9"/>
        <v>0</v>
      </c>
      <c r="I23" s="734">
        <f t="shared" si="9"/>
        <v>0</v>
      </c>
      <c r="J23" s="735">
        <f t="shared" si="9"/>
        <v>0</v>
      </c>
    </row>
    <row r="24" spans="1:13" s="674" customFormat="1" ht="13.5" thickBot="1">
      <c r="A24" s="706" t="s">
        <v>279</v>
      </c>
      <c r="B24" s="707">
        <f>+B7+B8+B12</f>
        <v>6306814584</v>
      </c>
      <c r="C24" s="707">
        <f>+C7+C8+C12</f>
        <v>2088478320</v>
      </c>
      <c r="D24" s="707">
        <f>+D7+D8+D12</f>
        <v>1339386704</v>
      </c>
      <c r="E24" s="707">
        <f t="shared" ref="E24:J24" si="10">+E7+E8+E12+E20</f>
        <v>2074005000</v>
      </c>
      <c r="F24" s="708">
        <f t="shared" si="10"/>
        <v>1305771086</v>
      </c>
      <c r="G24" s="709">
        <f t="shared" si="10"/>
        <v>1305771086</v>
      </c>
      <c r="H24" s="707">
        <f t="shared" si="10"/>
        <v>8380819584</v>
      </c>
      <c r="I24" s="708">
        <f t="shared" si="10"/>
        <v>3394249406</v>
      </c>
      <c r="J24" s="708">
        <f t="shared" si="10"/>
        <v>2645157790</v>
      </c>
      <c r="K24" s="674" t="s">
        <v>251</v>
      </c>
      <c r="L24" s="736" t="s">
        <v>251</v>
      </c>
      <c r="M24" s="736" t="s">
        <v>251</v>
      </c>
    </row>
    <row r="25" spans="1:13" ht="13.5" thickBot="1">
      <c r="A25" s="737"/>
      <c r="B25" s="738" t="s">
        <v>251</v>
      </c>
      <c r="C25" s="739"/>
      <c r="D25" s="740"/>
      <c r="E25" s="738"/>
      <c r="F25" s="739"/>
      <c r="G25" s="740"/>
      <c r="H25" s="738"/>
      <c r="I25" s="739"/>
      <c r="J25" s="740"/>
    </row>
    <row r="26" spans="1:13" s="674" customFormat="1" ht="13.5" thickBot="1">
      <c r="A26" s="706" t="s">
        <v>280</v>
      </c>
      <c r="B26" s="707">
        <f t="shared" ref="B26:J26" si="11">+B28+B33+B36+B40+B42+B46</f>
        <v>25014104026</v>
      </c>
      <c r="C26" s="707">
        <f t="shared" si="11"/>
        <v>8701543190</v>
      </c>
      <c r="D26" s="707">
        <f t="shared" si="11"/>
        <v>843754675</v>
      </c>
      <c r="E26" s="707">
        <f t="shared" si="11"/>
        <v>3051800000</v>
      </c>
      <c r="F26" s="707">
        <f t="shared" si="11"/>
        <v>2496384982</v>
      </c>
      <c r="G26" s="707">
        <f t="shared" si="11"/>
        <v>51271368</v>
      </c>
      <c r="H26" s="707">
        <f t="shared" si="11"/>
        <v>28065904026</v>
      </c>
      <c r="I26" s="707">
        <f t="shared" si="11"/>
        <v>11197928172</v>
      </c>
      <c r="J26" s="707">
        <f t="shared" si="11"/>
        <v>895026043</v>
      </c>
    </row>
    <row r="27" spans="1:13">
      <c r="A27" s="741"/>
      <c r="B27" s="741"/>
      <c r="C27" s="741"/>
      <c r="D27" s="741"/>
      <c r="E27" s="741"/>
      <c r="F27" s="741"/>
      <c r="G27" s="741"/>
      <c r="H27" s="742" t="s">
        <v>251</v>
      </c>
      <c r="I27" s="741" t="s">
        <v>251</v>
      </c>
      <c r="J27" s="743" t="s">
        <v>251</v>
      </c>
    </row>
    <row r="28" spans="1:13">
      <c r="A28" s="744" t="s">
        <v>560</v>
      </c>
      <c r="B28" s="744">
        <f t="shared" ref="B28:G28" si="12">SUM(B29:B32)</f>
        <v>11087344352</v>
      </c>
      <c r="C28" s="744">
        <f t="shared" si="12"/>
        <v>3504407054</v>
      </c>
      <c r="D28" s="744">
        <f t="shared" si="12"/>
        <v>559490654</v>
      </c>
      <c r="E28" s="744">
        <f t="shared" si="12"/>
        <v>3051800000</v>
      </c>
      <c r="F28" s="744">
        <f t="shared" si="12"/>
        <v>2496384982</v>
      </c>
      <c r="G28" s="744">
        <f t="shared" si="12"/>
        <v>51271368</v>
      </c>
      <c r="H28" s="742">
        <f t="shared" ref="H28:J49" si="13">+B28+E28</f>
        <v>14139144352</v>
      </c>
      <c r="I28" s="741">
        <f t="shared" si="13"/>
        <v>6000792036</v>
      </c>
      <c r="J28" s="743">
        <f t="shared" si="13"/>
        <v>610762022</v>
      </c>
    </row>
    <row r="29" spans="1:13">
      <c r="A29" s="745" t="s">
        <v>561</v>
      </c>
      <c r="B29" s="741">
        <v>2714691754</v>
      </c>
      <c r="C29" s="741">
        <v>1309189350</v>
      </c>
      <c r="D29" s="741">
        <v>88250847</v>
      </c>
      <c r="E29" s="741"/>
      <c r="F29" s="741"/>
      <c r="G29" s="741"/>
      <c r="H29" s="742">
        <f t="shared" si="13"/>
        <v>2714691754</v>
      </c>
      <c r="I29" s="741">
        <f t="shared" si="13"/>
        <v>1309189350</v>
      </c>
      <c r="J29" s="743">
        <f t="shared" si="13"/>
        <v>88250847</v>
      </c>
    </row>
    <row r="30" spans="1:13">
      <c r="A30" s="745" t="s">
        <v>562</v>
      </c>
      <c r="B30" s="741">
        <v>6518500818</v>
      </c>
      <c r="C30" s="741">
        <v>471239807</v>
      </c>
      <c r="D30" s="741">
        <v>471239807</v>
      </c>
      <c r="E30" s="741"/>
      <c r="F30" s="741"/>
      <c r="G30" s="741"/>
      <c r="H30" s="742">
        <f t="shared" si="13"/>
        <v>6518500818</v>
      </c>
      <c r="I30" s="741">
        <f t="shared" si="13"/>
        <v>471239807</v>
      </c>
      <c r="J30" s="743">
        <f t="shared" si="13"/>
        <v>471239807</v>
      </c>
    </row>
    <row r="31" spans="1:13">
      <c r="A31" s="746" t="s">
        <v>563</v>
      </c>
      <c r="B31" s="741"/>
      <c r="C31" s="741"/>
      <c r="D31" s="741"/>
      <c r="E31" s="741">
        <v>3051800000</v>
      </c>
      <c r="F31" s="741">
        <v>2496384982</v>
      </c>
      <c r="G31" s="741">
        <v>51271368</v>
      </c>
      <c r="H31" s="742"/>
      <c r="I31" s="741"/>
      <c r="J31" s="743"/>
    </row>
    <row r="32" spans="1:13">
      <c r="A32" s="745" t="s">
        <v>564</v>
      </c>
      <c r="B32" s="741">
        <v>1854151780</v>
      </c>
      <c r="C32" s="741">
        <v>1723977897</v>
      </c>
      <c r="D32" s="741">
        <v>0</v>
      </c>
      <c r="E32" s="741"/>
      <c r="F32" s="741"/>
      <c r="G32" s="741"/>
      <c r="H32" s="742">
        <f t="shared" si="13"/>
        <v>1854151780</v>
      </c>
      <c r="I32" s="741">
        <f t="shared" si="13"/>
        <v>1723977897</v>
      </c>
      <c r="J32" s="743">
        <f t="shared" si="13"/>
        <v>0</v>
      </c>
    </row>
    <row r="33" spans="1:10">
      <c r="A33" s="744" t="s">
        <v>565</v>
      </c>
      <c r="B33" s="744">
        <f>+B34+B35</f>
        <v>2239437028</v>
      </c>
      <c r="C33" s="744">
        <f>+C34+C35</f>
        <v>1024980002</v>
      </c>
      <c r="D33" s="744">
        <f>+D34+D35</f>
        <v>17570000</v>
      </c>
      <c r="E33" s="744"/>
      <c r="F33" s="744"/>
      <c r="G33" s="744"/>
      <c r="H33" s="747">
        <f t="shared" si="13"/>
        <v>2239437028</v>
      </c>
      <c r="I33" s="744">
        <f t="shared" si="13"/>
        <v>1024980002</v>
      </c>
      <c r="J33" s="748">
        <f t="shared" si="13"/>
        <v>17570000</v>
      </c>
    </row>
    <row r="34" spans="1:10">
      <c r="A34" s="745" t="s">
        <v>566</v>
      </c>
      <c r="B34" s="741">
        <v>781000000</v>
      </c>
      <c r="C34" s="741">
        <v>655306511</v>
      </c>
      <c r="D34" s="741">
        <v>0</v>
      </c>
      <c r="E34" s="741"/>
      <c r="F34" s="741"/>
      <c r="G34" s="741"/>
      <c r="H34" s="742">
        <f t="shared" si="13"/>
        <v>781000000</v>
      </c>
      <c r="I34" s="741">
        <f t="shared" si="13"/>
        <v>655306511</v>
      </c>
      <c r="J34" s="743">
        <f t="shared" si="13"/>
        <v>0</v>
      </c>
    </row>
    <row r="35" spans="1:10" ht="22.5">
      <c r="A35" s="745" t="s">
        <v>567</v>
      </c>
      <c r="B35" s="741">
        <v>1458437028</v>
      </c>
      <c r="C35" s="741">
        <v>369673491</v>
      </c>
      <c r="D35" s="741">
        <v>17570000</v>
      </c>
      <c r="E35" s="741"/>
      <c r="F35" s="741"/>
      <c r="G35" s="741"/>
      <c r="H35" s="742">
        <f t="shared" si="13"/>
        <v>1458437028</v>
      </c>
      <c r="I35" s="741">
        <f t="shared" si="13"/>
        <v>369673491</v>
      </c>
      <c r="J35" s="743">
        <f t="shared" si="13"/>
        <v>17570000</v>
      </c>
    </row>
    <row r="36" spans="1:10">
      <c r="A36" s="744" t="s">
        <v>568</v>
      </c>
      <c r="B36" s="744">
        <f>+B37+B39+B38</f>
        <v>2912925458</v>
      </c>
      <c r="C36" s="744">
        <f>+C37+C39+C38</f>
        <v>283450009</v>
      </c>
      <c r="D36" s="744">
        <f>+D37+D39+D38</f>
        <v>18895481</v>
      </c>
      <c r="E36" s="744"/>
      <c r="F36" s="744"/>
      <c r="G36" s="744"/>
      <c r="H36" s="747">
        <f t="shared" si="13"/>
        <v>2912925458</v>
      </c>
      <c r="I36" s="744">
        <f t="shared" si="13"/>
        <v>283450009</v>
      </c>
      <c r="J36" s="748">
        <f t="shared" si="13"/>
        <v>18895481</v>
      </c>
    </row>
    <row r="37" spans="1:10">
      <c r="A37" s="745" t="s">
        <v>569</v>
      </c>
      <c r="B37" s="741">
        <v>1245000000</v>
      </c>
      <c r="C37" s="741">
        <v>266001259</v>
      </c>
      <c r="D37" s="741">
        <v>13657613</v>
      </c>
      <c r="E37" s="741"/>
      <c r="F37" s="741"/>
      <c r="G37" s="741"/>
      <c r="H37" s="742">
        <f t="shared" si="13"/>
        <v>1245000000</v>
      </c>
      <c r="I37" s="741">
        <f t="shared" si="13"/>
        <v>266001259</v>
      </c>
      <c r="J37" s="743">
        <f t="shared" si="13"/>
        <v>13657613</v>
      </c>
    </row>
    <row r="38" spans="1:10" ht="22.5">
      <c r="A38" s="745" t="s">
        <v>570</v>
      </c>
      <c r="B38" s="741">
        <v>823741758</v>
      </c>
      <c r="C38" s="741">
        <v>0</v>
      </c>
      <c r="D38" s="741">
        <v>0</v>
      </c>
      <c r="E38" s="741"/>
      <c r="F38" s="741"/>
      <c r="G38" s="741"/>
      <c r="H38" s="742">
        <f t="shared" si="13"/>
        <v>823741758</v>
      </c>
      <c r="I38" s="741">
        <f t="shared" si="13"/>
        <v>0</v>
      </c>
      <c r="J38" s="743">
        <f t="shared" si="13"/>
        <v>0</v>
      </c>
    </row>
    <row r="39" spans="1:10">
      <c r="A39" s="745" t="s">
        <v>571</v>
      </c>
      <c r="B39" s="741">
        <v>844183700</v>
      </c>
      <c r="C39" s="741">
        <v>17448750</v>
      </c>
      <c r="D39" s="741">
        <v>5237868</v>
      </c>
      <c r="E39" s="741"/>
      <c r="F39" s="741"/>
      <c r="G39" s="741"/>
      <c r="H39" s="742">
        <f t="shared" si="13"/>
        <v>844183700</v>
      </c>
      <c r="I39" s="741">
        <f t="shared" si="13"/>
        <v>17448750</v>
      </c>
      <c r="J39" s="743">
        <f t="shared" si="13"/>
        <v>5237868</v>
      </c>
    </row>
    <row r="40" spans="1:10">
      <c r="A40" s="744" t="s">
        <v>572</v>
      </c>
      <c r="B40" s="744">
        <f>+B41</f>
        <v>2487631738</v>
      </c>
      <c r="C40" s="744">
        <f>+C41</f>
        <v>1762408628</v>
      </c>
      <c r="D40" s="744">
        <f>+D41</f>
        <v>175065822</v>
      </c>
      <c r="E40" s="744"/>
      <c r="F40" s="744"/>
      <c r="G40" s="744"/>
      <c r="H40" s="747">
        <f t="shared" si="13"/>
        <v>2487631738</v>
      </c>
      <c r="I40" s="744">
        <f t="shared" si="13"/>
        <v>1762408628</v>
      </c>
      <c r="J40" s="748">
        <f t="shared" si="13"/>
        <v>175065822</v>
      </c>
    </row>
    <row r="41" spans="1:10">
      <c r="A41" s="745" t="s">
        <v>573</v>
      </c>
      <c r="B41" s="741">
        <v>2487631738</v>
      </c>
      <c r="C41" s="741">
        <v>1762408628</v>
      </c>
      <c r="D41" s="741">
        <v>175065822</v>
      </c>
      <c r="E41" s="741"/>
      <c r="F41" s="741"/>
      <c r="G41" s="741"/>
      <c r="H41" s="742">
        <f t="shared" si="13"/>
        <v>2487631738</v>
      </c>
      <c r="I41" s="741">
        <f t="shared" si="13"/>
        <v>1762408628</v>
      </c>
      <c r="J41" s="743">
        <f t="shared" si="13"/>
        <v>175065822</v>
      </c>
    </row>
    <row r="42" spans="1:10">
      <c r="A42" s="744" t="s">
        <v>574</v>
      </c>
      <c r="B42" s="744">
        <f>+B43+B44+B45</f>
        <v>2684364557</v>
      </c>
      <c r="C42" s="744">
        <f>+C43+C44+C45</f>
        <v>365349781</v>
      </c>
      <c r="D42" s="744">
        <f>+D43+D44+D45</f>
        <v>11029649</v>
      </c>
      <c r="E42" s="744"/>
      <c r="F42" s="744"/>
      <c r="G42" s="744"/>
      <c r="H42" s="747">
        <f t="shared" si="13"/>
        <v>2684364557</v>
      </c>
      <c r="I42" s="744">
        <f t="shared" si="13"/>
        <v>365349781</v>
      </c>
      <c r="J42" s="748">
        <f t="shared" si="13"/>
        <v>11029649</v>
      </c>
    </row>
    <row r="43" spans="1:10">
      <c r="A43" s="745" t="s">
        <v>575</v>
      </c>
      <c r="B43" s="741">
        <v>720000000</v>
      </c>
      <c r="C43" s="741">
        <v>191266955</v>
      </c>
      <c r="D43" s="741">
        <v>4367400</v>
      </c>
      <c r="E43" s="741"/>
      <c r="F43" s="741"/>
      <c r="G43" s="741"/>
      <c r="H43" s="742">
        <f t="shared" si="13"/>
        <v>720000000</v>
      </c>
      <c r="I43" s="741">
        <f t="shared" si="13"/>
        <v>191266955</v>
      </c>
      <c r="J43" s="743">
        <f t="shared" si="13"/>
        <v>4367400</v>
      </c>
    </row>
    <row r="44" spans="1:10">
      <c r="A44" s="745" t="s">
        <v>576</v>
      </c>
      <c r="B44" s="741">
        <v>1187753222</v>
      </c>
      <c r="C44" s="741">
        <v>174082826</v>
      </c>
      <c r="D44" s="741">
        <v>6662249</v>
      </c>
      <c r="E44" s="741"/>
      <c r="F44" s="741"/>
      <c r="G44" s="741"/>
      <c r="H44" s="742">
        <f t="shared" si="13"/>
        <v>1187753222</v>
      </c>
      <c r="I44" s="741">
        <f t="shared" si="13"/>
        <v>174082826</v>
      </c>
      <c r="J44" s="743">
        <f t="shared" si="13"/>
        <v>6662249</v>
      </c>
    </row>
    <row r="45" spans="1:10">
      <c r="A45" s="745" t="s">
        <v>577</v>
      </c>
      <c r="B45" s="741">
        <v>776611335</v>
      </c>
      <c r="C45" s="741">
        <v>0</v>
      </c>
      <c r="D45" s="741">
        <v>0</v>
      </c>
      <c r="E45" s="741"/>
      <c r="F45" s="741"/>
      <c r="G45" s="741"/>
      <c r="H45" s="742">
        <f t="shared" si="13"/>
        <v>776611335</v>
      </c>
      <c r="I45" s="741">
        <f t="shared" si="13"/>
        <v>0</v>
      </c>
      <c r="J45" s="743">
        <f t="shared" si="13"/>
        <v>0</v>
      </c>
    </row>
    <row r="46" spans="1:10">
      <c r="A46" s="744" t="s">
        <v>578</v>
      </c>
      <c r="B46" s="744">
        <f>+B47+B48</f>
        <v>3602400893</v>
      </c>
      <c r="C46" s="744">
        <f>+C47+C48</f>
        <v>1760947716</v>
      </c>
      <c r="D46" s="744">
        <f>+D47+D48</f>
        <v>61703069</v>
      </c>
      <c r="E46" s="744"/>
      <c r="F46" s="744"/>
      <c r="G46" s="744"/>
      <c r="H46" s="747">
        <f t="shared" si="13"/>
        <v>3602400893</v>
      </c>
      <c r="I46" s="744">
        <f t="shared" si="13"/>
        <v>1760947716</v>
      </c>
      <c r="J46" s="748">
        <f t="shared" si="13"/>
        <v>61703069</v>
      </c>
    </row>
    <row r="47" spans="1:10">
      <c r="A47" s="745" t="s">
        <v>579</v>
      </c>
      <c r="B47" s="741">
        <v>2202400893</v>
      </c>
      <c r="C47" s="741">
        <v>1386845135</v>
      </c>
      <c r="D47" s="741">
        <v>15067269</v>
      </c>
      <c r="E47" s="741"/>
      <c r="F47" s="741"/>
      <c r="G47" s="741"/>
      <c r="H47" s="742">
        <f t="shared" si="13"/>
        <v>2202400893</v>
      </c>
      <c r="I47" s="741">
        <f t="shared" si="13"/>
        <v>1386845135</v>
      </c>
      <c r="J47" s="743">
        <f t="shared" si="13"/>
        <v>15067269</v>
      </c>
    </row>
    <row r="48" spans="1:10">
      <c r="A48" s="745" t="s">
        <v>580</v>
      </c>
      <c r="B48" s="741">
        <v>1400000000</v>
      </c>
      <c r="C48" s="741">
        <v>374102581</v>
      </c>
      <c r="D48" s="741">
        <v>46635800</v>
      </c>
      <c r="E48" s="741"/>
      <c r="F48" s="741"/>
      <c r="G48" s="741"/>
      <c r="H48" s="742">
        <f t="shared" si="13"/>
        <v>1400000000</v>
      </c>
      <c r="I48" s="741">
        <f t="shared" si="13"/>
        <v>374102581</v>
      </c>
      <c r="J48" s="743">
        <f t="shared" si="13"/>
        <v>46635800</v>
      </c>
    </row>
    <row r="49" spans="1:10">
      <c r="A49" s="741"/>
      <c r="B49" s="741"/>
      <c r="C49" s="741"/>
      <c r="D49" s="741"/>
      <c r="E49" s="741"/>
      <c r="F49" s="741"/>
      <c r="G49" s="741"/>
      <c r="H49" s="742">
        <f t="shared" si="13"/>
        <v>0</v>
      </c>
      <c r="I49" s="741">
        <f t="shared" si="13"/>
        <v>0</v>
      </c>
      <c r="J49" s="743">
        <f t="shared" si="13"/>
        <v>0</v>
      </c>
    </row>
    <row r="50" spans="1:10" ht="13.5" thickBot="1">
      <c r="A50" s="749"/>
      <c r="B50" s="750"/>
      <c r="C50" s="751"/>
      <c r="D50" s="752"/>
      <c r="E50" s="750"/>
      <c r="F50" s="751"/>
      <c r="G50" s="752"/>
      <c r="H50" s="750">
        <f>+B50+E50</f>
        <v>0</v>
      </c>
      <c r="I50" s="751">
        <f>+C50+F50</f>
        <v>0</v>
      </c>
      <c r="J50" s="752">
        <f>+D50+G50</f>
        <v>0</v>
      </c>
    </row>
    <row r="51" spans="1:10" ht="13.5" thickBot="1">
      <c r="A51" s="706" t="s">
        <v>581</v>
      </c>
      <c r="B51" s="707">
        <f>+B26</f>
        <v>25014104026</v>
      </c>
      <c r="C51" s="707">
        <f>+C26</f>
        <v>8701543190</v>
      </c>
      <c r="D51" s="707">
        <f t="shared" ref="D51:J51" si="14">+D26</f>
        <v>843754675</v>
      </c>
      <c r="E51" s="707">
        <f t="shared" si="14"/>
        <v>3051800000</v>
      </c>
      <c r="F51" s="707">
        <f t="shared" si="14"/>
        <v>2496384982</v>
      </c>
      <c r="G51" s="707">
        <f t="shared" si="14"/>
        <v>51271368</v>
      </c>
      <c r="H51" s="707">
        <f t="shared" si="14"/>
        <v>28065904026</v>
      </c>
      <c r="I51" s="707">
        <f t="shared" si="14"/>
        <v>11197928172</v>
      </c>
      <c r="J51" s="707">
        <f t="shared" si="14"/>
        <v>895026043</v>
      </c>
    </row>
    <row r="52" spans="1:10">
      <c r="H52" s="753" t="s">
        <v>251</v>
      </c>
      <c r="I52" s="753" t="s">
        <v>251</v>
      </c>
      <c r="J52" s="753" t="s">
        <v>251</v>
      </c>
    </row>
    <row r="53" spans="1:10">
      <c r="I53" s="701" t="s">
        <v>251</v>
      </c>
      <c r="J53" s="701" t="s">
        <v>251</v>
      </c>
    </row>
    <row r="55" spans="1:10">
      <c r="I55" s="753"/>
    </row>
  </sheetData>
  <mergeCells count="8">
    <mergeCell ref="A1:I1"/>
    <mergeCell ref="A2:J2"/>
    <mergeCell ref="A3:J3"/>
    <mergeCell ref="B4:J4"/>
    <mergeCell ref="A5:A6"/>
    <mergeCell ref="B5:D5"/>
    <mergeCell ref="E5:G5"/>
    <mergeCell ref="H5: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5" zoomScale="70" zoomScaleNormal="70" workbookViewId="0">
      <selection activeCell="M19" sqref="M19"/>
    </sheetView>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885"/>
      <c r="C1" s="885"/>
      <c r="D1" s="885"/>
      <c r="E1" s="885"/>
      <c r="F1" s="885"/>
      <c r="G1" s="885"/>
      <c r="H1" s="885"/>
      <c r="I1" s="885"/>
      <c r="J1" s="885"/>
      <c r="K1" s="885"/>
      <c r="L1" s="885"/>
      <c r="M1" s="886"/>
    </row>
    <row r="2" spans="1:14" ht="23.25">
      <c r="A2" s="21"/>
      <c r="B2" s="887"/>
      <c r="C2" s="887"/>
      <c r="D2" s="887"/>
      <c r="E2" s="887"/>
      <c r="F2" s="887"/>
      <c r="G2" s="887"/>
      <c r="H2" s="887"/>
      <c r="I2" s="887"/>
      <c r="J2" s="887"/>
      <c r="K2" s="887"/>
      <c r="L2" s="887"/>
      <c r="M2" s="888"/>
    </row>
    <row r="3" spans="1:14" ht="24" thickBot="1">
      <c r="A3" s="21"/>
      <c r="B3" s="887" t="s">
        <v>2</v>
      </c>
      <c r="C3" s="887"/>
      <c r="D3" s="887"/>
      <c r="E3" s="887"/>
      <c r="F3" s="887"/>
      <c r="G3" s="887"/>
      <c r="H3" s="887"/>
      <c r="I3" s="887"/>
      <c r="J3" s="887"/>
      <c r="K3" s="887"/>
      <c r="L3" s="887"/>
      <c r="M3" s="888"/>
    </row>
    <row r="4" spans="1:14" ht="24" hidden="1" thickBot="1">
      <c r="A4" s="21"/>
      <c r="B4" s="889" t="s">
        <v>162</v>
      </c>
      <c r="C4" s="889"/>
      <c r="D4" s="889"/>
      <c r="E4" s="889"/>
      <c r="F4" s="889"/>
      <c r="G4" s="889"/>
      <c r="H4" s="889"/>
      <c r="I4" s="889"/>
      <c r="J4" s="889"/>
      <c r="K4" s="889"/>
      <c r="L4" s="889"/>
      <c r="M4" s="890"/>
    </row>
    <row r="5" spans="1:14" ht="30.75" hidden="1" thickBot="1">
      <c r="A5" s="21"/>
      <c r="B5" s="17"/>
      <c r="C5" s="17"/>
      <c r="D5" s="17"/>
      <c r="E5" s="17"/>
      <c r="F5" s="17"/>
      <c r="G5" s="17"/>
      <c r="H5" s="17"/>
      <c r="I5" s="17"/>
      <c r="J5" s="17"/>
      <c r="K5" s="17"/>
      <c r="L5" s="17"/>
      <c r="M5" s="34"/>
    </row>
    <row r="6" spans="1:14" ht="20.25">
      <c r="A6" s="18"/>
      <c r="B6" s="19" t="s">
        <v>87</v>
      </c>
      <c r="C6" s="19" t="s">
        <v>88</v>
      </c>
      <c r="D6" s="19"/>
      <c r="E6" s="19" t="s">
        <v>87</v>
      </c>
      <c r="F6" s="19" t="s">
        <v>89</v>
      </c>
      <c r="G6" s="19" t="s">
        <v>90</v>
      </c>
      <c r="H6" s="19" t="s">
        <v>91</v>
      </c>
      <c r="I6" s="19" t="s">
        <v>92</v>
      </c>
      <c r="J6" s="19" t="s">
        <v>93</v>
      </c>
      <c r="K6" s="19" t="s">
        <v>94</v>
      </c>
      <c r="L6" s="19" t="s">
        <v>95</v>
      </c>
      <c r="M6" s="37" t="s">
        <v>165</v>
      </c>
    </row>
    <row r="7" spans="1:14" ht="126.75" customHeight="1">
      <c r="A7" s="54" t="s">
        <v>3</v>
      </c>
      <c r="B7" s="44" t="s">
        <v>4</v>
      </c>
      <c r="C7" s="22" t="s">
        <v>174</v>
      </c>
      <c r="D7" s="36" t="s">
        <v>175</v>
      </c>
      <c r="E7" s="36" t="s">
        <v>96</v>
      </c>
      <c r="F7" s="35" t="s">
        <v>154</v>
      </c>
      <c r="G7" s="35" t="s">
        <v>155</v>
      </c>
      <c r="H7" s="35" t="s">
        <v>156</v>
      </c>
      <c r="I7" s="35" t="s">
        <v>198</v>
      </c>
      <c r="J7" s="35" t="s">
        <v>157</v>
      </c>
      <c r="K7" s="35" t="s">
        <v>97</v>
      </c>
      <c r="L7" s="35" t="s">
        <v>98</v>
      </c>
      <c r="M7" s="26" t="s">
        <v>99</v>
      </c>
    </row>
    <row r="8" spans="1:14" ht="21.75" customHeight="1">
      <c r="A8" s="891" t="s">
        <v>17</v>
      </c>
      <c r="B8" s="892"/>
      <c r="C8" s="892"/>
      <c r="D8" s="892"/>
      <c r="E8" s="892"/>
      <c r="F8" s="892"/>
      <c r="G8" s="892"/>
      <c r="H8" s="892"/>
      <c r="I8" s="892"/>
      <c r="J8" s="892"/>
      <c r="K8" s="892"/>
      <c r="L8" s="892"/>
      <c r="M8" s="893"/>
    </row>
    <row r="9" spans="1:14" ht="129" customHeight="1">
      <c r="A9" s="41">
        <v>1</v>
      </c>
      <c r="B9" s="40" t="s">
        <v>100</v>
      </c>
      <c r="C9" s="42" t="s">
        <v>143</v>
      </c>
      <c r="D9" s="43">
        <v>106414</v>
      </c>
      <c r="E9" s="43" t="s">
        <v>126</v>
      </c>
      <c r="F9" s="43">
        <v>0</v>
      </c>
      <c r="G9" s="43">
        <v>56864</v>
      </c>
      <c r="H9" s="43">
        <v>50949</v>
      </c>
      <c r="I9" s="43">
        <v>3000</v>
      </c>
      <c r="J9" s="43">
        <f>AVERAGE(F9:I9)</f>
        <v>27703.25</v>
      </c>
      <c r="K9" s="44"/>
      <c r="L9" s="44"/>
      <c r="M9" s="45" t="s">
        <v>176</v>
      </c>
      <c r="N9" s="59"/>
    </row>
    <row r="10" spans="1:14" ht="51" customHeight="1">
      <c r="A10" s="41">
        <f>A9+1</f>
        <v>2</v>
      </c>
      <c r="B10" s="40" t="s">
        <v>101</v>
      </c>
      <c r="C10" s="42" t="s">
        <v>143</v>
      </c>
      <c r="D10" s="43">
        <f>+'[4]acumulado a dic 2014'!$C$8</f>
        <v>330314</v>
      </c>
      <c r="E10" s="43" t="s">
        <v>126</v>
      </c>
      <c r="F10" s="55">
        <v>330314</v>
      </c>
      <c r="G10" s="55">
        <v>330314</v>
      </c>
      <c r="H10" s="55">
        <v>330314</v>
      </c>
      <c r="I10" s="55">
        <v>300000</v>
      </c>
      <c r="J10" s="55">
        <f>AVERAGE(F10:I10)</f>
        <v>322735.5</v>
      </c>
      <c r="K10" s="46"/>
      <c r="L10" s="44"/>
      <c r="M10" s="47"/>
    </row>
    <row r="11" spans="1:14" ht="24.75" customHeight="1">
      <c r="A11" s="882" t="s">
        <v>144</v>
      </c>
      <c r="B11" s="883"/>
      <c r="C11" s="883"/>
      <c r="D11" s="883"/>
      <c r="E11" s="883"/>
      <c r="F11" s="883"/>
      <c r="G11" s="883"/>
      <c r="H11" s="883"/>
      <c r="I11" s="883"/>
      <c r="J11" s="883"/>
      <c r="K11" s="883"/>
      <c r="L11" s="883"/>
      <c r="M11" s="884"/>
    </row>
    <row r="12" spans="1:14" ht="106.5" customHeight="1">
      <c r="A12" s="41">
        <v>3</v>
      </c>
      <c r="B12" s="40" t="s">
        <v>102</v>
      </c>
      <c r="C12" s="42">
        <v>4.0999999999999996</v>
      </c>
      <c r="D12" s="43">
        <f>+'[4]acumulado a dic 2014'!$C$96</f>
        <v>100</v>
      </c>
      <c r="E12" s="24" t="s">
        <v>177</v>
      </c>
      <c r="F12" s="55">
        <v>0</v>
      </c>
      <c r="G12" s="55">
        <v>0</v>
      </c>
      <c r="H12" s="55">
        <v>20</v>
      </c>
      <c r="I12" s="55">
        <v>25</v>
      </c>
      <c r="J12" s="55">
        <f>AVERAGE(F12:I12)</f>
        <v>11.25</v>
      </c>
      <c r="K12" s="44"/>
      <c r="L12" s="44"/>
      <c r="M12" s="45" t="s">
        <v>196</v>
      </c>
    </row>
    <row r="13" spans="1:14" ht="35.25" customHeight="1">
      <c r="A13" s="41">
        <v>4</v>
      </c>
      <c r="B13" s="40" t="s">
        <v>146</v>
      </c>
      <c r="C13" s="42">
        <v>1.1000000000000001</v>
      </c>
      <c r="D13" s="43">
        <f>+'[4]acumulado a dic 2014'!$C$9</f>
        <v>120000</v>
      </c>
      <c r="E13" s="43" t="s">
        <v>126</v>
      </c>
      <c r="F13" s="55">
        <v>20000</v>
      </c>
      <c r="G13" s="55">
        <v>40000</v>
      </c>
      <c r="H13" s="55">
        <v>30000</v>
      </c>
      <c r="I13" s="55">
        <v>15000</v>
      </c>
      <c r="J13" s="55">
        <f>AVERAGE(F13:I13)</f>
        <v>26250</v>
      </c>
      <c r="K13" s="44"/>
      <c r="L13" s="44"/>
      <c r="M13" s="47"/>
    </row>
    <row r="14" spans="1:14" ht="54.75" customHeight="1">
      <c r="A14" s="41">
        <v>4</v>
      </c>
      <c r="B14" s="40" t="s">
        <v>147</v>
      </c>
      <c r="C14" s="42">
        <v>1.1000000000000001</v>
      </c>
      <c r="D14" s="43">
        <f>+'[4]acumulado a dic 2014'!$C$10</f>
        <v>4145</v>
      </c>
      <c r="E14" s="43" t="s">
        <v>126</v>
      </c>
      <c r="F14" s="55">
        <v>4145</v>
      </c>
      <c r="G14" s="55">
        <v>4145</v>
      </c>
      <c r="H14" s="55">
        <v>4145</v>
      </c>
      <c r="I14" s="55">
        <v>2000</v>
      </c>
      <c r="J14" s="55">
        <f>AVERAGE(F14:I14)</f>
        <v>3608.75</v>
      </c>
      <c r="K14" s="43"/>
      <c r="L14" s="44"/>
      <c r="M14" s="47"/>
    </row>
    <row r="15" spans="1:14" ht="60.75" customHeight="1">
      <c r="A15" s="41">
        <v>4</v>
      </c>
      <c r="B15" s="40" t="s">
        <v>148</v>
      </c>
      <c r="C15" s="42">
        <v>1.2</v>
      </c>
      <c r="D15" s="43">
        <f>+'[4]acumulado a dic 2014'!$C$20</f>
        <v>35356</v>
      </c>
      <c r="E15" s="43" t="s">
        <v>126</v>
      </c>
      <c r="F15" s="55">
        <v>35356</v>
      </c>
      <c r="G15" s="55">
        <v>35356</v>
      </c>
      <c r="H15" s="55">
        <v>35356</v>
      </c>
      <c r="I15" s="55">
        <v>35356</v>
      </c>
      <c r="J15" s="55">
        <f>AVERAGE(F15:I15)</f>
        <v>35356</v>
      </c>
      <c r="K15" s="44"/>
      <c r="L15" s="44"/>
      <c r="M15" s="45"/>
    </row>
    <row r="16" spans="1:14" ht="25.5" customHeight="1">
      <c r="A16" s="882" t="s">
        <v>18</v>
      </c>
      <c r="B16" s="883"/>
      <c r="C16" s="883"/>
      <c r="D16" s="883"/>
      <c r="E16" s="883"/>
      <c r="F16" s="883"/>
      <c r="G16" s="883"/>
      <c r="H16" s="883"/>
      <c r="I16" s="883"/>
      <c r="J16" s="883"/>
      <c r="K16" s="883"/>
      <c r="L16" s="883"/>
      <c r="M16" s="884"/>
    </row>
    <row r="17" spans="1:14" ht="54.75" customHeight="1">
      <c r="A17" s="41">
        <v>5</v>
      </c>
      <c r="B17" s="40" t="s">
        <v>103</v>
      </c>
      <c r="C17" s="42" t="s">
        <v>143</v>
      </c>
      <c r="D17" s="42">
        <v>3</v>
      </c>
      <c r="E17" s="43" t="s">
        <v>133</v>
      </c>
      <c r="F17" s="55">
        <v>3</v>
      </c>
      <c r="G17" s="55">
        <v>3</v>
      </c>
      <c r="H17" s="55">
        <v>3</v>
      </c>
      <c r="I17" s="55">
        <v>3</v>
      </c>
      <c r="J17" s="55">
        <f>AVERAGE(F17:I17)</f>
        <v>3</v>
      </c>
      <c r="K17" s="44"/>
      <c r="L17" s="44"/>
      <c r="M17" s="47"/>
    </row>
    <row r="18" spans="1:14" ht="25.5" customHeight="1">
      <c r="A18" s="882" t="s">
        <v>19</v>
      </c>
      <c r="B18" s="883"/>
      <c r="C18" s="883"/>
      <c r="D18" s="883"/>
      <c r="E18" s="883"/>
      <c r="F18" s="883"/>
      <c r="G18" s="883"/>
      <c r="H18" s="883"/>
      <c r="I18" s="883"/>
      <c r="J18" s="883"/>
      <c r="K18" s="883"/>
      <c r="L18" s="883"/>
      <c r="M18" s="884"/>
    </row>
    <row r="19" spans="1:14" ht="217.5" customHeight="1">
      <c r="A19" s="41">
        <v>6</v>
      </c>
      <c r="B19" s="40" t="s">
        <v>104</v>
      </c>
      <c r="C19" s="42" t="s">
        <v>158</v>
      </c>
      <c r="D19" s="43">
        <f>+'[4]acumulado a dic 2014'!$C$34</f>
        <v>2</v>
      </c>
      <c r="E19" s="43" t="s">
        <v>127</v>
      </c>
      <c r="F19" s="55">
        <v>0</v>
      </c>
      <c r="G19" s="55">
        <v>1</v>
      </c>
      <c r="H19" s="55">
        <v>1</v>
      </c>
      <c r="I19" s="55">
        <v>0</v>
      </c>
      <c r="J19" s="55">
        <f t="shared" ref="J19:J24" si="0">AVERAGE(F19:I19)</f>
        <v>0.5</v>
      </c>
      <c r="K19" s="44"/>
      <c r="L19" s="44"/>
      <c r="M19" s="45" t="s">
        <v>197</v>
      </c>
      <c r="N19" s="72"/>
    </row>
    <row r="20" spans="1:14" ht="51.75" customHeight="1">
      <c r="A20" s="41">
        <f>A19+1</f>
        <v>7</v>
      </c>
      <c r="B20" s="40" t="s">
        <v>105</v>
      </c>
      <c r="C20" s="42" t="s">
        <v>158</v>
      </c>
      <c r="D20" s="42">
        <v>6</v>
      </c>
      <c r="E20" s="43" t="s">
        <v>127</v>
      </c>
      <c r="F20" s="55">
        <v>6</v>
      </c>
      <c r="G20" s="55">
        <v>6</v>
      </c>
      <c r="H20" s="55">
        <v>6</v>
      </c>
      <c r="I20" s="55">
        <v>6</v>
      </c>
      <c r="J20" s="55">
        <f t="shared" si="0"/>
        <v>6</v>
      </c>
      <c r="K20" s="44"/>
      <c r="L20" s="44"/>
      <c r="M20" s="71"/>
    </row>
    <row r="21" spans="1:14" ht="51.75" customHeight="1">
      <c r="A21" s="41">
        <f>A20+1</f>
        <v>8</v>
      </c>
      <c r="B21" s="40" t="s">
        <v>159</v>
      </c>
      <c r="C21" s="42" t="s">
        <v>149</v>
      </c>
      <c r="D21" s="43">
        <f>+'[4]acumulado a dic 2014'!$C$38</f>
        <v>392</v>
      </c>
      <c r="E21" s="43" t="s">
        <v>126</v>
      </c>
      <c r="F21" s="55">
        <v>45</v>
      </c>
      <c r="G21" s="55">
        <v>160</v>
      </c>
      <c r="H21" s="55">
        <v>80</v>
      </c>
      <c r="I21" s="55">
        <v>0</v>
      </c>
      <c r="J21" s="55">
        <f t="shared" si="0"/>
        <v>71.25</v>
      </c>
      <c r="K21" s="44"/>
      <c r="L21" s="44"/>
      <c r="M21" s="47"/>
    </row>
    <row r="22" spans="1:14" ht="148.5" customHeight="1">
      <c r="A22" s="41"/>
      <c r="B22" s="40" t="s">
        <v>167</v>
      </c>
      <c r="C22" s="42" t="s">
        <v>149</v>
      </c>
      <c r="D22" s="43">
        <f>+'[4]acumulado a dic 2014'!$C$40</f>
        <v>2981</v>
      </c>
      <c r="E22" s="43" t="s">
        <v>126</v>
      </c>
      <c r="F22" s="55">
        <v>276</v>
      </c>
      <c r="G22" s="55">
        <v>1681</v>
      </c>
      <c r="H22" s="55">
        <v>6345</v>
      </c>
      <c r="I22" s="55">
        <v>0</v>
      </c>
      <c r="J22" s="55">
        <f t="shared" si="0"/>
        <v>2075.5</v>
      </c>
      <c r="K22" s="44"/>
      <c r="L22" s="44"/>
      <c r="M22" s="45" t="s">
        <v>178</v>
      </c>
    </row>
    <row r="23" spans="1:14" ht="59.25" customHeight="1">
      <c r="A23" s="41">
        <f>A21+1</f>
        <v>9</v>
      </c>
      <c r="B23" s="40" t="s">
        <v>160</v>
      </c>
      <c r="C23" s="42" t="s">
        <v>149</v>
      </c>
      <c r="D23" s="43">
        <f>+'[4]acumulado a dic 2014'!$C$39</f>
        <v>970</v>
      </c>
      <c r="E23" s="43" t="s">
        <v>126</v>
      </c>
      <c r="F23" s="55">
        <v>0</v>
      </c>
      <c r="G23" s="55">
        <v>147</v>
      </c>
      <c r="H23" s="55">
        <v>225</v>
      </c>
      <c r="I23" s="55">
        <v>0</v>
      </c>
      <c r="J23" s="55">
        <f t="shared" si="0"/>
        <v>93</v>
      </c>
      <c r="K23" s="44"/>
      <c r="L23" s="44"/>
      <c r="M23" s="47"/>
    </row>
    <row r="24" spans="1:14" ht="49.5" customHeight="1">
      <c r="A24" s="41"/>
      <c r="B24" s="40" t="s">
        <v>161</v>
      </c>
      <c r="C24" s="42" t="s">
        <v>149</v>
      </c>
      <c r="D24" s="43">
        <f>+'[4]acumulado a dic 2014'!$C$41</f>
        <v>3438</v>
      </c>
      <c r="E24" s="43" t="s">
        <v>126</v>
      </c>
      <c r="F24" s="55">
        <v>0</v>
      </c>
      <c r="G24" s="55">
        <v>1271</v>
      </c>
      <c r="H24" s="55">
        <v>829</v>
      </c>
      <c r="I24" s="55">
        <v>0</v>
      </c>
      <c r="J24" s="55">
        <f t="shared" si="0"/>
        <v>525</v>
      </c>
      <c r="K24" s="44"/>
      <c r="L24" s="44"/>
      <c r="M24" s="47"/>
    </row>
    <row r="25" spans="1:14" ht="200.25" customHeight="1">
      <c r="A25" s="41">
        <f>A23+1</f>
        <v>10</v>
      </c>
      <c r="B25" s="40" t="s">
        <v>106</v>
      </c>
      <c r="C25" s="42" t="s">
        <v>145</v>
      </c>
      <c r="D25" s="42"/>
      <c r="E25" s="43" t="s">
        <v>128</v>
      </c>
      <c r="F25" s="55">
        <v>0</v>
      </c>
      <c r="G25" s="55">
        <v>0</v>
      </c>
      <c r="H25" s="55">
        <v>0</v>
      </c>
      <c r="I25" s="55">
        <v>0</v>
      </c>
      <c r="J25" s="55">
        <f>+F25</f>
        <v>0</v>
      </c>
      <c r="K25" s="44"/>
      <c r="L25" s="44"/>
      <c r="M25" s="45" t="s">
        <v>179</v>
      </c>
    </row>
    <row r="26" spans="1:14" ht="21" customHeight="1">
      <c r="A26" s="882" t="s">
        <v>20</v>
      </c>
      <c r="B26" s="883"/>
      <c r="C26" s="883"/>
      <c r="D26" s="883"/>
      <c r="E26" s="883"/>
      <c r="F26" s="883"/>
      <c r="G26" s="883"/>
      <c r="H26" s="883"/>
      <c r="I26" s="883"/>
      <c r="J26" s="883"/>
      <c r="K26" s="883"/>
      <c r="L26" s="883"/>
      <c r="M26" s="884"/>
    </row>
    <row r="27" spans="1:14" ht="96.75" customHeight="1">
      <c r="A27" s="41">
        <v>11</v>
      </c>
      <c r="B27" s="40" t="s">
        <v>107</v>
      </c>
      <c r="C27" s="23" t="s">
        <v>145</v>
      </c>
      <c r="D27" s="23">
        <v>37</v>
      </c>
      <c r="E27" s="58" t="s">
        <v>168</v>
      </c>
      <c r="F27" s="56">
        <v>37</v>
      </c>
      <c r="G27" s="55">
        <v>37</v>
      </c>
      <c r="H27" s="55">
        <v>37</v>
      </c>
      <c r="I27" s="55">
        <v>0</v>
      </c>
      <c r="J27" s="55">
        <f>AVERAGE(F27:I27)</f>
        <v>27.75</v>
      </c>
      <c r="K27" s="44"/>
      <c r="L27" s="44"/>
      <c r="M27" s="45" t="s">
        <v>135</v>
      </c>
    </row>
    <row r="28" spans="1:14" ht="104.25" customHeight="1">
      <c r="A28" s="41">
        <v>12</v>
      </c>
      <c r="B28" s="40" t="s">
        <v>150</v>
      </c>
      <c r="C28" s="23" t="s">
        <v>151</v>
      </c>
      <c r="D28" s="24">
        <f>+'[4]acumulado a dic 2014'!$C$58</f>
        <v>13.75</v>
      </c>
      <c r="E28" s="24" t="s">
        <v>129</v>
      </c>
      <c r="F28" s="56">
        <v>13</v>
      </c>
      <c r="G28" s="55">
        <v>14</v>
      </c>
      <c r="H28" s="55">
        <v>14</v>
      </c>
      <c r="I28" s="55">
        <v>0</v>
      </c>
      <c r="J28" s="55">
        <f>AVERAGE(F28:I28)</f>
        <v>10.25</v>
      </c>
      <c r="K28" s="44"/>
      <c r="L28" s="44"/>
      <c r="M28" s="45" t="s">
        <v>173</v>
      </c>
    </row>
    <row r="29" spans="1:14" ht="102" customHeight="1">
      <c r="A29" s="41">
        <f>A27+1</f>
        <v>12</v>
      </c>
      <c r="B29" s="40" t="s">
        <v>134</v>
      </c>
      <c r="C29" s="23" t="s">
        <v>151</v>
      </c>
      <c r="D29" s="24">
        <f>+'[4]acumulado a dic 2014'!$C$59</f>
        <v>12.75</v>
      </c>
      <c r="E29" s="24" t="s">
        <v>129</v>
      </c>
      <c r="F29" s="56">
        <v>12</v>
      </c>
      <c r="G29" s="55">
        <v>13</v>
      </c>
      <c r="H29" s="55">
        <v>13</v>
      </c>
      <c r="I29" s="55">
        <v>0</v>
      </c>
      <c r="J29" s="55">
        <f>AVERAGE(F29:I29)</f>
        <v>9.5</v>
      </c>
      <c r="K29" s="44"/>
      <c r="L29" s="44"/>
      <c r="M29" s="45" t="s">
        <v>173</v>
      </c>
    </row>
    <row r="30" spans="1:14" ht="21.75" customHeight="1">
      <c r="A30" s="882" t="s">
        <v>23</v>
      </c>
      <c r="B30" s="883"/>
      <c r="C30" s="883"/>
      <c r="D30" s="883"/>
      <c r="E30" s="883"/>
      <c r="F30" s="883"/>
      <c r="G30" s="883"/>
      <c r="H30" s="883"/>
      <c r="I30" s="883"/>
      <c r="J30" s="883"/>
      <c r="K30" s="883"/>
      <c r="L30" s="883"/>
      <c r="M30" s="884"/>
    </row>
    <row r="31" spans="1:14" ht="111" customHeight="1">
      <c r="A31" s="41">
        <f>A29+1</f>
        <v>13</v>
      </c>
      <c r="B31" s="40" t="s">
        <v>108</v>
      </c>
      <c r="C31" s="23" t="s">
        <v>151</v>
      </c>
      <c r="D31" s="24">
        <f>+'[4]acumulado a dic 2014'!$C$60</f>
        <v>87</v>
      </c>
      <c r="E31" s="24" t="s">
        <v>129</v>
      </c>
      <c r="F31" s="56">
        <v>50</v>
      </c>
      <c r="G31" s="55">
        <v>71</v>
      </c>
      <c r="H31" s="55">
        <v>87</v>
      </c>
      <c r="I31" s="55">
        <v>45</v>
      </c>
      <c r="J31" s="55">
        <f>AVERAGE(F31:I31)</f>
        <v>63.25</v>
      </c>
      <c r="K31" s="48"/>
      <c r="L31" s="48"/>
      <c r="M31" s="45" t="s">
        <v>135</v>
      </c>
    </row>
    <row r="32" spans="1:14" ht="104.25" customHeight="1">
      <c r="A32" s="41">
        <f>A31+1</f>
        <v>14</v>
      </c>
      <c r="B32" s="40" t="s">
        <v>109</v>
      </c>
      <c r="C32" s="23" t="s">
        <v>145</v>
      </c>
      <c r="D32" s="24">
        <f>+'[4]acumulado a dic 2014'!$C$47</f>
        <v>68</v>
      </c>
      <c r="E32" s="24" t="s">
        <v>129</v>
      </c>
      <c r="F32" s="56">
        <v>44</v>
      </c>
      <c r="G32" s="55">
        <v>62</v>
      </c>
      <c r="H32" s="55">
        <v>62</v>
      </c>
      <c r="I32" s="55">
        <v>37</v>
      </c>
      <c r="J32" s="55">
        <f>AVERAGE(F32:I32)</f>
        <v>51.25</v>
      </c>
      <c r="K32" s="48"/>
      <c r="L32" s="48"/>
      <c r="M32" s="45" t="s">
        <v>135</v>
      </c>
    </row>
    <row r="33" spans="1:13" ht="21" customHeight="1">
      <c r="A33" s="882" t="s">
        <v>5</v>
      </c>
      <c r="B33" s="883"/>
      <c r="C33" s="883"/>
      <c r="D33" s="883"/>
      <c r="E33" s="883"/>
      <c r="F33" s="883"/>
      <c r="G33" s="883"/>
      <c r="H33" s="883"/>
      <c r="I33" s="883"/>
      <c r="J33" s="883"/>
      <c r="K33" s="883"/>
      <c r="L33" s="883"/>
      <c r="M33" s="884"/>
    </row>
    <row r="34" spans="1:13" ht="93" customHeight="1">
      <c r="A34" s="41">
        <f>A32+1</f>
        <v>15</v>
      </c>
      <c r="B34" s="40" t="s">
        <v>110</v>
      </c>
      <c r="C34" s="42" t="s">
        <v>153</v>
      </c>
      <c r="D34" s="43">
        <f>+'[4]acumulado a dic 2014'!$C$86</f>
        <v>1</v>
      </c>
      <c r="E34" s="42" t="s">
        <v>142</v>
      </c>
      <c r="F34" s="57">
        <v>1</v>
      </c>
      <c r="G34" s="55">
        <v>1</v>
      </c>
      <c r="H34" s="55">
        <v>1</v>
      </c>
      <c r="I34" s="55">
        <v>1</v>
      </c>
      <c r="J34" s="55">
        <f>AVERAGE(F34:I34)</f>
        <v>1</v>
      </c>
      <c r="K34" s="49"/>
      <c r="L34" s="49"/>
      <c r="M34" s="45"/>
    </row>
    <row r="35" spans="1:13" ht="108.75" customHeight="1">
      <c r="A35" s="41">
        <f>A34+1</f>
        <v>16</v>
      </c>
      <c r="B35" s="40" t="s">
        <v>111</v>
      </c>
      <c r="C35" s="42" t="s">
        <v>153</v>
      </c>
      <c r="D35" s="43">
        <f>+'[4]acumulado a dic 2014'!$C$82</f>
        <v>37</v>
      </c>
      <c r="E35" s="42" t="s">
        <v>131</v>
      </c>
      <c r="F35" s="57">
        <v>37</v>
      </c>
      <c r="G35" s="55">
        <v>37</v>
      </c>
      <c r="H35" s="55">
        <v>37</v>
      </c>
      <c r="I35" s="55">
        <v>37</v>
      </c>
      <c r="J35" s="55">
        <f>AVERAGE(F35:I35)</f>
        <v>37</v>
      </c>
      <c r="K35" s="49"/>
      <c r="L35" s="49"/>
      <c r="M35" s="45" t="s">
        <v>135</v>
      </c>
    </row>
    <row r="36" spans="1:13" ht="117" customHeight="1">
      <c r="A36" s="41">
        <f>A35+1</f>
        <v>17</v>
      </c>
      <c r="B36" s="40" t="s">
        <v>112</v>
      </c>
      <c r="C36" s="42" t="s">
        <v>153</v>
      </c>
      <c r="D36" s="43">
        <v>63</v>
      </c>
      <c r="E36" s="42" t="s">
        <v>129</v>
      </c>
      <c r="F36" s="57">
        <v>64</v>
      </c>
      <c r="G36" s="55">
        <v>72</v>
      </c>
      <c r="H36" s="55">
        <v>73</v>
      </c>
      <c r="I36" s="55">
        <v>0</v>
      </c>
      <c r="J36" s="55">
        <f>AVERAGE(F36:I36)</f>
        <v>52.25</v>
      </c>
      <c r="K36" s="49"/>
      <c r="L36" s="49"/>
      <c r="M36" s="45" t="s">
        <v>135</v>
      </c>
    </row>
    <row r="37" spans="1:13" ht="53.25" customHeight="1">
      <c r="A37" s="41">
        <f>A36+1</f>
        <v>18</v>
      </c>
      <c r="B37" s="40" t="s">
        <v>113</v>
      </c>
      <c r="C37" s="42" t="s">
        <v>153</v>
      </c>
      <c r="D37" s="43">
        <v>73</v>
      </c>
      <c r="E37" s="42" t="s">
        <v>1</v>
      </c>
      <c r="F37" s="57">
        <v>94</v>
      </c>
      <c r="G37" s="55">
        <v>120</v>
      </c>
      <c r="H37" s="55">
        <v>70</v>
      </c>
      <c r="I37" s="55">
        <v>20</v>
      </c>
      <c r="J37" s="55">
        <f>AVERAGE(F37:I37)</f>
        <v>76</v>
      </c>
      <c r="K37" s="49"/>
      <c r="L37" s="49"/>
      <c r="M37" s="50"/>
    </row>
    <row r="38" spans="1:13" ht="23.25" customHeight="1">
      <c r="A38" s="882" t="s">
        <v>21</v>
      </c>
      <c r="B38" s="883"/>
      <c r="C38" s="883"/>
      <c r="D38" s="883"/>
      <c r="E38" s="883"/>
      <c r="F38" s="883"/>
      <c r="G38" s="883"/>
      <c r="H38" s="883"/>
      <c r="I38" s="883"/>
      <c r="J38" s="883"/>
      <c r="K38" s="883"/>
      <c r="L38" s="883"/>
      <c r="M38" s="884"/>
    </row>
    <row r="39" spans="1:13" ht="72.75" customHeight="1">
      <c r="A39" s="41">
        <f>A37+1</f>
        <v>19</v>
      </c>
      <c r="B39" s="40" t="s">
        <v>114</v>
      </c>
      <c r="C39" s="42" t="s">
        <v>138</v>
      </c>
      <c r="D39" s="43">
        <f>+'[4]acumulado a dic 2014'!$C$25</f>
        <v>7</v>
      </c>
      <c r="E39" s="42" t="s">
        <v>137</v>
      </c>
      <c r="F39" s="57">
        <v>1</v>
      </c>
      <c r="G39" s="55">
        <v>2</v>
      </c>
      <c r="H39" s="55">
        <v>2</v>
      </c>
      <c r="I39" s="55">
        <v>2</v>
      </c>
      <c r="J39" s="55">
        <f>+F39+G39+H39+I39</f>
        <v>7</v>
      </c>
      <c r="K39" s="49"/>
      <c r="L39" s="49"/>
      <c r="M39" s="50"/>
    </row>
    <row r="40" spans="1:13" ht="55.5" customHeight="1">
      <c r="A40" s="41">
        <f>A39+1</f>
        <v>20</v>
      </c>
      <c r="B40" s="40" t="s">
        <v>115</v>
      </c>
      <c r="C40" s="42" t="s">
        <v>139</v>
      </c>
      <c r="D40" s="43">
        <f>+'[4]acumulado a dic 2014'!$C$136</f>
        <v>1.75</v>
      </c>
      <c r="E40" s="42" t="s">
        <v>130</v>
      </c>
      <c r="F40" s="57">
        <v>1</v>
      </c>
      <c r="G40" s="55">
        <v>2</v>
      </c>
      <c r="H40" s="55">
        <v>2</v>
      </c>
      <c r="I40" s="55">
        <v>2</v>
      </c>
      <c r="J40" s="55">
        <f>AVERAGE(F40:I40)</f>
        <v>1.75</v>
      </c>
      <c r="K40" s="49"/>
      <c r="L40" s="49"/>
      <c r="M40" s="50"/>
    </row>
    <row r="41" spans="1:13" ht="105.75" customHeight="1">
      <c r="A41" s="41">
        <f>A40+1</f>
        <v>21</v>
      </c>
      <c r="B41" s="40" t="s">
        <v>116</v>
      </c>
      <c r="C41" s="42" t="s">
        <v>139</v>
      </c>
      <c r="D41" s="43">
        <v>55</v>
      </c>
      <c r="E41" s="42" t="s">
        <v>129</v>
      </c>
      <c r="F41" s="57">
        <v>20</v>
      </c>
      <c r="G41" s="55">
        <v>40</v>
      </c>
      <c r="H41" s="55">
        <v>60</v>
      </c>
      <c r="I41" s="55">
        <v>30</v>
      </c>
      <c r="J41" s="55">
        <f>AVERAGE(F41:I41)</f>
        <v>37.5</v>
      </c>
      <c r="K41" s="49"/>
      <c r="L41" s="49"/>
      <c r="M41" s="45" t="s">
        <v>135</v>
      </c>
    </row>
    <row r="42" spans="1:13" ht="21.75" customHeight="1">
      <c r="A42" s="882" t="s">
        <v>22</v>
      </c>
      <c r="B42" s="883"/>
      <c r="C42" s="883"/>
      <c r="D42" s="883"/>
      <c r="E42" s="883"/>
      <c r="F42" s="883"/>
      <c r="G42" s="883"/>
      <c r="H42" s="883"/>
      <c r="I42" s="883"/>
      <c r="J42" s="883"/>
      <c r="K42" s="883"/>
      <c r="L42" s="883"/>
      <c r="M42" s="884"/>
    </row>
    <row r="43" spans="1:13" ht="54.75" customHeight="1">
      <c r="A43" s="41">
        <f>A41+1</f>
        <v>22</v>
      </c>
      <c r="B43" s="40" t="s">
        <v>117</v>
      </c>
      <c r="C43" s="42" t="s">
        <v>152</v>
      </c>
      <c r="D43" s="43">
        <f>+'[4]acumulado a dic 2014'!$C$66</f>
        <v>37</v>
      </c>
      <c r="E43" s="42" t="s">
        <v>131</v>
      </c>
      <c r="F43" s="57">
        <v>37</v>
      </c>
      <c r="G43" s="55">
        <v>37</v>
      </c>
      <c r="H43" s="55">
        <v>37</v>
      </c>
      <c r="I43" s="55">
        <v>17</v>
      </c>
      <c r="J43" s="55">
        <f>AVERAGE(F43:I43)</f>
        <v>32</v>
      </c>
      <c r="K43" s="49"/>
      <c r="L43" s="49"/>
      <c r="M43" s="50"/>
    </row>
    <row r="44" spans="1:13" ht="69.75" customHeight="1">
      <c r="A44" s="41">
        <f>A43+1</f>
        <v>23</v>
      </c>
      <c r="B44" s="40" t="s">
        <v>118</v>
      </c>
      <c r="C44" s="42" t="s">
        <v>140</v>
      </c>
      <c r="D44" s="43">
        <f>+'[4]acumulado a dic 2014'!$C$74</f>
        <v>37</v>
      </c>
      <c r="E44" s="42" t="s">
        <v>131</v>
      </c>
      <c r="F44" s="57">
        <v>37</v>
      </c>
      <c r="G44" s="55">
        <v>37</v>
      </c>
      <c r="H44" s="55">
        <v>37</v>
      </c>
      <c r="I44" s="55">
        <v>16</v>
      </c>
      <c r="J44" s="55">
        <f>AVERAGE(F44:I44)</f>
        <v>31.75</v>
      </c>
      <c r="K44" s="49"/>
      <c r="L44" s="49"/>
      <c r="M44" s="50"/>
    </row>
    <row r="45" spans="1:13" ht="21.75" customHeight="1">
      <c r="A45" s="882">
        <v>38</v>
      </c>
      <c r="B45" s="883"/>
      <c r="C45" s="883"/>
      <c r="D45" s="883"/>
      <c r="E45" s="883"/>
      <c r="F45" s="883"/>
      <c r="G45" s="883"/>
      <c r="H45" s="883"/>
      <c r="I45" s="883"/>
      <c r="J45" s="883"/>
      <c r="K45" s="883"/>
      <c r="L45" s="883"/>
      <c r="M45" s="884"/>
    </row>
    <row r="46" spans="1:13" ht="108.75" customHeight="1">
      <c r="A46" s="41">
        <f>A44+1</f>
        <v>24</v>
      </c>
      <c r="B46" s="40" t="s">
        <v>119</v>
      </c>
      <c r="C46" s="42" t="s">
        <v>153</v>
      </c>
      <c r="D46" s="43">
        <v>38</v>
      </c>
      <c r="E46" s="42" t="s">
        <v>129</v>
      </c>
      <c r="F46" s="57">
        <v>100</v>
      </c>
      <c r="G46" s="55">
        <v>100</v>
      </c>
      <c r="H46" s="55">
        <v>75</v>
      </c>
      <c r="I46" s="55">
        <v>32</v>
      </c>
      <c r="J46" s="55">
        <f>AVERAGE(F46:I46)</f>
        <v>76.75</v>
      </c>
      <c r="K46" s="49"/>
      <c r="L46" s="49"/>
      <c r="M46" s="45" t="s">
        <v>135</v>
      </c>
    </row>
    <row r="47" spans="1:13" ht="69" customHeight="1" thickBot="1">
      <c r="A47" s="51">
        <f>A46+1</f>
        <v>25</v>
      </c>
      <c r="B47" s="52" t="s">
        <v>120</v>
      </c>
      <c r="C47" s="53" t="s">
        <v>141</v>
      </c>
      <c r="D47" s="43">
        <v>60</v>
      </c>
      <c r="E47" s="42" t="s">
        <v>132</v>
      </c>
      <c r="F47" s="57">
        <v>35</v>
      </c>
      <c r="G47" s="55">
        <v>60</v>
      </c>
      <c r="H47" s="55">
        <v>60</v>
      </c>
      <c r="I47" s="55">
        <v>60</v>
      </c>
      <c r="J47" s="55">
        <f>AVERAGE(F47:I47)</f>
        <v>53.75</v>
      </c>
      <c r="K47" s="49"/>
      <c r="L47" s="49"/>
      <c r="M47" s="49"/>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workbookViewId="0">
      <selection activeCell="B28" sqref="B28"/>
    </sheetView>
  </sheetViews>
  <sheetFormatPr baseColWidth="10" defaultRowHeight="12.75"/>
  <cols>
    <col min="1" max="1" width="11.5703125" customWidth="1"/>
    <col min="2" max="2" width="39.140625" customWidth="1"/>
    <col min="3" max="3" width="21" customWidth="1"/>
    <col min="4" max="4" width="24.28515625" customWidth="1"/>
  </cols>
  <sheetData>
    <row r="2" spans="1:7">
      <c r="A2" s="79"/>
      <c r="B2" s="894" t="s">
        <v>199</v>
      </c>
      <c r="C2" s="894"/>
      <c r="D2" s="894"/>
      <c r="E2" s="100"/>
      <c r="F2" s="100"/>
      <c r="G2" s="100"/>
    </row>
    <row r="3" spans="1:7">
      <c r="A3" s="79"/>
      <c r="B3" s="894" t="s">
        <v>200</v>
      </c>
      <c r="C3" s="894"/>
      <c r="D3" s="894"/>
      <c r="E3" s="100"/>
      <c r="F3" s="100"/>
      <c r="G3" s="100"/>
    </row>
    <row r="4" spans="1:7">
      <c r="A4" s="79"/>
      <c r="B4" s="894" t="s">
        <v>201</v>
      </c>
      <c r="C4" s="894"/>
      <c r="D4" s="894"/>
      <c r="E4" s="100"/>
      <c r="F4" s="100"/>
      <c r="G4" s="100"/>
    </row>
    <row r="5" spans="1:7">
      <c r="A5" s="79"/>
      <c r="B5" s="895" t="s">
        <v>202</v>
      </c>
      <c r="C5" s="895"/>
      <c r="D5" s="895"/>
      <c r="E5" s="96"/>
      <c r="F5" s="96"/>
      <c r="G5" s="96"/>
    </row>
    <row r="6" spans="1:7">
      <c r="A6" s="80"/>
      <c r="B6" s="81" t="s">
        <v>203</v>
      </c>
      <c r="C6" s="81" t="s">
        <v>204</v>
      </c>
      <c r="D6" s="81" t="s">
        <v>205</v>
      </c>
    </row>
    <row r="7" spans="1:7">
      <c r="A7" s="82">
        <v>3000</v>
      </c>
      <c r="B7" s="83" t="s">
        <v>206</v>
      </c>
      <c r="C7" s="101">
        <f>SUM(C8+C34)</f>
        <v>27753409871</v>
      </c>
      <c r="D7" s="101">
        <f>SUM(D8+D34)</f>
        <v>19966603344.200001</v>
      </c>
    </row>
    <row r="8" spans="1:7">
      <c r="A8" s="84">
        <v>3100</v>
      </c>
      <c r="B8" s="85" t="s">
        <v>207</v>
      </c>
      <c r="C8" s="102">
        <f>SUM(C9+C13)</f>
        <v>18275427451</v>
      </c>
      <c r="D8" s="102">
        <f>SUM(D9+D13)</f>
        <v>9714095075</v>
      </c>
    </row>
    <row r="9" spans="1:7">
      <c r="A9" s="86">
        <v>3110</v>
      </c>
      <c r="B9" s="87" t="s">
        <v>208</v>
      </c>
      <c r="C9" s="103">
        <f>SUM(C10:C12)</f>
        <v>7504817620</v>
      </c>
      <c r="D9" s="103">
        <f>SUM(D10:D12)</f>
        <v>3796736345</v>
      </c>
    </row>
    <row r="10" spans="1:7">
      <c r="A10" s="88"/>
      <c r="B10" s="89" t="s">
        <v>209</v>
      </c>
      <c r="C10" s="104"/>
      <c r="D10" s="104"/>
    </row>
    <row r="11" spans="1:7">
      <c r="A11" s="88"/>
      <c r="B11" s="89" t="s">
        <v>210</v>
      </c>
      <c r="C11" s="104">
        <v>7504817620</v>
      </c>
      <c r="D11" s="104">
        <v>3796736345</v>
      </c>
    </row>
    <row r="12" spans="1:7">
      <c r="A12" s="88"/>
      <c r="B12" s="89" t="s">
        <v>211</v>
      </c>
      <c r="C12" s="104"/>
      <c r="D12" s="104"/>
    </row>
    <row r="13" spans="1:7">
      <c r="A13" s="86">
        <v>3120</v>
      </c>
      <c r="B13" s="87" t="s">
        <v>212</v>
      </c>
      <c r="C13" s="103">
        <f>SUM(C14+C18+C19+C20+C21+C26)</f>
        <v>10770609831</v>
      </c>
      <c r="D13" s="103">
        <f>SUM(D14+D18+D19+D20+D21+D26)</f>
        <v>5917358730</v>
      </c>
    </row>
    <row r="14" spans="1:7">
      <c r="A14" s="88">
        <v>3121</v>
      </c>
      <c r="B14" s="90" t="s">
        <v>213</v>
      </c>
      <c r="C14" s="105">
        <f>SUM(C15:C17)</f>
        <v>388224373</v>
      </c>
      <c r="D14" s="105">
        <f>SUM(D15:D17)</f>
        <v>219297776</v>
      </c>
    </row>
    <row r="15" spans="1:7">
      <c r="A15" s="88"/>
      <c r="B15" s="89" t="s">
        <v>213</v>
      </c>
      <c r="C15" s="104">
        <v>0</v>
      </c>
      <c r="D15" s="104">
        <v>0</v>
      </c>
    </row>
    <row r="16" spans="1:7">
      <c r="A16" s="88"/>
      <c r="B16" s="89" t="s">
        <v>214</v>
      </c>
      <c r="C16" s="104">
        <v>388224373</v>
      </c>
      <c r="D16" s="104">
        <v>219297776</v>
      </c>
    </row>
    <row r="17" spans="1:4">
      <c r="A17" s="88"/>
      <c r="B17" s="89" t="s">
        <v>215</v>
      </c>
      <c r="C17" s="104">
        <v>0</v>
      </c>
      <c r="D17" s="104">
        <v>0</v>
      </c>
    </row>
    <row r="18" spans="1:4">
      <c r="A18" s="88">
        <v>3123</v>
      </c>
      <c r="B18" s="90" t="s">
        <v>216</v>
      </c>
      <c r="C18" s="105">
        <v>0</v>
      </c>
      <c r="D18" s="105">
        <v>0</v>
      </c>
    </row>
    <row r="19" spans="1:4">
      <c r="A19" s="88">
        <v>3124</v>
      </c>
      <c r="B19" s="90" t="s">
        <v>217</v>
      </c>
      <c r="C19" s="105">
        <v>0</v>
      </c>
      <c r="D19" s="105">
        <v>0</v>
      </c>
    </row>
    <row r="20" spans="1:4">
      <c r="A20" s="88">
        <v>3125</v>
      </c>
      <c r="B20" s="90" t="s">
        <v>218</v>
      </c>
      <c r="C20" s="105">
        <v>0</v>
      </c>
      <c r="D20" s="105">
        <v>0</v>
      </c>
    </row>
    <row r="21" spans="1:4">
      <c r="A21" s="88">
        <v>3126</v>
      </c>
      <c r="B21" s="90" t="s">
        <v>219</v>
      </c>
      <c r="C21" s="105">
        <f>SUM(C22:C25)</f>
        <v>8083120139</v>
      </c>
      <c r="D21" s="105">
        <f>SUM(D22:D25)</f>
        <v>3445509308</v>
      </c>
    </row>
    <row r="22" spans="1:4">
      <c r="A22" s="88"/>
      <c r="B22" s="89" t="s">
        <v>220</v>
      </c>
      <c r="C22" s="104">
        <f>+[5]Hoja1!$F$19</f>
        <v>3461573029</v>
      </c>
      <c r="D22" s="104">
        <f>+[5]Hoja1!$G$19</f>
        <v>852889658</v>
      </c>
    </row>
    <row r="23" spans="1:4">
      <c r="A23" s="88"/>
      <c r="B23" s="89" t="s">
        <v>221</v>
      </c>
      <c r="C23" s="104"/>
      <c r="D23" s="104"/>
    </row>
    <row r="24" spans="1:4">
      <c r="A24" s="88"/>
      <c r="B24" s="89" t="s">
        <v>222</v>
      </c>
      <c r="C24" s="104">
        <v>0</v>
      </c>
      <c r="D24" s="104">
        <v>0</v>
      </c>
    </row>
    <row r="25" spans="1:4">
      <c r="A25" s="88"/>
      <c r="B25" s="89" t="s">
        <v>223</v>
      </c>
      <c r="C25" s="104">
        <f>+[5]Hoja1!$F$21</f>
        <v>4621547110</v>
      </c>
      <c r="D25" s="104">
        <f>+[5]Hoja1!$G$21</f>
        <v>2592619650</v>
      </c>
    </row>
    <row r="26" spans="1:4">
      <c r="A26" s="88">
        <v>3128</v>
      </c>
      <c r="B26" s="90" t="s">
        <v>224</v>
      </c>
      <c r="C26" s="105">
        <f>SUM(C27:C33)</f>
        <v>2299265319</v>
      </c>
      <c r="D26" s="105">
        <f>SUM(D27:D33)</f>
        <v>2252551646</v>
      </c>
    </row>
    <row r="27" spans="1:4">
      <c r="A27" s="88"/>
      <c r="B27" s="89" t="s">
        <v>225</v>
      </c>
      <c r="C27" s="104">
        <f>+[5]Hoja1!$F$15</f>
        <v>919346208</v>
      </c>
      <c r="D27" s="104">
        <f>+[5]Hoja1!$G$15</f>
        <v>248908320</v>
      </c>
    </row>
    <row r="28" spans="1:4">
      <c r="A28" s="88"/>
      <c r="B28" s="89" t="s">
        <v>226</v>
      </c>
      <c r="C28" s="104"/>
      <c r="D28" s="104"/>
    </row>
    <row r="29" spans="1:4">
      <c r="A29" s="88"/>
      <c r="B29" s="89" t="s">
        <v>227</v>
      </c>
      <c r="C29" s="104">
        <f>+[5]Hoja1!$F$14</f>
        <v>949981524</v>
      </c>
      <c r="D29" s="104">
        <f>+[5]Hoja1!$G$14</f>
        <v>212882801</v>
      </c>
    </row>
    <row r="30" spans="1:4">
      <c r="A30" s="88"/>
      <c r="B30" s="89" t="s">
        <v>228</v>
      </c>
      <c r="C30" s="104">
        <f>+[5]Hoja1!$F$17</f>
        <v>46305000</v>
      </c>
      <c r="D30" s="104">
        <f>+[5]Hoja1!$G$17</f>
        <v>1678499994</v>
      </c>
    </row>
    <row r="31" spans="1:4">
      <c r="A31" s="88"/>
      <c r="B31" s="89" t="s">
        <v>229</v>
      </c>
      <c r="C31" s="104"/>
      <c r="D31" s="104"/>
    </row>
    <row r="32" spans="1:4">
      <c r="A32" s="88"/>
      <c r="B32" s="89" t="s">
        <v>230</v>
      </c>
      <c r="C32" s="104">
        <f>+[5]Hoja1!$F$16</f>
        <v>321630192</v>
      </c>
      <c r="D32" s="104">
        <f>+[5]Hoja1!$G$16</f>
        <v>79974650</v>
      </c>
    </row>
    <row r="33" spans="1:4">
      <c r="A33" s="88"/>
      <c r="B33" s="89" t="s">
        <v>224</v>
      </c>
      <c r="C33" s="104">
        <f>+[5]Hoja1!$F$20</f>
        <v>62002395</v>
      </c>
      <c r="D33" s="104">
        <f>+[5]Hoja1!$G$20</f>
        <v>32285881</v>
      </c>
    </row>
    <row r="34" spans="1:4">
      <c r="A34" s="84">
        <v>3200</v>
      </c>
      <c r="B34" s="85" t="s">
        <v>231</v>
      </c>
      <c r="C34" s="102">
        <f>SUM(C35+C38+C41+C42+C48+C49)</f>
        <v>9477982420</v>
      </c>
      <c r="D34" s="102">
        <f>+[5]Hoja1!$G$27</f>
        <v>10252508269.200001</v>
      </c>
    </row>
    <row r="35" spans="1:4">
      <c r="A35" s="88">
        <v>3210</v>
      </c>
      <c r="B35" s="91" t="s">
        <v>232</v>
      </c>
      <c r="C35" s="106">
        <v>0</v>
      </c>
      <c r="D35" s="106">
        <v>0</v>
      </c>
    </row>
    <row r="36" spans="1:4">
      <c r="A36" s="92">
        <v>3211</v>
      </c>
      <c r="B36" s="89" t="s">
        <v>233</v>
      </c>
      <c r="C36" s="104">
        <v>0</v>
      </c>
      <c r="D36" s="104">
        <v>0</v>
      </c>
    </row>
    <row r="37" spans="1:4">
      <c r="A37" s="92">
        <v>3212</v>
      </c>
      <c r="B37" s="89" t="s">
        <v>234</v>
      </c>
      <c r="C37" s="104">
        <v>0</v>
      </c>
      <c r="D37" s="104">
        <v>0</v>
      </c>
    </row>
    <row r="38" spans="1:4">
      <c r="A38" s="88">
        <v>3220</v>
      </c>
      <c r="B38" s="91" t="s">
        <v>235</v>
      </c>
      <c r="C38" s="106">
        <v>0</v>
      </c>
      <c r="D38" s="106">
        <v>0</v>
      </c>
    </row>
    <row r="39" spans="1:4">
      <c r="A39" s="92">
        <v>3221</v>
      </c>
      <c r="B39" s="89" t="s">
        <v>233</v>
      </c>
      <c r="C39" s="104">
        <v>0</v>
      </c>
      <c r="D39" s="104">
        <v>0</v>
      </c>
    </row>
    <row r="40" spans="1:4">
      <c r="A40" s="92">
        <v>3222</v>
      </c>
      <c r="B40" s="89" t="s">
        <v>234</v>
      </c>
      <c r="C40" s="104">
        <v>0</v>
      </c>
      <c r="D40" s="104">
        <v>0</v>
      </c>
    </row>
    <row r="41" spans="1:4">
      <c r="A41" s="88">
        <v>3230</v>
      </c>
      <c r="B41" s="91" t="s">
        <v>236</v>
      </c>
      <c r="C41" s="107">
        <f>+[5]Hoja1!$F$28</f>
        <v>333711102</v>
      </c>
      <c r="D41" s="107">
        <f>+[5]Hoja1!$G$28</f>
        <v>194092408.19999999</v>
      </c>
    </row>
    <row r="42" spans="1:4">
      <c r="A42" s="88">
        <v>3250</v>
      </c>
      <c r="B42" s="91" t="s">
        <v>237</v>
      </c>
      <c r="C42" s="107">
        <f>SUM(C43:C47)</f>
        <v>9144271318</v>
      </c>
      <c r="D42" s="107">
        <f>SUM(D43:D47)</f>
        <v>10058415861</v>
      </c>
    </row>
    <row r="43" spans="1:4">
      <c r="A43" s="92">
        <v>3251</v>
      </c>
      <c r="B43" s="89" t="s">
        <v>238</v>
      </c>
      <c r="C43" s="104">
        <v>0</v>
      </c>
      <c r="D43" s="104">
        <v>0</v>
      </c>
    </row>
    <row r="44" spans="1:4">
      <c r="A44" s="92">
        <v>3252</v>
      </c>
      <c r="B44" s="89" t="s">
        <v>239</v>
      </c>
      <c r="C44" s="104">
        <f>+[5]Hoja1!$F$29</f>
        <v>6488128161</v>
      </c>
      <c r="D44" s="104">
        <f>+[5]Hoja1!$G$29</f>
        <v>6488128161</v>
      </c>
    </row>
    <row r="45" spans="1:4">
      <c r="A45" s="92">
        <v>3253</v>
      </c>
      <c r="B45" s="89" t="s">
        <v>240</v>
      </c>
      <c r="C45" s="104">
        <v>0</v>
      </c>
      <c r="D45" s="104">
        <v>0</v>
      </c>
    </row>
    <row r="46" spans="1:4">
      <c r="A46" s="92">
        <v>3254</v>
      </c>
      <c r="B46" s="89" t="s">
        <v>241</v>
      </c>
      <c r="C46" s="104">
        <f>+[5]Hoja1!$F$30</f>
        <v>2656143157</v>
      </c>
      <c r="D46" s="104">
        <f>+[5]Hoja1!$G$30</f>
        <v>3570287700</v>
      </c>
    </row>
    <row r="47" spans="1:4">
      <c r="A47" s="92">
        <v>3255</v>
      </c>
      <c r="B47" s="89" t="s">
        <v>242</v>
      </c>
      <c r="C47" s="104">
        <v>0</v>
      </c>
      <c r="D47" s="104">
        <v>0</v>
      </c>
    </row>
    <row r="48" spans="1:4">
      <c r="A48" s="88">
        <v>3260</v>
      </c>
      <c r="B48" s="91" t="s">
        <v>243</v>
      </c>
      <c r="C48" s="106">
        <v>0</v>
      </c>
      <c r="D48" s="106">
        <v>0</v>
      </c>
    </row>
    <row r="49" spans="1:4">
      <c r="A49" s="84">
        <v>3500</v>
      </c>
      <c r="B49" s="85" t="s">
        <v>244</v>
      </c>
      <c r="C49" s="102">
        <v>0</v>
      </c>
      <c r="D49" s="102">
        <v>0</v>
      </c>
    </row>
    <row r="50" spans="1:4">
      <c r="A50" s="82">
        <v>4000</v>
      </c>
      <c r="B50" s="93" t="s">
        <v>245</v>
      </c>
      <c r="C50" s="101">
        <f>SUM(C51:C54)</f>
        <v>3280302000</v>
      </c>
      <c r="D50" s="101">
        <f>SUM(D51:D54)</f>
        <v>682759171</v>
      </c>
    </row>
    <row r="51" spans="1:4">
      <c r="A51" s="94">
        <v>4100</v>
      </c>
      <c r="B51" s="95" t="s">
        <v>246</v>
      </c>
      <c r="C51" s="108">
        <f>+'[6]FUNCIONAMIENTO '!$I$49</f>
        <v>1740302000</v>
      </c>
      <c r="D51" s="108">
        <f>+[5]Hoja1!$G$36</f>
        <v>682759171</v>
      </c>
    </row>
    <row r="52" spans="1:4">
      <c r="A52" s="94">
        <v>4200</v>
      </c>
      <c r="B52" s="95" t="s">
        <v>247</v>
      </c>
      <c r="C52" s="109">
        <v>0</v>
      </c>
      <c r="D52" s="109">
        <v>0</v>
      </c>
    </row>
    <row r="53" spans="1:4">
      <c r="A53" s="94">
        <v>4300</v>
      </c>
      <c r="B53" s="95" t="s">
        <v>248</v>
      </c>
      <c r="C53" s="109">
        <f>+[6]INVERSION!$H$39</f>
        <v>1540000000</v>
      </c>
      <c r="D53" s="109">
        <v>0</v>
      </c>
    </row>
    <row r="54" spans="1:4">
      <c r="A54" s="94">
        <v>41001</v>
      </c>
      <c r="B54" s="95" t="s">
        <v>249</v>
      </c>
      <c r="C54" s="109">
        <v>0</v>
      </c>
      <c r="D54" s="109">
        <v>0</v>
      </c>
    </row>
    <row r="55" spans="1:4">
      <c r="A55" s="82"/>
      <c r="B55" s="82" t="s">
        <v>250</v>
      </c>
      <c r="C55" s="101">
        <f>SUM(C7+C50)</f>
        <v>31033711871</v>
      </c>
      <c r="D55" s="101">
        <f>SUM(D7+D50)</f>
        <v>20649362515.200001</v>
      </c>
    </row>
    <row r="56" spans="1:4">
      <c r="A56" s="96"/>
      <c r="B56" s="96"/>
      <c r="C56" s="97" t="s">
        <v>251</v>
      </c>
      <c r="D56" s="96"/>
    </row>
    <row r="57" spans="1:4">
      <c r="A57" s="96"/>
      <c r="B57" s="98" t="s">
        <v>252</v>
      </c>
      <c r="C57" s="96"/>
      <c r="D57" s="96"/>
    </row>
    <row r="58" spans="1:4">
      <c r="A58" s="96"/>
      <c r="B58" s="96"/>
      <c r="C58" s="99" t="s">
        <v>251</v>
      </c>
      <c r="D58" s="96"/>
    </row>
    <row r="59" spans="1:4">
      <c r="A59" s="96"/>
      <c r="B59" s="96"/>
      <c r="C59" s="110" t="s">
        <v>251</v>
      </c>
      <c r="D59" s="96"/>
    </row>
    <row r="60" spans="1:4">
      <c r="A60" s="96"/>
      <c r="B60" s="96"/>
      <c r="C60" s="96"/>
      <c r="D60" s="96"/>
    </row>
    <row r="61" spans="1:4">
      <c r="A61" s="96"/>
      <c r="B61" s="96"/>
      <c r="C61" s="96"/>
      <c r="D61" s="96"/>
    </row>
    <row r="62" spans="1:4">
      <c r="A62" s="96"/>
      <c r="B62" s="96"/>
      <c r="C62" s="96"/>
      <c r="D62" s="96"/>
    </row>
    <row r="63" spans="1:4">
      <c r="A63" s="96"/>
      <c r="B63" s="96"/>
      <c r="C63" s="96"/>
      <c r="D63" s="96"/>
    </row>
  </sheetData>
  <mergeCells count="4">
    <mergeCell ref="B2:D2"/>
    <mergeCell ref="B3:D3"/>
    <mergeCell ref="B4:D4"/>
    <mergeCell ref="B5:D5"/>
  </mergeCells>
  <pageMargins left="0.78740157480314965" right="0.74803149606299213" top="0.39370078740157483" bottom="0.39370078740157483"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75" workbookViewId="0">
      <selection activeCell="H33" sqref="H32:H33"/>
    </sheetView>
  </sheetViews>
  <sheetFormatPr baseColWidth="10" defaultRowHeight="12.75"/>
  <cols>
    <col min="1" max="1" width="41.42578125" style="112" customWidth="1"/>
    <col min="2" max="2" width="21.140625" style="112" customWidth="1"/>
    <col min="3" max="3" width="17.85546875" style="112" customWidth="1"/>
    <col min="4" max="4" width="16.7109375" style="112" customWidth="1"/>
    <col min="5" max="6" width="18.5703125" style="112" customWidth="1"/>
    <col min="7" max="7" width="18.140625" style="112" customWidth="1"/>
    <col min="8" max="8" width="16.85546875" style="112" bestFit="1" customWidth="1"/>
    <col min="9" max="16384" width="11.42578125" style="112"/>
  </cols>
  <sheetData>
    <row r="1" spans="1:8" ht="16.5" customHeight="1">
      <c r="A1" s="111"/>
      <c r="B1" s="111"/>
      <c r="C1" s="111"/>
      <c r="D1" s="111"/>
      <c r="E1" s="111"/>
      <c r="F1" s="111"/>
      <c r="G1" s="111"/>
    </row>
    <row r="2" spans="1:8">
      <c r="A2" s="111"/>
      <c r="B2" s="111"/>
      <c r="C2" s="111"/>
      <c r="D2" s="111"/>
      <c r="E2" s="111"/>
      <c r="F2" s="111"/>
      <c r="G2" s="111"/>
    </row>
    <row r="3" spans="1:8">
      <c r="A3" s="113" t="s">
        <v>253</v>
      </c>
      <c r="B3" s="113"/>
      <c r="C3" s="113"/>
      <c r="D3" s="113"/>
      <c r="E3" s="113"/>
      <c r="F3" s="113"/>
      <c r="G3" s="113"/>
    </row>
    <row r="4" spans="1:8">
      <c r="A4" s="114" t="s">
        <v>254</v>
      </c>
      <c r="B4" s="114"/>
      <c r="C4" s="114"/>
      <c r="D4" s="114"/>
      <c r="E4" s="114"/>
      <c r="F4" s="114"/>
      <c r="G4" s="114"/>
    </row>
    <row r="5" spans="1:8">
      <c r="A5" s="114" t="s">
        <v>255</v>
      </c>
      <c r="B5" s="114"/>
      <c r="C5" s="114"/>
      <c r="D5" s="114"/>
      <c r="E5" s="114"/>
      <c r="F5" s="114"/>
      <c r="G5" s="114"/>
    </row>
    <row r="6" spans="1:8" ht="17.25" customHeight="1" thickBot="1">
      <c r="A6" s="115" t="s">
        <v>256</v>
      </c>
      <c r="B6" s="116"/>
      <c r="C6" s="116"/>
      <c r="D6" s="116"/>
      <c r="E6" s="116"/>
      <c r="F6" s="116"/>
      <c r="G6" s="116"/>
    </row>
    <row r="7" spans="1:8" ht="33" customHeight="1">
      <c r="A7" s="896" t="s">
        <v>257</v>
      </c>
      <c r="B7" s="898" t="s">
        <v>258</v>
      </c>
      <c r="C7" s="899"/>
      <c r="D7" s="898" t="s">
        <v>259</v>
      </c>
      <c r="E7" s="899"/>
      <c r="F7" s="898" t="s">
        <v>260</v>
      </c>
      <c r="G7" s="900"/>
    </row>
    <row r="8" spans="1:8" ht="21.75" customHeight="1">
      <c r="A8" s="897"/>
      <c r="B8" s="117" t="s">
        <v>261</v>
      </c>
      <c r="C8" s="117" t="s">
        <v>262</v>
      </c>
      <c r="D8" s="117" t="s">
        <v>261</v>
      </c>
      <c r="E8" s="117" t="s">
        <v>262</v>
      </c>
      <c r="F8" s="117" t="s">
        <v>261</v>
      </c>
      <c r="G8" s="118" t="s">
        <v>262</v>
      </c>
    </row>
    <row r="9" spans="1:8">
      <c r="A9" s="119" t="s">
        <v>263</v>
      </c>
      <c r="B9" s="120">
        <v>2005872393</v>
      </c>
      <c r="C9" s="120">
        <v>844359454</v>
      </c>
      <c r="D9" s="120">
        <v>1708062000</v>
      </c>
      <c r="E9" s="120">
        <v>957550419</v>
      </c>
      <c r="F9" s="120">
        <f>+B9+D9</f>
        <v>3713934393</v>
      </c>
      <c r="G9" s="121">
        <f>+C9+E9</f>
        <v>1801909873</v>
      </c>
      <c r="H9" s="122" t="s">
        <v>251</v>
      </c>
    </row>
    <row r="10" spans="1:8">
      <c r="A10" s="119" t="s">
        <v>264</v>
      </c>
      <c r="B10" s="120">
        <f t="shared" ref="B10:G10" si="0">+B11+B12+B13</f>
        <v>1757668695</v>
      </c>
      <c r="C10" s="120">
        <f t="shared" si="0"/>
        <v>656590451</v>
      </c>
      <c r="D10" s="120">
        <f t="shared" si="0"/>
        <v>22374000</v>
      </c>
      <c r="E10" s="120">
        <f t="shared" si="0"/>
        <v>21140000</v>
      </c>
      <c r="F10" s="120">
        <f t="shared" si="0"/>
        <v>1780042695</v>
      </c>
      <c r="G10" s="121">
        <f t="shared" si="0"/>
        <v>677730451</v>
      </c>
    </row>
    <row r="11" spans="1:8">
      <c r="A11" s="123" t="s">
        <v>265</v>
      </c>
      <c r="B11" s="124">
        <v>535384974</v>
      </c>
      <c r="C11" s="124">
        <v>192326440</v>
      </c>
      <c r="D11" s="124">
        <v>0</v>
      </c>
      <c r="E11" s="124"/>
      <c r="F11" s="124">
        <f t="shared" ref="F11:G13" si="1">+B11+D11</f>
        <v>535384974</v>
      </c>
      <c r="G11" s="125">
        <f t="shared" si="1"/>
        <v>192326440</v>
      </c>
    </row>
    <row r="12" spans="1:8">
      <c r="A12" s="123" t="s">
        <v>266</v>
      </c>
      <c r="B12" s="124">
        <v>1175742721</v>
      </c>
      <c r="C12" s="124">
        <v>424028731</v>
      </c>
      <c r="D12" s="124">
        <v>21140000</v>
      </c>
      <c r="E12" s="124">
        <v>21140000</v>
      </c>
      <c r="F12" s="124">
        <f t="shared" si="1"/>
        <v>1196882721</v>
      </c>
      <c r="G12" s="125">
        <f t="shared" si="1"/>
        <v>445168731</v>
      </c>
    </row>
    <row r="13" spans="1:8">
      <c r="A13" s="123" t="s">
        <v>267</v>
      </c>
      <c r="B13" s="124">
        <v>46541000</v>
      </c>
      <c r="C13" s="124">
        <v>40235280</v>
      </c>
      <c r="D13" s="124">
        <v>1234000</v>
      </c>
      <c r="E13" s="124">
        <v>0</v>
      </c>
      <c r="F13" s="124">
        <f t="shared" si="1"/>
        <v>47775000</v>
      </c>
      <c r="G13" s="125">
        <f t="shared" si="1"/>
        <v>40235280</v>
      </c>
    </row>
    <row r="14" spans="1:8">
      <c r="A14" s="119" t="s">
        <v>268</v>
      </c>
      <c r="B14" s="120">
        <f t="shared" ref="B14:G14" si="2">+B15</f>
        <v>1333533655</v>
      </c>
      <c r="C14" s="120">
        <f t="shared" si="2"/>
        <v>484265261</v>
      </c>
      <c r="D14" s="120">
        <f t="shared" si="2"/>
        <v>9866000</v>
      </c>
      <c r="E14" s="120">
        <f t="shared" si="2"/>
        <v>0</v>
      </c>
      <c r="F14" s="120">
        <f t="shared" si="2"/>
        <v>1343399655</v>
      </c>
      <c r="G14" s="121">
        <f t="shared" si="2"/>
        <v>484265261</v>
      </c>
    </row>
    <row r="15" spans="1:8">
      <c r="A15" s="119" t="s">
        <v>269</v>
      </c>
      <c r="B15" s="120">
        <f t="shared" ref="B15:G15" si="3">+B16+B17+B18</f>
        <v>1333533655</v>
      </c>
      <c r="C15" s="120">
        <f t="shared" si="3"/>
        <v>484265261</v>
      </c>
      <c r="D15" s="120">
        <f t="shared" si="3"/>
        <v>9866000</v>
      </c>
      <c r="E15" s="120">
        <f t="shared" si="3"/>
        <v>0</v>
      </c>
      <c r="F15" s="120">
        <f t="shared" si="3"/>
        <v>1343399655</v>
      </c>
      <c r="G15" s="121">
        <f t="shared" si="3"/>
        <v>484265261</v>
      </c>
    </row>
    <row r="16" spans="1:8">
      <c r="A16" s="123" t="s">
        <v>270</v>
      </c>
      <c r="B16" s="124">
        <v>20134000</v>
      </c>
      <c r="C16" s="124">
        <v>0</v>
      </c>
      <c r="D16" s="124">
        <v>9866000</v>
      </c>
      <c r="E16" s="124">
        <f>+[7]FUNCIONAMIENTO!$T$64</f>
        <v>0</v>
      </c>
      <c r="F16" s="124">
        <f t="shared" ref="F16:G18" si="4">+B16+D16</f>
        <v>30000000</v>
      </c>
      <c r="G16" s="125">
        <f t="shared" si="4"/>
        <v>0</v>
      </c>
    </row>
    <row r="17" spans="1:8">
      <c r="A17" s="123" t="s">
        <v>271</v>
      </c>
      <c r="B17" s="124">
        <v>1290399655</v>
      </c>
      <c r="C17" s="124">
        <v>462256104</v>
      </c>
      <c r="D17" s="124"/>
      <c r="E17" s="124"/>
      <c r="F17" s="124">
        <f t="shared" si="4"/>
        <v>1290399655</v>
      </c>
      <c r="G17" s="125">
        <f t="shared" si="4"/>
        <v>462256104</v>
      </c>
    </row>
    <row r="18" spans="1:8">
      <c r="A18" s="123" t="s">
        <v>211</v>
      </c>
      <c r="B18" s="124">
        <f>+[7]FUNCIONAMIENTO!$I$30</f>
        <v>23000000</v>
      </c>
      <c r="C18" s="124">
        <v>22009157</v>
      </c>
      <c r="D18" s="124"/>
      <c r="E18" s="124"/>
      <c r="F18" s="124">
        <f t="shared" si="4"/>
        <v>23000000</v>
      </c>
      <c r="G18" s="125">
        <f t="shared" si="4"/>
        <v>22009157</v>
      </c>
    </row>
    <row r="19" spans="1:8">
      <c r="A19" s="119" t="s">
        <v>272</v>
      </c>
      <c r="B19" s="120">
        <f t="shared" ref="B19:G19" si="5">+B20+B21</f>
        <v>0</v>
      </c>
      <c r="C19" s="120">
        <f t="shared" si="5"/>
        <v>0</v>
      </c>
      <c r="D19" s="120">
        <f t="shared" si="5"/>
        <v>0</v>
      </c>
      <c r="E19" s="120">
        <f t="shared" si="5"/>
        <v>0</v>
      </c>
      <c r="F19" s="120">
        <f t="shared" si="5"/>
        <v>0</v>
      </c>
      <c r="G19" s="121">
        <f t="shared" si="5"/>
        <v>0</v>
      </c>
    </row>
    <row r="20" spans="1:8">
      <c r="A20" s="123" t="s">
        <v>273</v>
      </c>
      <c r="B20" s="124"/>
      <c r="C20" s="124"/>
      <c r="D20" s="124"/>
      <c r="E20" s="124"/>
      <c r="F20" s="124">
        <f>+B20+D20</f>
        <v>0</v>
      </c>
      <c r="G20" s="125">
        <f>+C20+E20</f>
        <v>0</v>
      </c>
    </row>
    <row r="21" spans="1:8">
      <c r="A21" s="123" t="s">
        <v>274</v>
      </c>
      <c r="B21" s="124"/>
      <c r="C21" s="124"/>
      <c r="D21" s="124"/>
      <c r="E21" s="124"/>
      <c r="F21" s="124">
        <f>+B21+D21</f>
        <v>0</v>
      </c>
      <c r="G21" s="125">
        <f>+C21+E21</f>
        <v>0</v>
      </c>
    </row>
    <row r="22" spans="1:8">
      <c r="A22" s="119" t="s">
        <v>275</v>
      </c>
      <c r="B22" s="120">
        <v>0</v>
      </c>
      <c r="C22" s="120">
        <v>0</v>
      </c>
      <c r="D22" s="120">
        <v>0</v>
      </c>
      <c r="E22" s="120">
        <v>0</v>
      </c>
      <c r="F22" s="120">
        <v>0</v>
      </c>
      <c r="G22" s="121">
        <v>0</v>
      </c>
    </row>
    <row r="23" spans="1:8">
      <c r="A23" s="119" t="s">
        <v>276</v>
      </c>
      <c r="B23" s="120">
        <f t="shared" ref="B23:G23" si="6">+B24</f>
        <v>310000000</v>
      </c>
      <c r="C23" s="120">
        <f t="shared" si="6"/>
        <v>58580659</v>
      </c>
      <c r="D23" s="120">
        <f t="shared" si="6"/>
        <v>0</v>
      </c>
      <c r="E23" s="120">
        <f t="shared" si="6"/>
        <v>0</v>
      </c>
      <c r="F23" s="120">
        <f t="shared" si="6"/>
        <v>310000000</v>
      </c>
      <c r="G23" s="121">
        <f t="shared" si="6"/>
        <v>58580659</v>
      </c>
    </row>
    <row r="24" spans="1:8">
      <c r="A24" s="123" t="s">
        <v>277</v>
      </c>
      <c r="B24" s="124">
        <v>310000000</v>
      </c>
      <c r="C24" s="124">
        <v>58580659</v>
      </c>
      <c r="D24" s="124"/>
      <c r="E24" s="124"/>
      <c r="F24" s="124">
        <f>+B24+D24</f>
        <v>310000000</v>
      </c>
      <c r="G24" s="125">
        <f>+C24+E24</f>
        <v>58580659</v>
      </c>
    </row>
    <row r="25" spans="1:8">
      <c r="A25" s="119" t="s">
        <v>278</v>
      </c>
      <c r="B25" s="120">
        <v>0</v>
      </c>
      <c r="C25" s="120">
        <v>0</v>
      </c>
      <c r="D25" s="120">
        <v>0</v>
      </c>
      <c r="E25" s="120">
        <v>0</v>
      </c>
      <c r="F25" s="120">
        <v>0</v>
      </c>
      <c r="G25" s="121">
        <v>0</v>
      </c>
    </row>
    <row r="26" spans="1:8">
      <c r="A26" s="119" t="s">
        <v>279</v>
      </c>
      <c r="B26" s="120">
        <f>+B9+B10+B14+B19+B22+B23+B25</f>
        <v>5407074743</v>
      </c>
      <c r="C26" s="120">
        <f>+C9+C10+C14+C19+C22+C23+C25</f>
        <v>2043795825</v>
      </c>
      <c r="D26" s="120">
        <f>+D9+D10+D14+D19+D22+D23+D25</f>
        <v>1740302000</v>
      </c>
      <c r="E26" s="120">
        <f>+E9+E10+E14+E19+E22+E23+E25</f>
        <v>978690419</v>
      </c>
      <c r="F26" s="120">
        <f>+F9+F10+F14+F19+F22+F23+F25</f>
        <v>7147376743</v>
      </c>
      <c r="G26" s="125">
        <f t="shared" ref="G26:G53" si="7">+C26+E26</f>
        <v>3022486244</v>
      </c>
      <c r="H26" s="126" t="s">
        <v>251</v>
      </c>
    </row>
    <row r="27" spans="1:8" ht="13.5" thickBot="1">
      <c r="A27" s="127" t="s">
        <v>251</v>
      </c>
      <c r="B27" s="128" t="s">
        <v>251</v>
      </c>
      <c r="C27" s="128" t="s">
        <v>251</v>
      </c>
      <c r="D27" s="128" t="s">
        <v>251</v>
      </c>
      <c r="E27" s="128"/>
      <c r="F27" s="129"/>
      <c r="G27" s="130" t="s">
        <v>251</v>
      </c>
    </row>
    <row r="28" spans="1:8">
      <c r="A28" s="131" t="s">
        <v>280</v>
      </c>
      <c r="B28" s="132">
        <f>+B29+B34+B40+B44+B47+B49</f>
        <v>22346335128</v>
      </c>
      <c r="C28" s="132">
        <f>+C29+C34+C40+C44+C47+C49</f>
        <v>9448616230</v>
      </c>
      <c r="D28" s="132">
        <f>+D29+D34+D40+D44+D47+D49</f>
        <v>1540000000</v>
      </c>
      <c r="E28" s="132">
        <f>+E29+E34+E40+E44+E47+E49</f>
        <v>786270865</v>
      </c>
      <c r="F28" s="132">
        <f t="shared" ref="F28:F53" si="8">+B28+D28</f>
        <v>23886335128</v>
      </c>
      <c r="G28" s="133">
        <f t="shared" si="7"/>
        <v>10234887095</v>
      </c>
      <c r="H28" s="112" t="s">
        <v>251</v>
      </c>
    </row>
    <row r="29" spans="1:8">
      <c r="A29" s="134" t="s">
        <v>281</v>
      </c>
      <c r="B29" s="135">
        <f>+B31+B32+B33</f>
        <v>2439541574</v>
      </c>
      <c r="C29" s="135">
        <f>+C31+C32+C33</f>
        <v>1241009471</v>
      </c>
      <c r="D29" s="135">
        <f>+D31+D32+D33</f>
        <v>0</v>
      </c>
      <c r="E29" s="135">
        <f>+E31+E32+E33</f>
        <v>0</v>
      </c>
      <c r="F29" s="135">
        <f>+F31+F32+F33</f>
        <v>2439541574</v>
      </c>
      <c r="G29" s="121">
        <f t="shared" si="7"/>
        <v>1241009471</v>
      </c>
    </row>
    <row r="30" spans="1:8" ht="39" customHeight="1" thickBot="1">
      <c r="A30" s="136" t="s">
        <v>282</v>
      </c>
      <c r="B30" s="135"/>
      <c r="C30" s="135"/>
      <c r="D30" s="135"/>
      <c r="E30" s="135"/>
      <c r="F30" s="120">
        <f t="shared" si="8"/>
        <v>0</v>
      </c>
      <c r="G30" s="121">
        <f t="shared" si="7"/>
        <v>0</v>
      </c>
    </row>
    <row r="31" spans="1:8" ht="24.75" customHeight="1">
      <c r="A31" s="137" t="s">
        <v>283</v>
      </c>
      <c r="B31" s="138">
        <v>1864541574</v>
      </c>
      <c r="C31" s="138">
        <v>1113376773</v>
      </c>
      <c r="D31" s="138"/>
      <c r="E31" s="138"/>
      <c r="F31" s="124">
        <f t="shared" si="8"/>
        <v>1864541574</v>
      </c>
      <c r="G31" s="125">
        <f t="shared" si="7"/>
        <v>1113376773</v>
      </c>
    </row>
    <row r="32" spans="1:8" ht="21">
      <c r="A32" s="137" t="s">
        <v>284</v>
      </c>
      <c r="B32" s="138">
        <v>350000000</v>
      </c>
      <c r="C32" s="138">
        <v>95715832</v>
      </c>
      <c r="D32" s="138"/>
      <c r="E32" s="138"/>
      <c r="F32" s="124">
        <f t="shared" si="8"/>
        <v>350000000</v>
      </c>
      <c r="G32" s="125">
        <f t="shared" si="7"/>
        <v>95715832</v>
      </c>
    </row>
    <row r="33" spans="1:8">
      <c r="A33" s="137" t="s">
        <v>285</v>
      </c>
      <c r="B33" s="138">
        <v>225000000</v>
      </c>
      <c r="C33" s="139">
        <v>31916866</v>
      </c>
      <c r="D33" s="138"/>
      <c r="E33" s="138"/>
      <c r="F33" s="124">
        <f t="shared" si="8"/>
        <v>225000000</v>
      </c>
      <c r="G33" s="125">
        <f t="shared" si="7"/>
        <v>31916866</v>
      </c>
    </row>
    <row r="34" spans="1:8">
      <c r="A34" s="134" t="s">
        <v>286</v>
      </c>
      <c r="B34" s="135">
        <f t="shared" ref="B34:G34" si="9">+B36+B37+B38+B39</f>
        <v>8072344572</v>
      </c>
      <c r="C34" s="135">
        <f t="shared" si="9"/>
        <v>3760932435</v>
      </c>
      <c r="D34" s="135">
        <f t="shared" si="9"/>
        <v>1540000000</v>
      </c>
      <c r="E34" s="135">
        <f t="shared" si="9"/>
        <v>786270865</v>
      </c>
      <c r="F34" s="135">
        <f t="shared" si="9"/>
        <v>9612344572</v>
      </c>
      <c r="G34" s="140">
        <f t="shared" si="9"/>
        <v>4547203300</v>
      </c>
    </row>
    <row r="35" spans="1:8" ht="24.75" thickBot="1">
      <c r="A35" s="136" t="s">
        <v>287</v>
      </c>
      <c r="B35" s="135"/>
      <c r="C35" s="135"/>
      <c r="D35" s="135"/>
      <c r="E35" s="135"/>
      <c r="F35" s="124">
        <f t="shared" si="8"/>
        <v>0</v>
      </c>
      <c r="G35" s="125">
        <f t="shared" si="7"/>
        <v>0</v>
      </c>
    </row>
    <row r="36" spans="1:8" ht="21">
      <c r="A36" s="137" t="s">
        <v>288</v>
      </c>
      <c r="B36" s="138">
        <v>2713871379</v>
      </c>
      <c r="C36" s="138">
        <v>2134860420</v>
      </c>
      <c r="D36" s="138">
        <v>0</v>
      </c>
      <c r="E36" s="138">
        <v>0</v>
      </c>
      <c r="F36" s="124">
        <f t="shared" si="8"/>
        <v>2713871379</v>
      </c>
      <c r="G36" s="125">
        <f t="shared" si="7"/>
        <v>2134860420</v>
      </c>
    </row>
    <row r="37" spans="1:8" ht="27" customHeight="1">
      <c r="A37" s="137" t="s">
        <v>289</v>
      </c>
      <c r="B37" s="138">
        <v>2103012723</v>
      </c>
      <c r="C37" s="138">
        <v>643283684</v>
      </c>
      <c r="D37" s="138">
        <v>1540000000</v>
      </c>
      <c r="E37" s="138">
        <v>786270865</v>
      </c>
      <c r="F37" s="124">
        <f t="shared" si="8"/>
        <v>3643012723</v>
      </c>
      <c r="G37" s="125">
        <f t="shared" si="7"/>
        <v>1429554549</v>
      </c>
      <c r="H37" s="112" t="s">
        <v>251</v>
      </c>
    </row>
    <row r="38" spans="1:8" ht="21">
      <c r="A38" s="137" t="s">
        <v>290</v>
      </c>
      <c r="B38" s="138">
        <v>2211505468</v>
      </c>
      <c r="C38" s="138">
        <v>373546701</v>
      </c>
      <c r="D38" s="138"/>
      <c r="E38" s="138"/>
      <c r="F38" s="124">
        <f t="shared" si="8"/>
        <v>2211505468</v>
      </c>
      <c r="G38" s="125">
        <f t="shared" si="7"/>
        <v>373546701</v>
      </c>
    </row>
    <row r="39" spans="1:8" ht="21">
      <c r="A39" s="137" t="s">
        <v>291</v>
      </c>
      <c r="B39" s="138">
        <v>1043955002</v>
      </c>
      <c r="C39" s="138">
        <v>609241630</v>
      </c>
      <c r="D39" s="138"/>
      <c r="E39" s="138"/>
      <c r="F39" s="124">
        <f t="shared" si="8"/>
        <v>1043955002</v>
      </c>
      <c r="G39" s="125">
        <f t="shared" si="7"/>
        <v>609241630</v>
      </c>
    </row>
    <row r="40" spans="1:8">
      <c r="A40" s="134" t="s">
        <v>292</v>
      </c>
      <c r="B40" s="135">
        <f t="shared" ref="B40:G40" si="10">+B42+B43</f>
        <v>2015527581</v>
      </c>
      <c r="C40" s="135">
        <f t="shared" si="10"/>
        <v>1256815079</v>
      </c>
      <c r="D40" s="135">
        <f t="shared" si="10"/>
        <v>0</v>
      </c>
      <c r="E40" s="135">
        <f t="shared" si="10"/>
        <v>0</v>
      </c>
      <c r="F40" s="135">
        <f t="shared" si="10"/>
        <v>2015527581</v>
      </c>
      <c r="G40" s="140">
        <f t="shared" si="10"/>
        <v>1256815079</v>
      </c>
    </row>
    <row r="41" spans="1:8" ht="54" customHeight="1" thickBot="1">
      <c r="A41" s="136" t="s">
        <v>293</v>
      </c>
      <c r="B41" s="135"/>
      <c r="C41" s="135"/>
      <c r="D41" s="135"/>
      <c r="E41" s="135"/>
      <c r="F41" s="124">
        <f t="shared" si="8"/>
        <v>0</v>
      </c>
      <c r="G41" s="125">
        <f t="shared" si="7"/>
        <v>0</v>
      </c>
    </row>
    <row r="42" spans="1:8">
      <c r="A42" s="137" t="s">
        <v>294</v>
      </c>
      <c r="B42" s="138">
        <v>320000000</v>
      </c>
      <c r="C42" s="138">
        <v>221420184</v>
      </c>
      <c r="D42" s="138"/>
      <c r="E42" s="138"/>
      <c r="F42" s="124">
        <f t="shared" si="8"/>
        <v>320000000</v>
      </c>
      <c r="G42" s="125">
        <f t="shared" si="7"/>
        <v>221420184</v>
      </c>
    </row>
    <row r="43" spans="1:8">
      <c r="A43" s="137" t="s">
        <v>295</v>
      </c>
      <c r="B43" s="138">
        <v>1695527581</v>
      </c>
      <c r="C43" s="138">
        <v>1035394895</v>
      </c>
      <c r="D43" s="138"/>
      <c r="E43" s="138"/>
      <c r="F43" s="124">
        <f t="shared" si="8"/>
        <v>1695527581</v>
      </c>
      <c r="G43" s="125">
        <f t="shared" si="7"/>
        <v>1035394895</v>
      </c>
    </row>
    <row r="44" spans="1:8" ht="36" customHeight="1" thickBot="1">
      <c r="A44" s="136" t="s">
        <v>296</v>
      </c>
      <c r="B44" s="141">
        <f t="shared" ref="B44:G44" si="11">+B45+B46</f>
        <v>5266813192</v>
      </c>
      <c r="C44" s="141">
        <f t="shared" si="11"/>
        <v>1652307925</v>
      </c>
      <c r="D44" s="141">
        <f t="shared" si="11"/>
        <v>0</v>
      </c>
      <c r="E44" s="141">
        <f t="shared" si="11"/>
        <v>0</v>
      </c>
      <c r="F44" s="141">
        <f t="shared" si="11"/>
        <v>5266813192</v>
      </c>
      <c r="G44" s="142">
        <f t="shared" si="11"/>
        <v>1652307925</v>
      </c>
    </row>
    <row r="45" spans="1:8" ht="23.25" customHeight="1">
      <c r="A45" s="137" t="s">
        <v>297</v>
      </c>
      <c r="B45" s="138">
        <v>3711050806</v>
      </c>
      <c r="C45" s="138">
        <v>1403140857</v>
      </c>
      <c r="D45" s="138"/>
      <c r="E45" s="138"/>
      <c r="F45" s="124">
        <f t="shared" si="8"/>
        <v>3711050806</v>
      </c>
      <c r="G45" s="125">
        <f t="shared" si="7"/>
        <v>1403140857</v>
      </c>
    </row>
    <row r="46" spans="1:8" ht="30" customHeight="1">
      <c r="A46" s="137" t="s">
        <v>298</v>
      </c>
      <c r="B46" s="138">
        <v>1555762386</v>
      </c>
      <c r="C46" s="138">
        <v>249167068</v>
      </c>
      <c r="D46" s="138"/>
      <c r="E46" s="138"/>
      <c r="F46" s="124">
        <f t="shared" si="8"/>
        <v>1555762386</v>
      </c>
      <c r="G46" s="125">
        <f t="shared" si="7"/>
        <v>249167068</v>
      </c>
    </row>
    <row r="47" spans="1:8" ht="36.75" customHeight="1" thickBot="1">
      <c r="A47" s="136" t="s">
        <v>299</v>
      </c>
      <c r="B47" s="141">
        <f t="shared" ref="B47:G47" si="12">+B48</f>
        <v>410231113</v>
      </c>
      <c r="C47" s="141">
        <f t="shared" si="12"/>
        <v>38867961</v>
      </c>
      <c r="D47" s="141">
        <f t="shared" si="12"/>
        <v>0</v>
      </c>
      <c r="E47" s="141">
        <f t="shared" si="12"/>
        <v>0</v>
      </c>
      <c r="F47" s="141">
        <f t="shared" si="12"/>
        <v>410231113</v>
      </c>
      <c r="G47" s="142">
        <f t="shared" si="12"/>
        <v>38867961</v>
      </c>
    </row>
    <row r="48" spans="1:8" ht="21">
      <c r="A48" s="143" t="s">
        <v>300</v>
      </c>
      <c r="B48" s="138">
        <v>410231113</v>
      </c>
      <c r="C48" s="138">
        <v>38867961</v>
      </c>
      <c r="D48" s="138"/>
      <c r="E48" s="138"/>
      <c r="F48" s="124">
        <f t="shared" si="8"/>
        <v>410231113</v>
      </c>
      <c r="G48" s="125">
        <f t="shared" si="7"/>
        <v>38867961</v>
      </c>
    </row>
    <row r="49" spans="1:7" ht="27" customHeight="1" thickBot="1">
      <c r="A49" s="136" t="s">
        <v>301</v>
      </c>
      <c r="B49" s="135">
        <f t="shared" ref="B49:G49" si="13">+B50+B51</f>
        <v>4141877096</v>
      </c>
      <c r="C49" s="135">
        <f t="shared" si="13"/>
        <v>1498683359</v>
      </c>
      <c r="D49" s="135">
        <f t="shared" si="13"/>
        <v>0</v>
      </c>
      <c r="E49" s="135">
        <f t="shared" si="13"/>
        <v>0</v>
      </c>
      <c r="F49" s="135">
        <f t="shared" si="13"/>
        <v>4141877096</v>
      </c>
      <c r="G49" s="140">
        <f t="shared" si="13"/>
        <v>1498683359</v>
      </c>
    </row>
    <row r="50" spans="1:7" ht="21">
      <c r="A50" s="144" t="s">
        <v>302</v>
      </c>
      <c r="B50" s="138">
        <v>1266511705</v>
      </c>
      <c r="C50" s="138">
        <v>173510984</v>
      </c>
      <c r="D50" s="138"/>
      <c r="E50" s="138"/>
      <c r="F50" s="124">
        <f t="shared" si="8"/>
        <v>1266511705</v>
      </c>
      <c r="G50" s="125">
        <f t="shared" si="7"/>
        <v>173510984</v>
      </c>
    </row>
    <row r="51" spans="1:7">
      <c r="A51" s="144" t="s">
        <v>303</v>
      </c>
      <c r="B51" s="138">
        <v>2875365391</v>
      </c>
      <c r="C51" s="138">
        <v>1325172375</v>
      </c>
      <c r="D51" s="138"/>
      <c r="E51" s="138"/>
      <c r="F51" s="124">
        <f t="shared" si="8"/>
        <v>2875365391</v>
      </c>
      <c r="G51" s="125">
        <f t="shared" si="7"/>
        <v>1325172375</v>
      </c>
    </row>
    <row r="52" spans="1:7">
      <c r="A52" s="134" t="s">
        <v>251</v>
      </c>
      <c r="B52" s="135">
        <v>0</v>
      </c>
      <c r="C52" s="135">
        <v>0</v>
      </c>
      <c r="D52" s="135">
        <v>0</v>
      </c>
      <c r="E52" s="135">
        <v>0</v>
      </c>
      <c r="F52" s="124">
        <f t="shared" si="8"/>
        <v>0</v>
      </c>
      <c r="G52" s="125">
        <f t="shared" si="7"/>
        <v>0</v>
      </c>
    </row>
    <row r="53" spans="1:7">
      <c r="A53" s="145" t="s">
        <v>304</v>
      </c>
      <c r="B53" s="120">
        <v>0</v>
      </c>
      <c r="C53" s="120">
        <v>0</v>
      </c>
      <c r="D53" s="120">
        <v>0</v>
      </c>
      <c r="E53" s="120">
        <v>0</v>
      </c>
      <c r="F53" s="124">
        <f t="shared" si="8"/>
        <v>0</v>
      </c>
      <c r="G53" s="125">
        <f t="shared" si="7"/>
        <v>0</v>
      </c>
    </row>
    <row r="54" spans="1:7">
      <c r="A54" s="146">
        <v>0</v>
      </c>
      <c r="B54" s="147">
        <v>0</v>
      </c>
      <c r="C54" s="147"/>
      <c r="D54" s="147"/>
      <c r="E54" s="147"/>
      <c r="F54" s="120"/>
      <c r="G54" s="121"/>
    </row>
    <row r="55" spans="1:7" ht="13.5" thickBot="1">
      <c r="A55" s="148" t="s">
        <v>305</v>
      </c>
      <c r="B55" s="149">
        <f t="shared" ref="B55:G55" si="14">+B26+B28+B53</f>
        <v>27753409871</v>
      </c>
      <c r="C55" s="149">
        <f t="shared" si="14"/>
        <v>11492412055</v>
      </c>
      <c r="D55" s="149">
        <f t="shared" si="14"/>
        <v>3280302000</v>
      </c>
      <c r="E55" s="149">
        <f t="shared" si="14"/>
        <v>1764961284</v>
      </c>
      <c r="F55" s="149">
        <f t="shared" si="14"/>
        <v>31033711871</v>
      </c>
      <c r="G55" s="150">
        <f t="shared" si="14"/>
        <v>13257373339</v>
      </c>
    </row>
    <row r="56" spans="1:7" ht="27.75" customHeight="1">
      <c r="A56" s="151"/>
      <c r="B56" s="152" t="s">
        <v>251</v>
      </c>
      <c r="C56" s="153" t="s">
        <v>251</v>
      </c>
      <c r="D56" s="152"/>
      <c r="E56" s="152" t="s">
        <v>251</v>
      </c>
      <c r="F56" s="152"/>
      <c r="G56" s="152" t="s">
        <v>251</v>
      </c>
    </row>
    <row r="57" spans="1:7" ht="32.25" customHeight="1">
      <c r="A57" s="154"/>
      <c r="B57" s="154" t="s">
        <v>251</v>
      </c>
      <c r="C57" s="154"/>
      <c r="D57" s="154" t="s">
        <v>251</v>
      </c>
      <c r="E57" s="154"/>
      <c r="F57" s="154"/>
      <c r="G57" s="154"/>
    </row>
    <row r="58" spans="1:7">
      <c r="A58" s="155"/>
      <c r="B58" s="156" t="s">
        <v>251</v>
      </c>
      <c r="C58" s="157"/>
      <c r="D58" s="157"/>
      <c r="E58" s="156" t="s">
        <v>251</v>
      </c>
      <c r="F58" s="156">
        <f>+F55-[5]Hoja1!$F$37</f>
        <v>0</v>
      </c>
      <c r="G58" s="156" t="s">
        <v>251</v>
      </c>
    </row>
    <row r="59" spans="1:7">
      <c r="A59" s="155"/>
      <c r="B59" s="158" t="s">
        <v>251</v>
      </c>
      <c r="C59" s="157"/>
      <c r="D59" s="157"/>
      <c r="E59" s="157"/>
      <c r="F59" s="156" t="e">
        <f>+[5]Hoja1!$J$207</f>
        <v>#REF!</v>
      </c>
      <c r="G59" s="156" t="s">
        <v>251</v>
      </c>
    </row>
    <row r="60" spans="1:7">
      <c r="A60" s="155"/>
      <c r="B60" s="157"/>
      <c r="C60" s="157"/>
      <c r="D60" s="157"/>
      <c r="E60" s="157"/>
      <c r="F60" s="156" t="e">
        <f>+F58-F59</f>
        <v>#REF!</v>
      </c>
      <c r="G60" s="157"/>
    </row>
    <row r="61" spans="1:7">
      <c r="A61" s="159"/>
    </row>
    <row r="62" spans="1:7">
      <c r="A62" s="160"/>
    </row>
    <row r="63" spans="1:7">
      <c r="A63" s="160"/>
    </row>
    <row r="64" spans="1:7">
      <c r="A64" s="160"/>
    </row>
    <row r="65" spans="1:1">
      <c r="A65" s="161"/>
    </row>
    <row r="66" spans="1:1" ht="15.75" customHeight="1">
      <c r="A66" s="161"/>
    </row>
    <row r="67" spans="1:1">
      <c r="A67" s="161"/>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7" zoomScaleNormal="100" zoomScaleSheetLayoutView="75" workbookViewId="0">
      <selection activeCell="D9" sqref="D9"/>
    </sheetView>
  </sheetViews>
  <sheetFormatPr baseColWidth="10" defaultRowHeight="12.75"/>
  <cols>
    <col min="1" max="1" width="47.42578125" customWidth="1"/>
    <col min="2" max="2" width="84.140625" customWidth="1"/>
  </cols>
  <sheetData>
    <row r="1" spans="1:2" ht="14.25" thickBot="1">
      <c r="A1" s="905" t="s">
        <v>29</v>
      </c>
      <c r="B1" s="905"/>
    </row>
    <row r="2" spans="1:2" ht="27" customHeight="1">
      <c r="A2" s="901" t="s">
        <v>30</v>
      </c>
      <c r="B2" s="902"/>
    </row>
    <row r="3" spans="1:2" ht="24.75" customHeight="1" thickBot="1">
      <c r="A3" s="903" t="s">
        <v>31</v>
      </c>
      <c r="B3" s="904"/>
    </row>
    <row r="4" spans="1:2">
      <c r="A4" s="8" t="s">
        <v>32</v>
      </c>
      <c r="B4" s="8" t="s">
        <v>33</v>
      </c>
    </row>
    <row r="5" spans="1:2" ht="36.75">
      <c r="A5" s="9" t="s">
        <v>121</v>
      </c>
      <c r="B5" s="10" t="s">
        <v>75</v>
      </c>
    </row>
    <row r="6" spans="1:2" ht="27.75">
      <c r="A6" s="9" t="s">
        <v>34</v>
      </c>
      <c r="B6" s="10" t="s">
        <v>76</v>
      </c>
    </row>
    <row r="7" spans="1:2" ht="21" customHeight="1">
      <c r="A7" s="9" t="s">
        <v>35</v>
      </c>
      <c r="B7" s="10" t="s">
        <v>77</v>
      </c>
    </row>
    <row r="8" spans="1:2" ht="45" customHeight="1">
      <c r="A8" s="9" t="s">
        <v>80</v>
      </c>
      <c r="B8" s="198" t="s">
        <v>62</v>
      </c>
    </row>
    <row r="9" spans="1:2" ht="54" customHeight="1">
      <c r="A9" s="202" t="s">
        <v>63</v>
      </c>
      <c r="B9" s="10" t="s">
        <v>78</v>
      </c>
    </row>
    <row r="10" spans="1:2" ht="21" customHeight="1">
      <c r="A10" s="199" t="s">
        <v>349</v>
      </c>
      <c r="B10" s="200" t="s">
        <v>350</v>
      </c>
    </row>
    <row r="11" spans="1:2" ht="40.5" customHeight="1">
      <c r="A11" s="9" t="s">
        <v>79</v>
      </c>
      <c r="B11" s="10" t="s">
        <v>353</v>
      </c>
    </row>
    <row r="12" spans="1:2" ht="36.75" customHeight="1">
      <c r="A12" s="202" t="s">
        <v>36</v>
      </c>
      <c r="B12" s="201" t="s">
        <v>81</v>
      </c>
    </row>
    <row r="13" spans="1:2" ht="21.75" customHeight="1">
      <c r="A13" s="202" t="s">
        <v>57</v>
      </c>
      <c r="B13" s="10" t="s">
        <v>82</v>
      </c>
    </row>
    <row r="14" spans="1:2" ht="18.75">
      <c r="A14" s="9" t="s">
        <v>37</v>
      </c>
      <c r="B14" s="10" t="s">
        <v>61</v>
      </c>
    </row>
    <row r="15" spans="1:2" ht="18.75">
      <c r="A15" s="9" t="s">
        <v>38</v>
      </c>
      <c r="B15" s="10" t="s">
        <v>64</v>
      </c>
    </row>
    <row r="16" spans="1:2" ht="18.75">
      <c r="A16" s="9" t="s">
        <v>39</v>
      </c>
      <c r="B16" s="10" t="s">
        <v>83</v>
      </c>
    </row>
    <row r="17" spans="1:2" ht="36.75">
      <c r="A17" s="9" t="s">
        <v>40</v>
      </c>
      <c r="B17" s="10" t="s">
        <v>12</v>
      </c>
    </row>
    <row r="18" spans="1:2" ht="18.75">
      <c r="A18" s="9" t="s">
        <v>41</v>
      </c>
      <c r="B18" s="10" t="s">
        <v>42</v>
      </c>
    </row>
    <row r="19" spans="1:2" ht="18.75">
      <c r="A19" s="9" t="s">
        <v>43</v>
      </c>
      <c r="B19" s="10" t="s">
        <v>84</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203" t="s">
        <v>86</v>
      </c>
      <c r="B23" s="11" t="s">
        <v>6</v>
      </c>
    </row>
  </sheetData>
  <mergeCells count="3">
    <mergeCell ref="A2:B2"/>
    <mergeCell ref="A3:B3"/>
    <mergeCell ref="A1:B1"/>
  </mergeCells>
  <phoneticPr fontId="16"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MATRIZ GENERAL CONSOLIDADA</vt:lpstr>
      <vt:lpstr>Anexo 1 Matriz SINA Inf Gestión</vt:lpstr>
      <vt:lpstr>Anexo 2 Matriz Inf. Ejecución</vt:lpstr>
      <vt:lpstr>Anexo 5.1 INGRESOS</vt:lpstr>
      <vt:lpstr>Anexo 5.2 GASTOS </vt:lpstr>
      <vt:lpstr>Anexo 3 Matriz Ind Min Jun</vt:lpstr>
      <vt:lpstr>Anexos 5-1 Ingresos </vt:lpstr>
      <vt:lpstr>Anexo 5-2 Gastos</vt:lpstr>
      <vt:lpstr>Anexo 2 Protocolo Inf Gestión</vt:lpstr>
      <vt:lpstr>Anexo 4 ProtocoloMatrizINdica</vt:lpstr>
      <vt:lpstr>Hoja1</vt:lpstr>
      <vt:lpstr>Hoja2</vt:lpstr>
      <vt:lpstr>'Anexo 1 Matriz SINA Inf Gestión'!Área_de_impresión</vt:lpstr>
      <vt:lpstr>'Anexo 2 Protocolo Inf Gestión'!Área_de_impresión</vt:lpstr>
      <vt:lpstr>'Anexo 4 ProtocoloMatrizINdica'!Área_de_impresión</vt:lpstr>
      <vt:lpstr>'Anexo 5-2 Gastos'!Área_de_impresión</vt:lpstr>
      <vt:lpstr>'Anexos 5-1 Ingresos '!Área_de_impresión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Edisney Silva Argote</cp:lastModifiedBy>
  <cp:lastPrinted>2017-07-13T22:41:52Z</cp:lastPrinted>
  <dcterms:created xsi:type="dcterms:W3CDTF">2004-01-28T22:51:19Z</dcterms:created>
  <dcterms:modified xsi:type="dcterms:W3CDTF">2017-07-31T20:05:21Z</dcterms:modified>
</cp:coreProperties>
</file>