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50"/>
  </bookViews>
  <sheets>
    <sheet name="Hoja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98" i="1" l="1"/>
  <c r="AI98" i="1"/>
  <c r="AC98" i="1"/>
  <c r="AA98" i="1"/>
  <c r="AE98" i="1" s="1"/>
  <c r="Y98" i="1"/>
  <c r="AD98" i="1" s="1"/>
  <c r="U98" i="1"/>
  <c r="V98" i="1" s="1"/>
  <c r="T98" i="1"/>
  <c r="F98" i="1"/>
  <c r="E98" i="1"/>
  <c r="D98" i="1"/>
  <c r="C98" i="1"/>
  <c r="AJ97" i="1"/>
  <c r="AK97" i="1" s="1"/>
  <c r="AI97" i="1"/>
  <c r="AH97" i="1"/>
  <c r="AC97" i="1"/>
  <c r="AA97" i="1"/>
  <c r="AE97" i="1" s="1"/>
  <c r="Y97" i="1"/>
  <c r="U97" i="1"/>
  <c r="V97" i="1" s="1"/>
  <c r="T97" i="1"/>
  <c r="F97" i="1"/>
  <c r="E97" i="1"/>
  <c r="D97" i="1"/>
  <c r="C97" i="1"/>
  <c r="AJ96" i="1"/>
  <c r="AI96" i="1"/>
  <c r="AH96" i="1"/>
  <c r="AC96" i="1"/>
  <c r="AA96" i="1"/>
  <c r="Y96" i="1"/>
  <c r="AD96" i="1" s="1"/>
  <c r="U96" i="1"/>
  <c r="T96" i="1"/>
  <c r="F96" i="1"/>
  <c r="E96" i="1"/>
  <c r="D96" i="1"/>
  <c r="C96" i="1"/>
  <c r="AJ95" i="1"/>
  <c r="AI95" i="1"/>
  <c r="AH95" i="1"/>
  <c r="AC95" i="1"/>
  <c r="AA95" i="1"/>
  <c r="Y95" i="1"/>
  <c r="U95" i="1"/>
  <c r="T95" i="1"/>
  <c r="F95" i="1"/>
  <c r="E95" i="1"/>
  <c r="D95" i="1"/>
  <c r="C95" i="1"/>
  <c r="AJ94" i="1"/>
  <c r="AI94" i="1"/>
  <c r="AC94" i="1"/>
  <c r="AA94" i="1"/>
  <c r="Y94" i="1"/>
  <c r="U94" i="1"/>
  <c r="T94" i="1"/>
  <c r="F94" i="1"/>
  <c r="I94" i="1" s="1"/>
  <c r="S94" i="1" s="1"/>
  <c r="E94" i="1"/>
  <c r="D94" i="1"/>
  <c r="C94" i="1"/>
  <c r="AJ93" i="1"/>
  <c r="AI93" i="1"/>
  <c r="AH93" i="1"/>
  <c r="AC93" i="1"/>
  <c r="AA93" i="1"/>
  <c r="Y93" i="1"/>
  <c r="U93" i="1"/>
  <c r="T93" i="1"/>
  <c r="F93" i="1"/>
  <c r="E93" i="1"/>
  <c r="D93" i="1"/>
  <c r="C93" i="1"/>
  <c r="AG92" i="1"/>
  <c r="AH92" i="1" s="1"/>
  <c r="AF92" i="1"/>
  <c r="Z92" i="1"/>
  <c r="Q92" i="1"/>
  <c r="AG91" i="1"/>
  <c r="AH91" i="1" s="1"/>
  <c r="AF91" i="1"/>
  <c r="Z91" i="1"/>
  <c r="Q91" i="1"/>
  <c r="P91" i="1"/>
  <c r="AJ90" i="1"/>
  <c r="AI90" i="1"/>
  <c r="AC90" i="1"/>
  <c r="AA90" i="1"/>
  <c r="Y90" i="1"/>
  <c r="U90" i="1"/>
  <c r="T90" i="1"/>
  <c r="F90" i="1"/>
  <c r="E90" i="1"/>
  <c r="D90" i="1"/>
  <c r="C90" i="1"/>
  <c r="AJ89" i="1"/>
  <c r="AI89" i="1"/>
  <c r="AH89" i="1"/>
  <c r="AC89" i="1"/>
  <c r="AA89" i="1"/>
  <c r="Y89" i="1"/>
  <c r="U89" i="1"/>
  <c r="T89" i="1"/>
  <c r="F89" i="1"/>
  <c r="E89" i="1"/>
  <c r="D89" i="1"/>
  <c r="C89" i="1"/>
  <c r="AI88" i="1"/>
  <c r="AI87" i="1" s="1"/>
  <c r="AG88" i="1"/>
  <c r="AF88" i="1"/>
  <c r="Z88" i="1"/>
  <c r="Z87" i="1" s="1"/>
  <c r="Q88" i="1"/>
  <c r="AF87" i="1"/>
  <c r="Q87" i="1"/>
  <c r="P87" i="1"/>
  <c r="AJ86" i="1"/>
  <c r="AJ85" i="1" s="1"/>
  <c r="AK85" i="1" s="1"/>
  <c r="AI86" i="1"/>
  <c r="AI85" i="1" s="1"/>
  <c r="AD86" i="1"/>
  <c r="AA86" i="1"/>
  <c r="U86" i="1"/>
  <c r="T86" i="1"/>
  <c r="F86" i="1"/>
  <c r="E86" i="1"/>
  <c r="D86" i="1"/>
  <c r="C86" i="1"/>
  <c r="AG85" i="1"/>
  <c r="AF85" i="1"/>
  <c r="AE85" i="1"/>
  <c r="AC85" i="1"/>
  <c r="Z85" i="1"/>
  <c r="Y85" i="1"/>
  <c r="Q85" i="1"/>
  <c r="H85" i="1"/>
  <c r="AJ84" i="1"/>
  <c r="AI84" i="1"/>
  <c r="AK84" i="1" s="1"/>
  <c r="AC84" i="1"/>
  <c r="AA84" i="1"/>
  <c r="Y84" i="1"/>
  <c r="U84" i="1"/>
  <c r="T84" i="1"/>
  <c r="I84" i="1"/>
  <c r="F84" i="1"/>
  <c r="E84" i="1"/>
  <c r="D84" i="1"/>
  <c r="C84" i="1"/>
  <c r="AJ83" i="1"/>
  <c r="AI83" i="1"/>
  <c r="AH83" i="1"/>
  <c r="AC83" i="1"/>
  <c r="AA83" i="1"/>
  <c r="Y83" i="1"/>
  <c r="Y82" i="1" s="1"/>
  <c r="U83" i="1"/>
  <c r="T83" i="1"/>
  <c r="V83" i="1" s="1"/>
  <c r="S83" i="1"/>
  <c r="F83" i="1"/>
  <c r="E83" i="1"/>
  <c r="D83" i="1"/>
  <c r="C83" i="1"/>
  <c r="AJ82" i="1"/>
  <c r="AG82" i="1"/>
  <c r="AH82" i="1" s="1"/>
  <c r="AF82" i="1"/>
  <c r="Z82" i="1"/>
  <c r="Q82" i="1"/>
  <c r="AJ81" i="1"/>
  <c r="AI81" i="1"/>
  <c r="AH81" i="1"/>
  <c r="AC81" i="1"/>
  <c r="AA81" i="1"/>
  <c r="Y81" i="1"/>
  <c r="U81" i="1"/>
  <c r="T81" i="1"/>
  <c r="F81" i="1"/>
  <c r="I81" i="1" s="1"/>
  <c r="S81" i="1" s="1"/>
  <c r="E81" i="1"/>
  <c r="D81" i="1"/>
  <c r="C81" i="1"/>
  <c r="AJ80" i="1"/>
  <c r="AI80" i="1"/>
  <c r="AH80" i="1"/>
  <c r="AC80" i="1"/>
  <c r="AA80" i="1"/>
  <c r="Y80" i="1"/>
  <c r="U80" i="1"/>
  <c r="T80" i="1"/>
  <c r="F80" i="1"/>
  <c r="E80" i="1"/>
  <c r="D80" i="1"/>
  <c r="C80" i="1"/>
  <c r="AI79" i="1"/>
  <c r="AG79" i="1"/>
  <c r="AF79" i="1"/>
  <c r="Z79" i="1"/>
  <c r="Y79" i="1"/>
  <c r="Q79" i="1"/>
  <c r="AJ78" i="1"/>
  <c r="AI78" i="1"/>
  <c r="AC78" i="1"/>
  <c r="AA78" i="1"/>
  <c r="Y78" i="1"/>
  <c r="U78" i="1"/>
  <c r="T78" i="1"/>
  <c r="F78" i="1"/>
  <c r="E78" i="1"/>
  <c r="D78" i="1"/>
  <c r="C78" i="1"/>
  <c r="AJ77" i="1"/>
  <c r="AI77" i="1"/>
  <c r="AC77" i="1"/>
  <c r="AA77" i="1"/>
  <c r="Y77" i="1"/>
  <c r="U77" i="1"/>
  <c r="T77" i="1"/>
  <c r="F77" i="1"/>
  <c r="E77" i="1"/>
  <c r="D77" i="1"/>
  <c r="C77" i="1"/>
  <c r="AG76" i="1"/>
  <c r="AF76" i="1"/>
  <c r="Z76" i="1"/>
  <c r="Q76" i="1"/>
  <c r="AF75" i="1"/>
  <c r="Q75" i="1"/>
  <c r="P75" i="1"/>
  <c r="AJ74" i="1"/>
  <c r="AI74" i="1"/>
  <c r="AH74" i="1"/>
  <c r="AC74" i="1"/>
  <c r="AA74" i="1"/>
  <c r="Y74" i="1"/>
  <c r="U74" i="1"/>
  <c r="T74" i="1"/>
  <c r="F74" i="1"/>
  <c r="E74" i="1"/>
  <c r="D74" i="1"/>
  <c r="C74" i="1"/>
  <c r="AJ73" i="1"/>
  <c r="AI73" i="1"/>
  <c r="AH73" i="1"/>
  <c r="AC73" i="1"/>
  <c r="AA73" i="1"/>
  <c r="Y73" i="1"/>
  <c r="U73" i="1"/>
  <c r="T73" i="1"/>
  <c r="F73" i="1"/>
  <c r="I73" i="1" s="1"/>
  <c r="S73" i="1" s="1"/>
  <c r="E73" i="1"/>
  <c r="D73" i="1"/>
  <c r="C73" i="1"/>
  <c r="AG72" i="1"/>
  <c r="AH72" i="1" s="1"/>
  <c r="AF72" i="1"/>
  <c r="AC72" i="1"/>
  <c r="AC71" i="1" s="1"/>
  <c r="Z72" i="1"/>
  <c r="Y72" i="1"/>
  <c r="W73" i="1" s="1"/>
  <c r="X73" i="1" s="1"/>
  <c r="Q72" i="1"/>
  <c r="AG71" i="1"/>
  <c r="AF71" i="1"/>
  <c r="Z71" i="1"/>
  <c r="Y71" i="1"/>
  <c r="Q71" i="1"/>
  <c r="P71" i="1"/>
  <c r="AF70" i="1"/>
  <c r="Q70" i="1"/>
  <c r="AJ69" i="1"/>
  <c r="AI69" i="1"/>
  <c r="AK69" i="1" s="1"/>
  <c r="AH69" i="1"/>
  <c r="AC69" i="1"/>
  <c r="AA69" i="1"/>
  <c r="Y69" i="1"/>
  <c r="U69" i="1"/>
  <c r="T69" i="1"/>
  <c r="V69" i="1" s="1"/>
  <c r="F69" i="1"/>
  <c r="E69" i="1"/>
  <c r="D69" i="1"/>
  <c r="C69" i="1"/>
  <c r="AJ68" i="1"/>
  <c r="AI68" i="1"/>
  <c r="AK68" i="1" s="1"/>
  <c r="AC68" i="1"/>
  <c r="AA68" i="1"/>
  <c r="AE68" i="1" s="1"/>
  <c r="Y68" i="1"/>
  <c r="AD68" i="1" s="1"/>
  <c r="U68" i="1"/>
  <c r="V68" i="1" s="1"/>
  <c r="T68" i="1"/>
  <c r="F68" i="1"/>
  <c r="E68" i="1"/>
  <c r="D68" i="1"/>
  <c r="C68" i="1"/>
  <c r="AJ67" i="1"/>
  <c r="AI67" i="1"/>
  <c r="AH67" i="1"/>
  <c r="AC67" i="1"/>
  <c r="AA67" i="1"/>
  <c r="AB67" i="1" s="1"/>
  <c r="Y67" i="1"/>
  <c r="U67" i="1"/>
  <c r="T67" i="1"/>
  <c r="I67" i="1"/>
  <c r="S67" i="1" s="1"/>
  <c r="F67" i="1"/>
  <c r="E67" i="1"/>
  <c r="D67" i="1"/>
  <c r="C67" i="1"/>
  <c r="AJ66" i="1"/>
  <c r="AI66" i="1"/>
  <c r="AK66" i="1" s="1"/>
  <c r="AH66" i="1"/>
  <c r="AC66" i="1"/>
  <c r="AA66" i="1"/>
  <c r="Y66" i="1"/>
  <c r="U66" i="1"/>
  <c r="T66" i="1"/>
  <c r="V66" i="1" s="1"/>
  <c r="F66" i="1"/>
  <c r="E66" i="1"/>
  <c r="D66" i="1"/>
  <c r="C66" i="1"/>
  <c r="AJ65" i="1"/>
  <c r="AI65" i="1"/>
  <c r="AH65" i="1"/>
  <c r="AC65" i="1"/>
  <c r="AA65" i="1"/>
  <c r="Y65" i="1"/>
  <c r="U65" i="1"/>
  <c r="T65" i="1"/>
  <c r="F65" i="1"/>
  <c r="E65" i="1"/>
  <c r="D65" i="1"/>
  <c r="C65" i="1"/>
  <c r="AJ64" i="1"/>
  <c r="AI64" i="1"/>
  <c r="AC64" i="1"/>
  <c r="AA64" i="1"/>
  <c r="Y64" i="1"/>
  <c r="U64" i="1"/>
  <c r="V64" i="1" s="1"/>
  <c r="T64" i="1"/>
  <c r="F64" i="1"/>
  <c r="E64" i="1"/>
  <c r="D64" i="1"/>
  <c r="C64" i="1"/>
  <c r="AJ63" i="1"/>
  <c r="AI63" i="1"/>
  <c r="AC63" i="1"/>
  <c r="AA63" i="1"/>
  <c r="Y63" i="1"/>
  <c r="U63" i="1"/>
  <c r="T63" i="1"/>
  <c r="V63" i="1" s="1"/>
  <c r="F63" i="1"/>
  <c r="E63" i="1"/>
  <c r="D63" i="1"/>
  <c r="C63" i="1"/>
  <c r="AG62" i="1"/>
  <c r="AF62" i="1"/>
  <c r="AF57" i="1" s="1"/>
  <c r="Z62" i="1"/>
  <c r="Z57" i="1" s="1"/>
  <c r="Q62" i="1"/>
  <c r="Q57" i="1" s="1"/>
  <c r="AJ61" i="1"/>
  <c r="AI61" i="1"/>
  <c r="AC61" i="1"/>
  <c r="AA61" i="1"/>
  <c r="Y61" i="1"/>
  <c r="U61" i="1"/>
  <c r="T61" i="1"/>
  <c r="F61" i="1"/>
  <c r="E61" i="1"/>
  <c r="D61" i="1"/>
  <c r="C61" i="1"/>
  <c r="AJ60" i="1"/>
  <c r="AI60" i="1"/>
  <c r="AH60" i="1"/>
  <c r="AC60" i="1"/>
  <c r="AA60" i="1"/>
  <c r="Y60" i="1"/>
  <c r="U60" i="1"/>
  <c r="T60" i="1"/>
  <c r="F60" i="1"/>
  <c r="E60" i="1"/>
  <c r="D60" i="1"/>
  <c r="C60" i="1"/>
  <c r="AJ59" i="1"/>
  <c r="AI59" i="1"/>
  <c r="AH59" i="1"/>
  <c r="AC59" i="1"/>
  <c r="AA59" i="1"/>
  <c r="AB59" i="1" s="1"/>
  <c r="Y59" i="1"/>
  <c r="U59" i="1"/>
  <c r="T59" i="1"/>
  <c r="F59" i="1"/>
  <c r="E59" i="1"/>
  <c r="D59" i="1"/>
  <c r="C59" i="1"/>
  <c r="AG58" i="1"/>
  <c r="AH58" i="1" s="1"/>
  <c r="AF58" i="1"/>
  <c r="AA58" i="1"/>
  <c r="Z58" i="1"/>
  <c r="Y58" i="1"/>
  <c r="Q58" i="1"/>
  <c r="P57" i="1"/>
  <c r="P56" i="1" s="1"/>
  <c r="AF56" i="1"/>
  <c r="Z56" i="1"/>
  <c r="Q56" i="1"/>
  <c r="AJ55" i="1"/>
  <c r="AJ53" i="1" s="1"/>
  <c r="AJ52" i="1" s="1"/>
  <c r="AI55" i="1"/>
  <c r="AC55" i="1"/>
  <c r="AA55" i="1"/>
  <c r="Y55" i="1"/>
  <c r="AD55" i="1" s="1"/>
  <c r="U55" i="1"/>
  <c r="T55" i="1"/>
  <c r="F55" i="1"/>
  <c r="E55" i="1"/>
  <c r="D55" i="1"/>
  <c r="C55" i="1"/>
  <c r="AJ54" i="1"/>
  <c r="AI54" i="1"/>
  <c r="AH54" i="1"/>
  <c r="AC54" i="1"/>
  <c r="AC53" i="1" s="1"/>
  <c r="AA54" i="1"/>
  <c r="Y54" i="1"/>
  <c r="Y53" i="1" s="1"/>
  <c r="Y52" i="1" s="1"/>
  <c r="U54" i="1"/>
  <c r="T54" i="1"/>
  <c r="F54" i="1"/>
  <c r="E54" i="1"/>
  <c r="D54" i="1"/>
  <c r="C54" i="1"/>
  <c r="AG53" i="1"/>
  <c r="AF53" i="1"/>
  <c r="AH53" i="1" s="1"/>
  <c r="AA53" i="1"/>
  <c r="AB53" i="1" s="1"/>
  <c r="Z53" i="1"/>
  <c r="Z52" i="1" s="1"/>
  <c r="Q53" i="1"/>
  <c r="Q52" i="1" s="1"/>
  <c r="AG52" i="1"/>
  <c r="AF52" i="1"/>
  <c r="AH52" i="1" s="1"/>
  <c r="AA52" i="1"/>
  <c r="AB52" i="1" s="1"/>
  <c r="P52" i="1"/>
  <c r="AJ51" i="1"/>
  <c r="AI51" i="1"/>
  <c r="AH51" i="1"/>
  <c r="AC51" i="1"/>
  <c r="AA51" i="1"/>
  <c r="Y51" i="1"/>
  <c r="U51" i="1"/>
  <c r="T51" i="1"/>
  <c r="I51" i="1"/>
  <c r="S51" i="1" s="1"/>
  <c r="E51" i="1"/>
  <c r="D51" i="1"/>
  <c r="C51" i="1"/>
  <c r="AJ50" i="1"/>
  <c r="AI50" i="1"/>
  <c r="AC50" i="1"/>
  <c r="AA50" i="1"/>
  <c r="AB50" i="1" s="1"/>
  <c r="Y50" i="1"/>
  <c r="U50" i="1"/>
  <c r="T50" i="1"/>
  <c r="I50" i="1"/>
  <c r="S50" i="1" s="1"/>
  <c r="F50" i="1"/>
  <c r="E50" i="1"/>
  <c r="D50" i="1"/>
  <c r="C50" i="1"/>
  <c r="AJ49" i="1"/>
  <c r="AI49" i="1"/>
  <c r="AK49" i="1" s="1"/>
  <c r="AH49" i="1"/>
  <c r="AC49" i="1"/>
  <c r="AA49" i="1"/>
  <c r="Y49" i="1"/>
  <c r="U49" i="1"/>
  <c r="T49" i="1"/>
  <c r="V49" i="1" s="1"/>
  <c r="E49" i="1"/>
  <c r="D49" i="1"/>
  <c r="C49" i="1"/>
  <c r="AJ48" i="1"/>
  <c r="AI48" i="1"/>
  <c r="AH48" i="1"/>
  <c r="AC48" i="1"/>
  <c r="AA48" i="1"/>
  <c r="Y48" i="1"/>
  <c r="U48" i="1"/>
  <c r="T48" i="1"/>
  <c r="V48" i="1" s="1"/>
  <c r="F48" i="1"/>
  <c r="E48" i="1"/>
  <c r="D48" i="1"/>
  <c r="C48" i="1"/>
  <c r="AJ47" i="1"/>
  <c r="AI47" i="1"/>
  <c r="AH47" i="1"/>
  <c r="AC47" i="1"/>
  <c r="AA47" i="1"/>
  <c r="Y47" i="1"/>
  <c r="Y46" i="1" s="1"/>
  <c r="U47" i="1"/>
  <c r="T47" i="1"/>
  <c r="F47" i="1"/>
  <c r="E47" i="1"/>
  <c r="D47" i="1"/>
  <c r="C47" i="1"/>
  <c r="AG46" i="1"/>
  <c r="AH46" i="1" s="1"/>
  <c r="AF46" i="1"/>
  <c r="Z46" i="1"/>
  <c r="Q46" i="1"/>
  <c r="AJ45" i="1"/>
  <c r="AI45" i="1"/>
  <c r="AH45" i="1"/>
  <c r="AC45" i="1"/>
  <c r="AA45" i="1"/>
  <c r="Y45" i="1"/>
  <c r="U45" i="1"/>
  <c r="T45" i="1"/>
  <c r="F45" i="1"/>
  <c r="E45" i="1"/>
  <c r="D45" i="1"/>
  <c r="C45" i="1"/>
  <c r="AJ44" i="1"/>
  <c r="AI44" i="1"/>
  <c r="AH44" i="1"/>
  <c r="AC44" i="1"/>
  <c r="AA44" i="1"/>
  <c r="Y44" i="1"/>
  <c r="U44" i="1"/>
  <c r="T44" i="1"/>
  <c r="F44" i="1"/>
  <c r="I44" i="1" s="1"/>
  <c r="S44" i="1" s="1"/>
  <c r="E44" i="1"/>
  <c r="D44" i="1"/>
  <c r="C44" i="1"/>
  <c r="AJ43" i="1"/>
  <c r="AI43" i="1"/>
  <c r="AH43" i="1"/>
  <c r="AC43" i="1"/>
  <c r="AA43" i="1"/>
  <c r="Y43" i="1"/>
  <c r="U43" i="1"/>
  <c r="T43" i="1"/>
  <c r="F43" i="1"/>
  <c r="E43" i="1"/>
  <c r="D43" i="1"/>
  <c r="C43" i="1"/>
  <c r="AI42" i="1"/>
  <c r="AG42" i="1"/>
  <c r="AF42" i="1"/>
  <c r="Z42" i="1"/>
  <c r="Q42" i="1"/>
  <c r="AJ41" i="1"/>
  <c r="AI41" i="1"/>
  <c r="AK41" i="1" s="1"/>
  <c r="AH41" i="1"/>
  <c r="AC41" i="1"/>
  <c r="AA41" i="1"/>
  <c r="Y41" i="1"/>
  <c r="U41" i="1"/>
  <c r="T41" i="1"/>
  <c r="V41" i="1" s="1"/>
  <c r="F41" i="1"/>
  <c r="E41" i="1"/>
  <c r="D41" i="1"/>
  <c r="C41" i="1"/>
  <c r="AJ40" i="1"/>
  <c r="AI40" i="1"/>
  <c r="AH40" i="1"/>
  <c r="AC40" i="1"/>
  <c r="AA40" i="1"/>
  <c r="Y40" i="1"/>
  <c r="U40" i="1"/>
  <c r="T40" i="1"/>
  <c r="F40" i="1"/>
  <c r="E40" i="1"/>
  <c r="D40" i="1"/>
  <c r="C40" i="1"/>
  <c r="AJ39" i="1"/>
  <c r="AI39" i="1"/>
  <c r="AH39" i="1"/>
  <c r="AC39" i="1"/>
  <c r="AA39" i="1"/>
  <c r="Y39" i="1"/>
  <c r="U39" i="1"/>
  <c r="T39" i="1"/>
  <c r="F39" i="1"/>
  <c r="I39" i="1" s="1"/>
  <c r="S39" i="1" s="1"/>
  <c r="E39" i="1"/>
  <c r="D39" i="1"/>
  <c r="C39" i="1"/>
  <c r="AJ38" i="1"/>
  <c r="AI38" i="1"/>
  <c r="AH38" i="1"/>
  <c r="AC38" i="1"/>
  <c r="AA38" i="1"/>
  <c r="Y38" i="1"/>
  <c r="U38" i="1"/>
  <c r="T38" i="1"/>
  <c r="F38" i="1"/>
  <c r="E38" i="1"/>
  <c r="D38" i="1"/>
  <c r="C38" i="1"/>
  <c r="AJ37" i="1"/>
  <c r="AI37" i="1"/>
  <c r="AH37" i="1"/>
  <c r="AC37" i="1"/>
  <c r="AA37" i="1"/>
  <c r="Y37" i="1"/>
  <c r="U37" i="1"/>
  <c r="T37" i="1"/>
  <c r="F37" i="1"/>
  <c r="I37" i="1" s="1"/>
  <c r="S37" i="1" s="1"/>
  <c r="E37" i="1"/>
  <c r="D37" i="1"/>
  <c r="C37" i="1"/>
  <c r="AJ36" i="1"/>
  <c r="AI36" i="1"/>
  <c r="AH36" i="1"/>
  <c r="AC36" i="1"/>
  <c r="AA36" i="1"/>
  <c r="AB36" i="1" s="1"/>
  <c r="Y36" i="1"/>
  <c r="U36" i="1"/>
  <c r="T36" i="1"/>
  <c r="F36" i="1"/>
  <c r="E36" i="1"/>
  <c r="D36" i="1"/>
  <c r="C36" i="1"/>
  <c r="AJ35" i="1"/>
  <c r="AI35" i="1"/>
  <c r="AH35" i="1"/>
  <c r="AC35" i="1"/>
  <c r="AA35" i="1"/>
  <c r="AB35" i="1" s="1"/>
  <c r="Y35" i="1"/>
  <c r="U35" i="1"/>
  <c r="T35" i="1"/>
  <c r="I35" i="1"/>
  <c r="S35" i="1" s="1"/>
  <c r="F35" i="1"/>
  <c r="E35" i="1"/>
  <c r="D35" i="1"/>
  <c r="C35" i="1"/>
  <c r="AJ34" i="1"/>
  <c r="AI34" i="1"/>
  <c r="AH34" i="1"/>
  <c r="AC34" i="1"/>
  <c r="AA34" i="1"/>
  <c r="Y34" i="1"/>
  <c r="U34" i="1"/>
  <c r="T34" i="1"/>
  <c r="V34" i="1" s="1"/>
  <c r="F34" i="1"/>
  <c r="I34" i="1" s="1"/>
  <c r="S34" i="1" s="1"/>
  <c r="E34" i="1"/>
  <c r="D34" i="1"/>
  <c r="C34" i="1"/>
  <c r="AJ33" i="1"/>
  <c r="AI33" i="1"/>
  <c r="AH33" i="1"/>
  <c r="AC33" i="1"/>
  <c r="AA33" i="1"/>
  <c r="Y33" i="1"/>
  <c r="U33" i="1"/>
  <c r="T33" i="1"/>
  <c r="F33" i="1"/>
  <c r="E33" i="1"/>
  <c r="D33" i="1"/>
  <c r="C33" i="1"/>
  <c r="AJ32" i="1"/>
  <c r="AI32" i="1"/>
  <c r="AH32" i="1"/>
  <c r="AC32" i="1"/>
  <c r="AA32" i="1"/>
  <c r="Y32" i="1"/>
  <c r="U32" i="1"/>
  <c r="T32" i="1"/>
  <c r="S32" i="1"/>
  <c r="F32" i="1"/>
  <c r="E32" i="1"/>
  <c r="D32" i="1"/>
  <c r="C32" i="1"/>
  <c r="AG31" i="1"/>
  <c r="AF31" i="1"/>
  <c r="AH31" i="1" s="1"/>
  <c r="Z31" i="1"/>
  <c r="Q31" i="1"/>
  <c r="AF30" i="1"/>
  <c r="AF29" i="1" s="1"/>
  <c r="Z30" i="1"/>
  <c r="Q30" i="1"/>
  <c r="P30" i="1"/>
  <c r="P29" i="1"/>
  <c r="AJ28" i="1"/>
  <c r="AI28" i="1"/>
  <c r="AH28" i="1"/>
  <c r="AC28" i="1"/>
  <c r="AA28" i="1"/>
  <c r="Y28" i="1"/>
  <c r="AD28" i="1" s="1"/>
  <c r="U28" i="1"/>
  <c r="T28" i="1"/>
  <c r="F28" i="1"/>
  <c r="E28" i="1"/>
  <c r="D28" i="1"/>
  <c r="C28" i="1"/>
  <c r="AJ27" i="1"/>
  <c r="AI27" i="1"/>
  <c r="AC27" i="1"/>
  <c r="AA27" i="1"/>
  <c r="Y27" i="1"/>
  <c r="U27" i="1"/>
  <c r="T27" i="1"/>
  <c r="F27" i="1"/>
  <c r="E27" i="1"/>
  <c r="D27" i="1"/>
  <c r="C27" i="1"/>
  <c r="AJ26" i="1"/>
  <c r="AI26" i="1"/>
  <c r="AC26" i="1"/>
  <c r="AA26" i="1"/>
  <c r="Y26" i="1"/>
  <c r="U26" i="1"/>
  <c r="T26" i="1"/>
  <c r="F26" i="1"/>
  <c r="E26" i="1"/>
  <c r="D26" i="1"/>
  <c r="C26" i="1"/>
  <c r="AJ25" i="1"/>
  <c r="AI25" i="1"/>
  <c r="AH25" i="1"/>
  <c r="AC25" i="1"/>
  <c r="AA25" i="1"/>
  <c r="Y25" i="1"/>
  <c r="U25" i="1"/>
  <c r="T25" i="1"/>
  <c r="F25" i="1"/>
  <c r="E25" i="1"/>
  <c r="D25" i="1"/>
  <c r="C25" i="1"/>
  <c r="AJ24" i="1"/>
  <c r="AI24" i="1"/>
  <c r="AC24" i="1"/>
  <c r="AA24" i="1"/>
  <c r="Y24" i="1"/>
  <c r="U24" i="1"/>
  <c r="T24" i="1"/>
  <c r="F24" i="1"/>
  <c r="E24" i="1"/>
  <c r="D24" i="1"/>
  <c r="C24" i="1"/>
  <c r="AJ23" i="1"/>
  <c r="AI23" i="1"/>
  <c r="AH23" i="1"/>
  <c r="AC23" i="1"/>
  <c r="AA23" i="1"/>
  <c r="Y23" i="1"/>
  <c r="U23" i="1"/>
  <c r="T23" i="1"/>
  <c r="F23" i="1"/>
  <c r="I23" i="1" s="1"/>
  <c r="S23" i="1" s="1"/>
  <c r="E23" i="1"/>
  <c r="D23" i="1"/>
  <c r="C23" i="1"/>
  <c r="AJ22" i="1"/>
  <c r="AK22" i="1" s="1"/>
  <c r="AI22" i="1"/>
  <c r="AH22" i="1"/>
  <c r="AC22" i="1"/>
  <c r="AA22" i="1"/>
  <c r="AE22" i="1" s="1"/>
  <c r="Y22" i="1"/>
  <c r="U22" i="1"/>
  <c r="V22" i="1" s="1"/>
  <c r="T22" i="1"/>
  <c r="S22" i="1"/>
  <c r="F22" i="1"/>
  <c r="E22" i="1"/>
  <c r="D22" i="1"/>
  <c r="C22" i="1"/>
  <c r="AJ21" i="1"/>
  <c r="AI21" i="1"/>
  <c r="AH21" i="1"/>
  <c r="AC21" i="1"/>
  <c r="AA21" i="1"/>
  <c r="Y21" i="1"/>
  <c r="U21" i="1"/>
  <c r="T21" i="1"/>
  <c r="F21" i="1"/>
  <c r="E21" i="1"/>
  <c r="D21" i="1"/>
  <c r="C21" i="1"/>
  <c r="AJ20" i="1"/>
  <c r="AI20" i="1"/>
  <c r="AC20" i="1"/>
  <c r="AA20" i="1"/>
  <c r="Y20" i="1"/>
  <c r="U20" i="1"/>
  <c r="T20" i="1"/>
  <c r="F20" i="1"/>
  <c r="E20" i="1"/>
  <c r="D20" i="1"/>
  <c r="C20" i="1"/>
  <c r="AJ19" i="1"/>
  <c r="AI19" i="1"/>
  <c r="AH19" i="1"/>
  <c r="AG19" i="1"/>
  <c r="AC19" i="1"/>
  <c r="AA19" i="1"/>
  <c r="Y19" i="1"/>
  <c r="U19" i="1"/>
  <c r="T19" i="1"/>
  <c r="V19" i="1" s="1"/>
  <c r="F19" i="1"/>
  <c r="I19" i="1" s="1"/>
  <c r="S19" i="1" s="1"/>
  <c r="E19" i="1"/>
  <c r="D19" i="1"/>
  <c r="C19" i="1"/>
  <c r="AJ18" i="1"/>
  <c r="AI18" i="1"/>
  <c r="AH18" i="1"/>
  <c r="AC18" i="1"/>
  <c r="AA18" i="1"/>
  <c r="Y18" i="1"/>
  <c r="U18" i="1"/>
  <c r="T18" i="1"/>
  <c r="F18" i="1"/>
  <c r="E18" i="1"/>
  <c r="D18" i="1"/>
  <c r="C18" i="1"/>
  <c r="AJ17" i="1"/>
  <c r="AI17" i="1"/>
  <c r="AC17" i="1"/>
  <c r="AA17" i="1"/>
  <c r="Y17" i="1"/>
  <c r="U17" i="1"/>
  <c r="T17" i="1"/>
  <c r="F17" i="1"/>
  <c r="E17" i="1"/>
  <c r="D17" i="1"/>
  <c r="C17" i="1"/>
  <c r="AG16" i="1"/>
  <c r="AF16" i="1"/>
  <c r="AF9" i="1" s="1"/>
  <c r="AF8" i="1" s="1"/>
  <c r="AF99" i="1" s="1"/>
  <c r="Z16" i="1"/>
  <c r="Q16" i="1"/>
  <c r="Q9" i="1" s="1"/>
  <c r="Q8" i="1" s="1"/>
  <c r="AJ15" i="1"/>
  <c r="AI15" i="1"/>
  <c r="AC15" i="1"/>
  <c r="AA15" i="1"/>
  <c r="Y15" i="1"/>
  <c r="U15" i="1"/>
  <c r="T15" i="1"/>
  <c r="F15" i="1"/>
  <c r="I15" i="1" s="1"/>
  <c r="S15" i="1" s="1"/>
  <c r="E15" i="1"/>
  <c r="D15" i="1"/>
  <c r="C15" i="1"/>
  <c r="AJ14" i="1"/>
  <c r="AI14" i="1"/>
  <c r="AH14" i="1"/>
  <c r="AC14" i="1"/>
  <c r="AA14" i="1"/>
  <c r="Y14" i="1"/>
  <c r="U14" i="1"/>
  <c r="V14" i="1" s="1"/>
  <c r="T14" i="1"/>
  <c r="F14" i="1"/>
  <c r="E14" i="1"/>
  <c r="D14" i="1"/>
  <c r="C14" i="1"/>
  <c r="AI13" i="1"/>
  <c r="AG13" i="1"/>
  <c r="AF13" i="1"/>
  <c r="AH13" i="1" s="1"/>
  <c r="Z13" i="1"/>
  <c r="Q13" i="1"/>
  <c r="AJ12" i="1"/>
  <c r="AI12" i="1"/>
  <c r="AC12" i="1"/>
  <c r="AA12" i="1"/>
  <c r="Y12" i="1"/>
  <c r="U12" i="1"/>
  <c r="T12" i="1"/>
  <c r="I12" i="1"/>
  <c r="S12" i="1" s="1"/>
  <c r="F12" i="1"/>
  <c r="E12" i="1"/>
  <c r="D12" i="1"/>
  <c r="C12" i="1"/>
  <c r="AJ11" i="1"/>
  <c r="AI11" i="1"/>
  <c r="AH11" i="1"/>
  <c r="AC11" i="1"/>
  <c r="AA11" i="1"/>
  <c r="Y11" i="1"/>
  <c r="U11" i="1"/>
  <c r="T11" i="1"/>
  <c r="V11" i="1" s="1"/>
  <c r="F11" i="1"/>
  <c r="E11" i="1"/>
  <c r="D11" i="1"/>
  <c r="C11" i="1"/>
  <c r="AJ10" i="1"/>
  <c r="AI10" i="1"/>
  <c r="AG10" i="1"/>
  <c r="AH10" i="1" s="1"/>
  <c r="AF10" i="1"/>
  <c r="Z10" i="1"/>
  <c r="Q10" i="1"/>
  <c r="AG9" i="1"/>
  <c r="AH9" i="1" s="1"/>
  <c r="Z9" i="1"/>
  <c r="P9" i="1"/>
  <c r="P8" i="1" s="1"/>
  <c r="Z8" i="1"/>
  <c r="A2" i="1"/>
  <c r="G15" i="1" l="1"/>
  <c r="V23" i="1"/>
  <c r="V24" i="1"/>
  <c r="V25" i="1"/>
  <c r="AK27" i="1"/>
  <c r="AE28" i="1"/>
  <c r="AK28" i="1"/>
  <c r="V32" i="1"/>
  <c r="V33" i="1"/>
  <c r="V37" i="1"/>
  <c r="V38" i="1"/>
  <c r="AB39" i="1"/>
  <c r="AB40" i="1"/>
  <c r="I41" i="1"/>
  <c r="S41" i="1" s="1"/>
  <c r="Y42" i="1"/>
  <c r="AK43" i="1"/>
  <c r="AB47" i="1"/>
  <c r="I48" i="1"/>
  <c r="S48" i="1" s="1"/>
  <c r="AK51" i="1"/>
  <c r="AI58" i="1"/>
  <c r="AK80" i="1"/>
  <c r="V90" i="1"/>
  <c r="V93" i="1"/>
  <c r="AI46" i="1"/>
  <c r="Y10" i="1"/>
  <c r="AK11" i="1"/>
  <c r="AD25" i="1"/>
  <c r="I27" i="1"/>
  <c r="S27" i="1" s="1"/>
  <c r="AD33" i="1"/>
  <c r="G51" i="1"/>
  <c r="AD53" i="1"/>
  <c r="AD74" i="1"/>
  <c r="AK23" i="1"/>
  <c r="AK24" i="1"/>
  <c r="AE25" i="1"/>
  <c r="AK25" i="1"/>
  <c r="V27" i="1"/>
  <c r="V28" i="1"/>
  <c r="AE32" i="1"/>
  <c r="AK32" i="1"/>
  <c r="AE33" i="1"/>
  <c r="AK33" i="1"/>
  <c r="AK37" i="1"/>
  <c r="AK38" i="1"/>
  <c r="V43" i="1"/>
  <c r="AB44" i="1"/>
  <c r="AJ42" i="1"/>
  <c r="AK42" i="1" s="1"/>
  <c r="AB45" i="1"/>
  <c r="AA46" i="1"/>
  <c r="V60" i="1"/>
  <c r="V61" i="1"/>
  <c r="AB65" i="1"/>
  <c r="AE74" i="1"/>
  <c r="V77" i="1"/>
  <c r="V78" i="1"/>
  <c r="V80" i="1"/>
  <c r="AJ79" i="1"/>
  <c r="AK79" i="1" s="1"/>
  <c r="V86" i="1"/>
  <c r="V85" i="1" s="1"/>
  <c r="Y88" i="1"/>
  <c r="Y87" i="1" s="1"/>
  <c r="AK93" i="1"/>
  <c r="AK10" i="1"/>
  <c r="H11" i="1"/>
  <c r="AD11" i="1"/>
  <c r="AC10" i="1"/>
  <c r="AD10" i="1" s="1"/>
  <c r="H12" i="1"/>
  <c r="I14" i="1"/>
  <c r="I13" i="1" s="1"/>
  <c r="S13" i="1" s="1"/>
  <c r="Y13" i="1"/>
  <c r="W14" i="1" s="1"/>
  <c r="X14" i="1" s="1"/>
  <c r="H17" i="1"/>
  <c r="AD19" i="1"/>
  <c r="I20" i="1"/>
  <c r="S20" i="1" s="1"/>
  <c r="I21" i="1"/>
  <c r="S21" i="1" s="1"/>
  <c r="AD23" i="1"/>
  <c r="H24" i="1"/>
  <c r="AD24" i="1"/>
  <c r="I25" i="1"/>
  <c r="S25" i="1" s="1"/>
  <c r="I26" i="1"/>
  <c r="S26" i="1" s="1"/>
  <c r="AD27" i="1"/>
  <c r="I28" i="1"/>
  <c r="S28" i="1" s="1"/>
  <c r="I33" i="1"/>
  <c r="H35" i="1"/>
  <c r="I36" i="1"/>
  <c r="S36" i="1" s="1"/>
  <c r="AD37" i="1"/>
  <c r="H38" i="1"/>
  <c r="AD38" i="1"/>
  <c r="H39" i="1"/>
  <c r="I40" i="1"/>
  <c r="S40" i="1" s="1"/>
  <c r="AD41" i="1"/>
  <c r="H43" i="1"/>
  <c r="AD43" i="1"/>
  <c r="H44" i="1"/>
  <c r="I45" i="1"/>
  <c r="S45" i="1" s="1"/>
  <c r="I47" i="1"/>
  <c r="AD48" i="1"/>
  <c r="H49" i="1"/>
  <c r="AD49" i="1"/>
  <c r="H50" i="1"/>
  <c r="H54" i="1"/>
  <c r="H55" i="1"/>
  <c r="I59" i="1"/>
  <c r="I60" i="1"/>
  <c r="S60" i="1" s="1"/>
  <c r="AD64" i="1"/>
  <c r="I66" i="1"/>
  <c r="S66" i="1" s="1"/>
  <c r="H73" i="1"/>
  <c r="H72" i="1" s="1"/>
  <c r="H71" i="1" s="1"/>
  <c r="Y76" i="1"/>
  <c r="W78" i="1" s="1"/>
  <c r="X78" i="1" s="1"/>
  <c r="AD83" i="1"/>
  <c r="AK83" i="1"/>
  <c r="AI82" i="1"/>
  <c r="AK82" i="1" s="1"/>
  <c r="H84" i="1"/>
  <c r="H82" i="1" s="1"/>
  <c r="I86" i="1"/>
  <c r="AD90" i="1"/>
  <c r="H93" i="1"/>
  <c r="H94" i="1"/>
  <c r="H95" i="1"/>
  <c r="H92" i="1" s="1"/>
  <c r="H91" i="1" s="1"/>
  <c r="H96" i="1"/>
  <c r="H97" i="1"/>
  <c r="I98" i="1"/>
  <c r="S98" i="1" s="1"/>
  <c r="AI92" i="1"/>
  <c r="AI91" i="1" s="1"/>
  <c r="I11" i="1"/>
  <c r="AB11" i="1"/>
  <c r="V12" i="1"/>
  <c r="AD12" i="1"/>
  <c r="AK12" i="1"/>
  <c r="H14" i="1"/>
  <c r="AE14" i="1"/>
  <c r="V15" i="1"/>
  <c r="AK15" i="1"/>
  <c r="I17" i="1"/>
  <c r="S17" i="1" s="1"/>
  <c r="V17" i="1"/>
  <c r="AE17" i="1"/>
  <c r="AI16" i="1"/>
  <c r="AI9" i="1" s="1"/>
  <c r="AI8" i="1" s="1"/>
  <c r="H18" i="1"/>
  <c r="V18" i="1"/>
  <c r="AK18" i="1"/>
  <c r="H19" i="1"/>
  <c r="AB19" i="1"/>
  <c r="H20" i="1"/>
  <c r="V20" i="1"/>
  <c r="AE20" i="1"/>
  <c r="H21" i="1"/>
  <c r="V21" i="1"/>
  <c r="AE21" i="1"/>
  <c r="AK21" i="1"/>
  <c r="AB23" i="1"/>
  <c r="AB24" i="1"/>
  <c r="H25" i="1"/>
  <c r="H26" i="1"/>
  <c r="V26" i="1"/>
  <c r="AE26" i="1"/>
  <c r="AK26" i="1"/>
  <c r="H27" i="1"/>
  <c r="AB27" i="1"/>
  <c r="H28" i="1"/>
  <c r="Y31" i="1"/>
  <c r="W41" i="1" s="1"/>
  <c r="X41" i="1" s="1"/>
  <c r="H33" i="1"/>
  <c r="V35" i="1"/>
  <c r="AD35" i="1"/>
  <c r="AK35" i="1"/>
  <c r="H36" i="1"/>
  <c r="V36" i="1"/>
  <c r="AD36" i="1"/>
  <c r="AK36" i="1"/>
  <c r="H37" i="1"/>
  <c r="AB37" i="1"/>
  <c r="I38" i="1"/>
  <c r="S38" i="1" s="1"/>
  <c r="AB38" i="1"/>
  <c r="V39" i="1"/>
  <c r="AD39" i="1"/>
  <c r="AK39" i="1"/>
  <c r="H40" i="1"/>
  <c r="V40" i="1"/>
  <c r="AD40" i="1"/>
  <c r="AK40" i="1"/>
  <c r="H41" i="1"/>
  <c r="AB41" i="1"/>
  <c r="AC42" i="1"/>
  <c r="AD42" i="1" s="1"/>
  <c r="I43" i="1"/>
  <c r="AB43" i="1"/>
  <c r="V44" i="1"/>
  <c r="AD44" i="1"/>
  <c r="AK44" i="1"/>
  <c r="H45" i="1"/>
  <c r="H42" i="1" s="1"/>
  <c r="V45" i="1"/>
  <c r="AD45" i="1"/>
  <c r="AK45" i="1"/>
  <c r="H47" i="1"/>
  <c r="H46" i="1" s="1"/>
  <c r="V47" i="1"/>
  <c r="AD47" i="1"/>
  <c r="AK47" i="1"/>
  <c r="H48" i="1"/>
  <c r="AB48" i="1"/>
  <c r="I49" i="1"/>
  <c r="S49" i="1" s="1"/>
  <c r="AB49" i="1"/>
  <c r="V50" i="1"/>
  <c r="AD50" i="1"/>
  <c r="V51" i="1"/>
  <c r="AD51" i="1"/>
  <c r="AC52" i="1"/>
  <c r="AD52" i="1" s="1"/>
  <c r="AD60" i="1"/>
  <c r="H61" i="1"/>
  <c r="AD61" i="1"/>
  <c r="Y62" i="1"/>
  <c r="W64" i="1" s="1"/>
  <c r="X64" i="1" s="1"/>
  <c r="H63" i="1"/>
  <c r="I64" i="1"/>
  <c r="S64" i="1" s="1"/>
  <c r="AD66" i="1"/>
  <c r="H67" i="1"/>
  <c r="H69" i="1"/>
  <c r="AD69" i="1"/>
  <c r="AD72" i="1"/>
  <c r="AD73" i="1"/>
  <c r="AK73" i="1"/>
  <c r="AI72" i="1"/>
  <c r="AI71" i="1" s="1"/>
  <c r="W74" i="1"/>
  <c r="X74" i="1" s="1"/>
  <c r="H77" i="1"/>
  <c r="I78" i="1"/>
  <c r="S78" i="1" s="1"/>
  <c r="H80" i="1"/>
  <c r="H79" i="1" s="1"/>
  <c r="H81" i="1"/>
  <c r="AC82" i="1"/>
  <c r="AD82" i="1" s="1"/>
  <c r="AB86" i="1"/>
  <c r="AA85" i="1"/>
  <c r="AB85" i="1" s="1"/>
  <c r="AB89" i="1"/>
  <c r="AA88" i="1"/>
  <c r="AA87" i="1" s="1"/>
  <c r="AB87" i="1" s="1"/>
  <c r="I90" i="1"/>
  <c r="S90" i="1" s="1"/>
  <c r="AB51" i="1"/>
  <c r="I54" i="1"/>
  <c r="V54" i="1"/>
  <c r="AE54" i="1"/>
  <c r="AK54" i="1"/>
  <c r="I55" i="1"/>
  <c r="S55" i="1" s="1"/>
  <c r="V55" i="1"/>
  <c r="AE55" i="1"/>
  <c r="AI53" i="1"/>
  <c r="AI52" i="1" s="1"/>
  <c r="AK52" i="1" s="1"/>
  <c r="H59" i="1"/>
  <c r="V59" i="1"/>
  <c r="AD59" i="1"/>
  <c r="AK59" i="1"/>
  <c r="H60" i="1"/>
  <c r="AB60" i="1"/>
  <c r="I61" i="1"/>
  <c r="S61" i="1" s="1"/>
  <c r="AB61" i="1"/>
  <c r="AB63" i="1"/>
  <c r="H64" i="1"/>
  <c r="AE64" i="1"/>
  <c r="H65" i="1"/>
  <c r="V65" i="1"/>
  <c r="AD65" i="1"/>
  <c r="AK65" i="1"/>
  <c r="H66" i="1"/>
  <c r="V67" i="1"/>
  <c r="AD67" i="1"/>
  <c r="AK67" i="1"/>
  <c r="AB69" i="1"/>
  <c r="V73" i="1"/>
  <c r="V74" i="1"/>
  <c r="Z75" i="1"/>
  <c r="Z70" i="1" s="1"/>
  <c r="H78" i="1"/>
  <c r="AE78" i="1"/>
  <c r="AI76" i="1"/>
  <c r="AI75" i="1" s="1"/>
  <c r="AB80" i="1"/>
  <c r="V81" i="1"/>
  <c r="AD81" i="1"/>
  <c r="AK81" i="1"/>
  <c r="AB83" i="1"/>
  <c r="V84" i="1"/>
  <c r="AD84" i="1"/>
  <c r="H89" i="1"/>
  <c r="V89" i="1"/>
  <c r="AK89" i="1"/>
  <c r="H90" i="1"/>
  <c r="AB90" i="1"/>
  <c r="AB93" i="1"/>
  <c r="V94" i="1"/>
  <c r="AD94" i="1"/>
  <c r="I95" i="1"/>
  <c r="S95" i="1" s="1"/>
  <c r="V95" i="1"/>
  <c r="AE95" i="1"/>
  <c r="AK95" i="1"/>
  <c r="I96" i="1"/>
  <c r="S96" i="1" s="1"/>
  <c r="V96" i="1"/>
  <c r="AE96" i="1"/>
  <c r="AK96" i="1"/>
  <c r="I97" i="1"/>
  <c r="S97" i="1" s="1"/>
  <c r="H98" i="1"/>
  <c r="S11" i="1"/>
  <c r="I10" i="1"/>
  <c r="Q99" i="1"/>
  <c r="AE12" i="1"/>
  <c r="AB12" i="1"/>
  <c r="AH16" i="1"/>
  <c r="AK17" i="1"/>
  <c r="I18" i="1"/>
  <c r="S18" i="1" s="1"/>
  <c r="AD18" i="1"/>
  <c r="AC16" i="1"/>
  <c r="AB22" i="1"/>
  <c r="AD22" i="1"/>
  <c r="S43" i="1"/>
  <c r="S59" i="1"/>
  <c r="AG8" i="1"/>
  <c r="W12" i="1"/>
  <c r="X12" i="1" s="1"/>
  <c r="W11" i="1"/>
  <c r="X11" i="1" s="1"/>
  <c r="AA10" i="1"/>
  <c r="AB10" i="1" s="1"/>
  <c r="AE11" i="1"/>
  <c r="AE10" i="1" s="1"/>
  <c r="AK14" i="1"/>
  <c r="AJ13" i="1"/>
  <c r="AB15" i="1"/>
  <c r="AA13" i="1"/>
  <c r="AB13" i="1" s="1"/>
  <c r="AE15" i="1"/>
  <c r="AE13" i="1" s="1"/>
  <c r="AE19" i="1"/>
  <c r="AK19" i="1"/>
  <c r="AJ16" i="1"/>
  <c r="AK16" i="1" s="1"/>
  <c r="AB21" i="1"/>
  <c r="AD21" i="1"/>
  <c r="AE23" i="1"/>
  <c r="I24" i="1"/>
  <c r="S24" i="1" s="1"/>
  <c r="AB26" i="1"/>
  <c r="AD26" i="1"/>
  <c r="AE27" i="1"/>
  <c r="S47" i="1"/>
  <c r="W15" i="1"/>
  <c r="AB14" i="1"/>
  <c r="AD14" i="1"/>
  <c r="H15" i="1"/>
  <c r="AD15" i="1"/>
  <c r="AC13" i="1"/>
  <c r="Y16" i="1"/>
  <c r="W22" i="1" s="1"/>
  <c r="X22" i="1" s="1"/>
  <c r="AB17" i="1"/>
  <c r="AD17" i="1"/>
  <c r="AB18" i="1"/>
  <c r="AA16" i="1"/>
  <c r="AB16" i="1" s="1"/>
  <c r="AE18" i="1"/>
  <c r="AE24" i="1"/>
  <c r="AB25" i="1"/>
  <c r="Q29" i="1"/>
  <c r="W38" i="1"/>
  <c r="X38" i="1" s="1"/>
  <c r="AB32" i="1"/>
  <c r="AD32" i="1"/>
  <c r="AD34" i="1"/>
  <c r="AC31" i="1"/>
  <c r="AE35" i="1"/>
  <c r="AE37" i="1"/>
  <c r="AE39" i="1"/>
  <c r="AE41" i="1"/>
  <c r="AE44" i="1"/>
  <c r="W51" i="1"/>
  <c r="X51" i="1" s="1"/>
  <c r="W50" i="1"/>
  <c r="X50" i="1" s="1"/>
  <c r="W49" i="1"/>
  <c r="X49" i="1" s="1"/>
  <c r="W48" i="1"/>
  <c r="X48" i="1" s="1"/>
  <c r="W47" i="1"/>
  <c r="X47" i="1" s="1"/>
  <c r="AB46" i="1"/>
  <c r="AE48" i="1"/>
  <c r="AK48" i="1"/>
  <c r="AE50" i="1"/>
  <c r="AK50" i="1"/>
  <c r="AJ46" i="1"/>
  <c r="AE51" i="1"/>
  <c r="S54" i="1"/>
  <c r="AB54" i="1"/>
  <c r="AD54" i="1"/>
  <c r="W55" i="1"/>
  <c r="X55" i="1" s="1"/>
  <c r="AK55" i="1"/>
  <c r="W61" i="1"/>
  <c r="X61" i="1" s="1"/>
  <c r="W60" i="1"/>
  <c r="X60" i="1" s="1"/>
  <c r="W59" i="1"/>
  <c r="X59" i="1" s="1"/>
  <c r="AB58" i="1"/>
  <c r="AE60" i="1"/>
  <c r="AK60" i="1"/>
  <c r="AH62" i="1"/>
  <c r="AB66" i="1"/>
  <c r="AE66" i="1"/>
  <c r="AA62" i="1"/>
  <c r="AE67" i="1"/>
  <c r="I68" i="1"/>
  <c r="S68" i="1" s="1"/>
  <c r="AB73" i="1"/>
  <c r="AA72" i="1"/>
  <c r="AE73" i="1"/>
  <c r="AE72" i="1" s="1"/>
  <c r="AE71" i="1" s="1"/>
  <c r="I74" i="1"/>
  <c r="I77" i="1"/>
  <c r="AK78" i="1"/>
  <c r="AD80" i="1"/>
  <c r="AC79" i="1"/>
  <c r="AD79" i="1" s="1"/>
  <c r="S84" i="1"/>
  <c r="I82" i="1"/>
  <c r="S82" i="1" s="1"/>
  <c r="AB94" i="1"/>
  <c r="AA92" i="1"/>
  <c r="AE94" i="1"/>
  <c r="AK94" i="1"/>
  <c r="AJ92" i="1"/>
  <c r="AB28" i="1"/>
  <c r="Z29" i="1"/>
  <c r="AJ31" i="1"/>
  <c r="I31" i="1"/>
  <c r="S33" i="1"/>
  <c r="AB33" i="1"/>
  <c r="AB34" i="1"/>
  <c r="AA31" i="1"/>
  <c r="AB31" i="1" s="1"/>
  <c r="AE34" i="1"/>
  <c r="AI31" i="1"/>
  <c r="AK34" i="1"/>
  <c r="AE36" i="1"/>
  <c r="AE38" i="1"/>
  <c r="AE40" i="1"/>
  <c r="W45" i="1"/>
  <c r="X45" i="1" s="1"/>
  <c r="W44" i="1"/>
  <c r="X44" i="1" s="1"/>
  <c r="W43" i="1"/>
  <c r="X43" i="1" s="1"/>
  <c r="AA42" i="1"/>
  <c r="AB42" i="1" s="1"/>
  <c r="AH42" i="1"/>
  <c r="AG30" i="1"/>
  <c r="AE43" i="1"/>
  <c r="AE45" i="1"/>
  <c r="AC46" i="1"/>
  <c r="AD46" i="1" s="1"/>
  <c r="AE47" i="1"/>
  <c r="AE49" i="1"/>
  <c r="H51" i="1"/>
  <c r="W54" i="1"/>
  <c r="X54" i="1" s="1"/>
  <c r="AE53" i="1"/>
  <c r="AE52" i="1" s="1"/>
  <c r="AB55" i="1"/>
  <c r="Y57" i="1"/>
  <c r="W58" i="1" s="1"/>
  <c r="X58" i="1" s="1"/>
  <c r="AG57" i="1"/>
  <c r="AC58" i="1"/>
  <c r="H58" i="1"/>
  <c r="AE59" i="1"/>
  <c r="AE61" i="1"/>
  <c r="AK61" i="1"/>
  <c r="AJ58" i="1"/>
  <c r="I63" i="1"/>
  <c r="AD63" i="1"/>
  <c r="AC62" i="1"/>
  <c r="AI62" i="1"/>
  <c r="AI57" i="1" s="1"/>
  <c r="AI56" i="1" s="1"/>
  <c r="AK64" i="1"/>
  <c r="I65" i="1"/>
  <c r="S65" i="1" s="1"/>
  <c r="AD71" i="1"/>
  <c r="AD77" i="1"/>
  <c r="AC76" i="1"/>
  <c r="I80" i="1"/>
  <c r="AD89" i="1"/>
  <c r="AC88" i="1"/>
  <c r="AE63" i="1"/>
  <c r="AK63" i="1"/>
  <c r="AJ62" i="1"/>
  <c r="AB64" i="1"/>
  <c r="AE65" i="1"/>
  <c r="I69" i="1"/>
  <c r="S69" i="1" s="1"/>
  <c r="AK74" i="1"/>
  <c r="AJ72" i="1"/>
  <c r="AB81" i="1"/>
  <c r="AA79" i="1"/>
  <c r="AB79" i="1" s="1"/>
  <c r="AE81" i="1"/>
  <c r="AE84" i="1"/>
  <c r="AB84" i="1"/>
  <c r="AA82" i="1"/>
  <c r="AB82" i="1" s="1"/>
  <c r="AH88" i="1"/>
  <c r="AG87" i="1"/>
  <c r="AH87" i="1" s="1"/>
  <c r="I89" i="1"/>
  <c r="Y92" i="1"/>
  <c r="AB95" i="1"/>
  <c r="AD95" i="1"/>
  <c r="AK98" i="1"/>
  <c r="AB68" i="1"/>
  <c r="AE69" i="1"/>
  <c r="P70" i="1"/>
  <c r="AH71" i="1"/>
  <c r="AB74" i="1"/>
  <c r="AB77" i="1"/>
  <c r="AA76" i="1"/>
  <c r="AE77" i="1"/>
  <c r="AE76" i="1" s="1"/>
  <c r="AK77" i="1"/>
  <c r="AJ76" i="1"/>
  <c r="Y75" i="1"/>
  <c r="W85" i="1" s="1"/>
  <c r="X85" i="1" s="1"/>
  <c r="AB78" i="1"/>
  <c r="AD78" i="1"/>
  <c r="W81" i="1"/>
  <c r="X81" i="1" s="1"/>
  <c r="W80" i="1"/>
  <c r="X80" i="1" s="1"/>
  <c r="AH79" i="1"/>
  <c r="AG75" i="1"/>
  <c r="AH75" i="1" s="1"/>
  <c r="AE80" i="1"/>
  <c r="AE79" i="1" s="1"/>
  <c r="W84" i="1"/>
  <c r="X84" i="1" s="1"/>
  <c r="W83" i="1"/>
  <c r="X83" i="1" s="1"/>
  <c r="AE83" i="1"/>
  <c r="W90" i="1"/>
  <c r="X90" i="1" s="1"/>
  <c r="AE90" i="1"/>
  <c r="AK90" i="1"/>
  <c r="AJ88" i="1"/>
  <c r="I93" i="1"/>
  <c r="AD93" i="1"/>
  <c r="AC92" i="1"/>
  <c r="AB97" i="1"/>
  <c r="AD97" i="1"/>
  <c r="AD85" i="1"/>
  <c r="H88" i="1"/>
  <c r="H87" i="1" s="1"/>
  <c r="AE89" i="1"/>
  <c r="AE93" i="1"/>
  <c r="AB96" i="1"/>
  <c r="AB98" i="1"/>
  <c r="H70" i="1" l="1"/>
  <c r="W63" i="1"/>
  <c r="X63" i="1" s="1"/>
  <c r="AK46" i="1"/>
  <c r="Y30" i="1"/>
  <c r="W46" i="1" s="1"/>
  <c r="X46" i="1" s="1"/>
  <c r="W40" i="1"/>
  <c r="X40" i="1" s="1"/>
  <c r="H10" i="1"/>
  <c r="AE82" i="1"/>
  <c r="W66" i="1"/>
  <c r="X66" i="1" s="1"/>
  <c r="AI30" i="1"/>
  <c r="AI29" i="1" s="1"/>
  <c r="W34" i="1"/>
  <c r="X34" i="1" s="1"/>
  <c r="S14" i="1"/>
  <c r="H76" i="1"/>
  <c r="I58" i="1"/>
  <c r="H16" i="1"/>
  <c r="AB88" i="1"/>
  <c r="AE88" i="1"/>
  <c r="AE87" i="1" s="1"/>
  <c r="W89" i="1"/>
  <c r="X89" i="1" s="1"/>
  <c r="W68" i="1"/>
  <c r="X68" i="1" s="1"/>
  <c r="W69" i="1"/>
  <c r="X69" i="1" s="1"/>
  <c r="AE42" i="1"/>
  <c r="W36" i="1"/>
  <c r="X36" i="1" s="1"/>
  <c r="I16" i="1"/>
  <c r="S16" i="1" s="1"/>
  <c r="W26" i="1"/>
  <c r="X26" i="1" s="1"/>
  <c r="H62" i="1"/>
  <c r="H57" i="1" s="1"/>
  <c r="H56" i="1" s="1"/>
  <c r="AI70" i="1"/>
  <c r="S86" i="1"/>
  <c r="I85" i="1"/>
  <c r="S85" i="1" s="1"/>
  <c r="AE92" i="1"/>
  <c r="AE91" i="1" s="1"/>
  <c r="W77" i="1"/>
  <c r="X77" i="1" s="1"/>
  <c r="W65" i="1"/>
  <c r="X65" i="1" s="1"/>
  <c r="W67" i="1"/>
  <c r="X67" i="1" s="1"/>
  <c r="AD62" i="1"/>
  <c r="AE31" i="1"/>
  <c r="W32" i="1"/>
  <c r="X32" i="1" s="1"/>
  <c r="W33" i="1"/>
  <c r="X33" i="1" s="1"/>
  <c r="W31" i="1"/>
  <c r="X31" i="1" s="1"/>
  <c r="W35" i="1"/>
  <c r="X35" i="1" s="1"/>
  <c r="W37" i="1"/>
  <c r="X37" i="1" s="1"/>
  <c r="W39" i="1"/>
  <c r="X39" i="1" s="1"/>
  <c r="AE16" i="1"/>
  <c r="AE9" i="1" s="1"/>
  <c r="AE8" i="1" s="1"/>
  <c r="H13" i="1"/>
  <c r="H9" i="1" s="1"/>
  <c r="H8" i="1" s="1"/>
  <c r="I46" i="1"/>
  <c r="S46" i="1" s="1"/>
  <c r="W20" i="1"/>
  <c r="X20" i="1" s="1"/>
  <c r="I42" i="1"/>
  <c r="S42" i="1" s="1"/>
  <c r="V72" i="1"/>
  <c r="V71" i="1" s="1"/>
  <c r="I53" i="1"/>
  <c r="H31" i="1"/>
  <c r="H30" i="1" s="1"/>
  <c r="AK53" i="1"/>
  <c r="H53" i="1"/>
  <c r="H52" i="1" s="1"/>
  <c r="AI99" i="1"/>
  <c r="AD92" i="1"/>
  <c r="AC91" i="1"/>
  <c r="S93" i="1"/>
  <c r="I92" i="1"/>
  <c r="W82" i="1"/>
  <c r="X82" i="1" s="1"/>
  <c r="W79" i="1"/>
  <c r="X79" i="1" s="1"/>
  <c r="AA75" i="1"/>
  <c r="AB75" i="1" s="1"/>
  <c r="AB76" i="1"/>
  <c r="W94" i="1"/>
  <c r="X94" i="1" s="1"/>
  <c r="W93" i="1"/>
  <c r="W96" i="1"/>
  <c r="X96" i="1" s="1"/>
  <c r="Y91" i="1"/>
  <c r="W98" i="1"/>
  <c r="X98" i="1" s="1"/>
  <c r="S89" i="1"/>
  <c r="I88" i="1"/>
  <c r="S80" i="1"/>
  <c r="I79" i="1"/>
  <c r="S79" i="1" s="1"/>
  <c r="AJ57" i="1"/>
  <c r="AK58" i="1"/>
  <c r="W62" i="1"/>
  <c r="X62" i="1" s="1"/>
  <c r="Y56" i="1"/>
  <c r="AH30" i="1"/>
  <c r="AG29" i="1"/>
  <c r="AH29" i="1" s="1"/>
  <c r="AA30" i="1"/>
  <c r="S31" i="1"/>
  <c r="AJ91" i="1"/>
  <c r="AK91" i="1" s="1"/>
  <c r="AK92" i="1"/>
  <c r="V79" i="1"/>
  <c r="S77" i="1"/>
  <c r="I76" i="1"/>
  <c r="AC30" i="1"/>
  <c r="AD31" i="1"/>
  <c r="AD13" i="1"/>
  <c r="AC9" i="1"/>
  <c r="X15" i="1"/>
  <c r="V13" i="1"/>
  <c r="V53" i="1"/>
  <c r="V52" i="1" s="1"/>
  <c r="V31" i="1"/>
  <c r="AH8" i="1"/>
  <c r="S58" i="1"/>
  <c r="V46" i="1"/>
  <c r="W97" i="1"/>
  <c r="X97" i="1" s="1"/>
  <c r="AJ87" i="1"/>
  <c r="AK87" i="1" s="1"/>
  <c r="AK88" i="1"/>
  <c r="W76" i="1"/>
  <c r="X76" i="1" s="1"/>
  <c r="AJ75" i="1"/>
  <c r="AK75" i="1" s="1"/>
  <c r="AK76" i="1"/>
  <c r="AE75" i="1"/>
  <c r="AG70" i="1"/>
  <c r="AH70" i="1" s="1"/>
  <c r="Y70" i="1"/>
  <c r="W95" i="1"/>
  <c r="X95" i="1" s="1"/>
  <c r="AJ71" i="1"/>
  <c r="AK72" i="1"/>
  <c r="AK62" i="1"/>
  <c r="AE62" i="1"/>
  <c r="AD88" i="1"/>
  <c r="AC87" i="1"/>
  <c r="AD87" i="1" s="1"/>
  <c r="V88" i="1"/>
  <c r="V87" i="1" s="1"/>
  <c r="AC75" i="1"/>
  <c r="AD76" i="1"/>
  <c r="V76" i="1"/>
  <c r="S63" i="1"/>
  <c r="I62" i="1"/>
  <c r="S62" i="1" s="1"/>
  <c r="AE58" i="1"/>
  <c r="AD58" i="1"/>
  <c r="AC57" i="1"/>
  <c r="AH57" i="1"/>
  <c r="AG56" i="1"/>
  <c r="AH56" i="1" s="1"/>
  <c r="AE46" i="1"/>
  <c r="AK31" i="1"/>
  <c r="AJ30" i="1"/>
  <c r="AB92" i="1"/>
  <c r="AA91" i="1"/>
  <c r="AB91" i="1" s="1"/>
  <c r="V82" i="1"/>
  <c r="S74" i="1"/>
  <c r="I72" i="1"/>
  <c r="AB72" i="1"/>
  <c r="AA71" i="1"/>
  <c r="AB62" i="1"/>
  <c r="AA57" i="1"/>
  <c r="W42" i="1"/>
  <c r="X42" i="1" s="1"/>
  <c r="W27" i="1"/>
  <c r="X27" i="1" s="1"/>
  <c r="W24" i="1"/>
  <c r="X24" i="1" s="1"/>
  <c r="W23" i="1"/>
  <c r="X23" i="1" s="1"/>
  <c r="W19" i="1"/>
  <c r="X19" i="1" s="1"/>
  <c r="W18" i="1"/>
  <c r="X18" i="1" s="1"/>
  <c r="W28" i="1"/>
  <c r="X28" i="1" s="1"/>
  <c r="W25" i="1"/>
  <c r="X25" i="1" s="1"/>
  <c r="W17" i="1"/>
  <c r="Y9" i="1"/>
  <c r="V58" i="1"/>
  <c r="V42" i="1"/>
  <c r="W21" i="1"/>
  <c r="X21" i="1" s="1"/>
  <c r="AK13" i="1"/>
  <c r="AJ9" i="1"/>
  <c r="AA9" i="1"/>
  <c r="AD16" i="1"/>
  <c r="V10" i="1"/>
  <c r="I9" i="1"/>
  <c r="S10" i="1"/>
  <c r="Y29" i="1" l="1"/>
  <c r="AE30" i="1"/>
  <c r="AE29" i="1" s="1"/>
  <c r="V75" i="1"/>
  <c r="H29" i="1"/>
  <c r="I99" i="1"/>
  <c r="S99" i="1" s="1"/>
  <c r="AE70" i="1"/>
  <c r="H99" i="1"/>
  <c r="V62" i="1"/>
  <c r="V57" i="1" s="1"/>
  <c r="I30" i="1"/>
  <c r="S30" i="1" s="1"/>
  <c r="AD91" i="1"/>
  <c r="S53" i="1"/>
  <c r="I52" i="1"/>
  <c r="S52" i="1" s="1"/>
  <c r="Y8" i="1"/>
  <c r="W10" i="1"/>
  <c r="X10" i="1" s="1"/>
  <c r="W13" i="1"/>
  <c r="X13" i="1" s="1"/>
  <c r="W16" i="1"/>
  <c r="X16" i="1" s="1"/>
  <c r="AK30" i="1"/>
  <c r="AJ29" i="1"/>
  <c r="AK29" i="1" s="1"/>
  <c r="AD75" i="1"/>
  <c r="AC70" i="1"/>
  <c r="AD70" i="1" s="1"/>
  <c r="I57" i="1"/>
  <c r="AD30" i="1"/>
  <c r="AC29" i="1"/>
  <c r="AD29" i="1" s="1"/>
  <c r="S76" i="1"/>
  <c r="I75" i="1"/>
  <c r="S75" i="1" s="1"/>
  <c r="AB30" i="1"/>
  <c r="AA29" i="1"/>
  <c r="AB29" i="1" s="1"/>
  <c r="I87" i="1"/>
  <c r="S87" i="1" s="1"/>
  <c r="S88" i="1"/>
  <c r="I91" i="1"/>
  <c r="S91" i="1" s="1"/>
  <c r="S92" i="1"/>
  <c r="S9" i="1"/>
  <c r="I8" i="1"/>
  <c r="S8" i="1" s="1"/>
  <c r="AB9" i="1"/>
  <c r="AA8" i="1"/>
  <c r="AK9" i="1"/>
  <c r="AJ8" i="1"/>
  <c r="X17" i="1"/>
  <c r="V16" i="1"/>
  <c r="AB57" i="1"/>
  <c r="AA56" i="1"/>
  <c r="AB56" i="1" s="1"/>
  <c r="AB71" i="1"/>
  <c r="AA70" i="1"/>
  <c r="AB70" i="1" s="1"/>
  <c r="I71" i="1"/>
  <c r="S72" i="1"/>
  <c r="AD57" i="1"/>
  <c r="AC56" i="1"/>
  <c r="AD56" i="1" s="1"/>
  <c r="AE57" i="1"/>
  <c r="AE56" i="1" s="1"/>
  <c r="AE99" i="1" s="1"/>
  <c r="AK71" i="1"/>
  <c r="AJ70" i="1"/>
  <c r="AK70" i="1" s="1"/>
  <c r="AG99" i="1"/>
  <c r="AH99" i="1" s="1"/>
  <c r="V30" i="1"/>
  <c r="AD9" i="1"/>
  <c r="AC8" i="1"/>
  <c r="AK57" i="1"/>
  <c r="AJ56" i="1"/>
  <c r="AK56" i="1" s="1"/>
  <c r="X93" i="1"/>
  <c r="V92" i="1"/>
  <c r="V91" i="1" s="1"/>
  <c r="I29" i="1" l="1"/>
  <c r="S29" i="1" s="1"/>
  <c r="AC99" i="1"/>
  <c r="S71" i="1"/>
  <c r="I70" i="1"/>
  <c r="S70" i="1" s="1"/>
  <c r="S57" i="1"/>
  <c r="I56" i="1"/>
  <c r="S56" i="1" s="1"/>
  <c r="AD8" i="1"/>
  <c r="AJ99" i="1"/>
  <c r="AK99" i="1" s="1"/>
  <c r="AK8" i="1"/>
  <c r="AA99" i="1"/>
  <c r="AB8" i="1"/>
  <c r="V9" i="1"/>
  <c r="Y99" i="1"/>
  <c r="W8" i="1" s="1"/>
  <c r="AD99" i="1" l="1"/>
  <c r="AB99" i="1"/>
  <c r="X8" i="1"/>
  <c r="W71" i="1"/>
  <c r="W52" i="1"/>
  <c r="X52" i="1" s="1"/>
  <c r="W87" i="1"/>
  <c r="X87" i="1" s="1"/>
  <c r="W75" i="1"/>
  <c r="X75" i="1" s="1"/>
  <c r="W57" i="1"/>
  <c r="W30" i="1"/>
  <c r="W9" i="1"/>
  <c r="X9" i="1" s="1"/>
  <c r="W29" i="1"/>
  <c r="X29" i="1" s="1"/>
  <c r="W70" i="1"/>
  <c r="X70" i="1" s="1"/>
  <c r="W56" i="1"/>
  <c r="X56" i="1" s="1"/>
  <c r="W91" i="1"/>
  <c r="X91" i="1" s="1"/>
  <c r="X57" i="1" l="1"/>
  <c r="V56" i="1"/>
  <c r="X71" i="1"/>
  <c r="V70" i="1"/>
  <c r="X99" i="1"/>
  <c r="X30" i="1"/>
  <c r="V29" i="1"/>
  <c r="V8" i="1"/>
  <c r="W99" i="1"/>
  <c r="V99" i="1" l="1"/>
</calcChain>
</file>

<file path=xl/sharedStrings.xml><?xml version="1.0" encoding="utf-8"?>
<sst xmlns="http://schemas.openxmlformats.org/spreadsheetml/2006/main" count="733" uniqueCount="264">
  <si>
    <t xml:space="preserve">MATRIZ DE SEGUIMIENTO DEL PLAN DE ACCIÓN
ANEXO No. 1. AVANCE EN LAS METAS FÍSICAS Y FINANCIERAS DEL PLAN DE ACCIÓN  </t>
  </si>
  <si>
    <t>PERIODO REPORTADO:</t>
  </si>
  <si>
    <t xml:space="preserve">(1) LINEAS ESTRATEGICAS -
PROGRAMAS - PROYECTOS Y ACTIVIDADES DEL PLAN DE ACCIÓN 2020-2023
(inserte filas cuando sea necesario)
</t>
  </si>
  <si>
    <t>COMPORTAMIENTO META FISICA 
PLAN DE ACCION</t>
  </si>
  <si>
    <t>(25)
OBSERVACIONES</t>
  </si>
  <si>
    <t>(26)
PROGRAMA DE INVERSIÓN PUBLICA A LA QUE APORTA</t>
  </si>
  <si>
    <t>(27)
IMG AL QUE  APORTA</t>
  </si>
  <si>
    <t>(28)
INDICADOR ODS AL QUE LE APORTA</t>
  </si>
  <si>
    <t>COD. FUENTE</t>
  </si>
  <si>
    <t>SCRIP</t>
  </si>
  <si>
    <t xml:space="preserve">   (2) UNIDAD DE MEDIDA</t>
  </si>
  <si>
    <t>(3)META FISICA ANUAL
 (Según unidad de medida)</t>
  </si>
  <si>
    <t>(4)
AVANCE DE LA META
FISICA  
(Según unidad de medida y Periodo Evaluado)</t>
  </si>
  <si>
    <t>(4A)
AVANCE DEL REZAGO DE LA META
FISICA 
(Según unidad de medida y Periodo Evaluado)</t>
  </si>
  <si>
    <t xml:space="preserve">(5)
PORCENTAJE DE AVANCE 
FISICO %
(Periodo Evaluado)
((4/3)*100)
</t>
  </si>
  <si>
    <t>(5-A) DESCRIPCIÓN DEL AVANCE 
(Se puede describir en texto lo que se desea aclarar del avance númerico respectivo)</t>
  </si>
  <si>
    <t xml:space="preserve">(6) FECHA DE EJECUCION DE  LA EVIDENCIA </t>
  </si>
  <si>
    <t xml:space="preserve">(7) TIPO DE EVIDENCIA </t>
  </si>
  <si>
    <t>(7-A) ACCIONES DE FUNCIONAMIENTO</t>
  </si>
  <si>
    <t>(7-B) ESTADO CONTRATO</t>
  </si>
  <si>
    <t>(7-B.1) N° CONTRATO</t>
  </si>
  <si>
    <t>(8) VALOR</t>
  </si>
  <si>
    <t>(8-A) PAGO DEL CONTRATO</t>
  </si>
  <si>
    <t>(8-B) FECHA DE PAGO</t>
  </si>
  <si>
    <t>(9)
PORCENTAJE DE AVANCE PROCESO DE GESTION DE LA META
FISICA
(aplica unicamente para el informe del primer semestre)</t>
  </si>
  <si>
    <t xml:space="preserve"> (10) META FISICA DEL PLAN (Según unidad de medida)</t>
  </si>
  <si>
    <t>(11) ACUMULADO DE LA META FISICA (Según unidad de medida)</t>
  </si>
  <si>
    <t>(12) PORCENTAJE DE AVANCE FISICO ACUMULADO % 
((11/10)*100)</t>
  </si>
  <si>
    <t>(13)               PONDERACIONES DE PROGRAMAS  Y PROYECTOS</t>
  </si>
  <si>
    <t>(14) PONDERACIONES DE PROGRAMAS  Y PROYECTOS VIGENCIA 2021 (OPCIONAL DE ACUERDO AL PLAN DE ACCIÓN)</t>
  </si>
  <si>
    <t>(15) META FINANCIERA ANUAL  ($)</t>
  </si>
  <si>
    <t>(16) AVANCE DE LA META FINANCIERA (Recursos comprometidos periodo Evaluado) ($)</t>
  </si>
  <si>
    <t>(17)  PORCENTAJE DEL AVANCE FINANCIERO % (Periodo Evaluado) 
((12/11)*100)</t>
  </si>
  <si>
    <t>(18) AVANCE DE LOS RECURSOS OBLIGADOS $</t>
  </si>
  <si>
    <t>(19) PORCENTAJE DE AVANCE DE LOS RECURSOS OBLIGADOS ((18/16)*100)</t>
  </si>
  <si>
    <t>(20) RESERVA PRESUPUESTAL $
(16-18)</t>
  </si>
  <si>
    <t>(21) RESERVA PRESUPUESTAL DEL 2021
$</t>
  </si>
  <si>
    <t>(21-A) OBLIGACIONES DE LA RESERVA 2021
 $</t>
  </si>
  <si>
    <t>(21-B) PORCENTAJE DE AVANCE EJECUCIÓN DE LA RESERVA $
(21-A/21)</t>
  </si>
  <si>
    <t>(22)                                         META FINANCIERA   DEL PLAN             ($)</t>
  </si>
  <si>
    <t xml:space="preserve">(23) AVANCE 
ACUMULADO DE LA META
FINANCIERA
$
</t>
  </si>
  <si>
    <t xml:space="preserve">(24)
PORCENTAJE DE  AVANCE FINANCIERO ACUMULADO %
((23/22)*100)
</t>
  </si>
  <si>
    <t>Linea Estratégica 1. Uso y aprovechamiento de la oferta natural para el desarrollo sostenible de los sectores productivos</t>
  </si>
  <si>
    <t>3201 – Fortalecimiento del desempeño ambiental de los sectores productivos.</t>
  </si>
  <si>
    <t>Programa 3201 - Fortalecimiento del desempeño ambiental de los sectores productivos</t>
  </si>
  <si>
    <t>Proyecto 320101 - Desarrollo sectorial sostenible</t>
  </si>
  <si>
    <t>Porcentaje de sectores con acompañamiento para la reconversión hacia sistemas sostenibles de producción (IM 18)</t>
  </si>
  <si>
    <t>Porcentaje</t>
  </si>
  <si>
    <t>Se desarrolló la fase precontractual</t>
  </si>
  <si>
    <t>01/01/2022 al 30/06/2022</t>
  </si>
  <si>
    <t>Contrato</t>
  </si>
  <si>
    <t>En ejecución</t>
  </si>
  <si>
    <t xml:space="preserve"> CTOS: 079-098-109-187</t>
  </si>
  <si>
    <t>A 30/06/2022</t>
  </si>
  <si>
    <t>Porcentaje de sectores con acompañamiento para la reconversión hacia sistemas sostenibles de producción</t>
  </si>
  <si>
    <t>37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t>
  </si>
  <si>
    <t>Apoyo a la  Gestión, Operación, Administración y Promoción del Proyecto</t>
  </si>
  <si>
    <t>Global</t>
  </si>
  <si>
    <t>Se adelantó la contratación y esta en ejecución</t>
  </si>
  <si>
    <t>Funcionamiento</t>
  </si>
  <si>
    <t>Gastos Opertaivos de inversión</t>
  </si>
  <si>
    <t>OC: 87716 - Gastos Opertaivos de inversión</t>
  </si>
  <si>
    <t>Proyecto 320102 -Negocios verdes</t>
  </si>
  <si>
    <t>Implementación del Programa Regional de Negocios Verdes por la autoridad ambiental (IM 20)</t>
  </si>
  <si>
    <t>CTOS: 077-078-079-080-151</t>
  </si>
  <si>
    <t>Implementación del Programa Regional de Negocios Verdes por la autoridad ambiental</t>
  </si>
  <si>
    <t>29 Flujos totales de la asistencia oficial al desarrollo para el sector agrícola (asistencia oficial para el desarrollo, además de otros flujos oficiales)</t>
  </si>
  <si>
    <t>CTO: 170
OC: 87716
Gastos Opertaivos de inversión</t>
  </si>
  <si>
    <t>Proyecto 320103 - Control y vigilancia al desarrollo sectorial sostenible</t>
  </si>
  <si>
    <t>Porcentaje de Planes de Gestión Integral de Residuos Sólidos (PGIRS) con seguimiento a metas de aprovechamiento (IM 17)</t>
  </si>
  <si>
    <t xml:space="preserve">Durante el primer semestrese realizó el primer seguimiento a los PGIRS adoptados por los 37 municipios del departamento del Huila, el porcentaje promedio de cumplimiento de las metas de aprovechamiento es del 81%. </t>
  </si>
  <si>
    <t>CTO: 147-167-054</t>
  </si>
  <si>
    <t>Porcentaje de Planes de Gestión Integral de Residuos Sólidos (PGIRS) con seguimiento a metas de aprovechamiento</t>
  </si>
  <si>
    <t>35 Grado de aplicación de la ordenación integrada de los recursos hídricos (0-100)</t>
  </si>
  <si>
    <t xml:space="preserve">Porcentaje de asistencia técnica, seguimiento y control a generadores de residuos o desechos peligrosos – RESPEL y especiales </t>
  </si>
  <si>
    <t xml:space="preserve">Se realizaron 170 visitas de seguimiento a establecimintos generadores de residuos peligrosos de 480 que constituye la meta establecida en el indicador RESPEL. </t>
  </si>
  <si>
    <t>CTO: 019-063</t>
  </si>
  <si>
    <t>Porcentaje de autorizaciones ambientales con seguimiento (IM 22)</t>
  </si>
  <si>
    <t>En el semestre I de 2022, a través de las Direcciones Territoriales y la Subdirección de Regulación y Calidad Ambiental, se realizaron 2.183 visitas de seguimientos a los permisos, concesiones  y licencias otorgados activos, en su mayoría de vigencias anteriores.</t>
  </si>
  <si>
    <t>CTO: 016-017-021-023-025-030-042-050-057-059-060-061-069-095-106-123-130-135-153-166-167-032-046-054-058-203-201-207</t>
  </si>
  <si>
    <t>Porcentaje de autorizaciones ambientales con seguimiento</t>
  </si>
  <si>
    <t>Tiempo promedio de trámite para la resolución de autorizaciones ambientales otorgadas por la Corporación. (IM 21)</t>
  </si>
  <si>
    <t>Dias</t>
  </si>
  <si>
    <t>Los procesos se atienden conforme a los procedimientos internos de la Corporación establecidos en la P-CAM-017 y la normatividad ambiental vigente.</t>
  </si>
  <si>
    <t>Tiempo promedio de trámite para la resolución de autorizaciones ambientales otorgadas por la corporación</t>
  </si>
  <si>
    <t>Porcentaje de solicitudes de licencias y permisos ambientales resueltos</t>
  </si>
  <si>
    <t xml:space="preserve">La Corporación a través de la aplicativo Ventanilla Integral de Trámites Ambientales en Línea – VITAL, recepcionó durante el periodo 1,449 solicitudes y seotorgaron 814 que corresponde a Licencias, Concesiones, Permisos y Autorizaciones, para el uso y aprovechamiento de los recursos naturales.
</t>
  </si>
  <si>
    <t>CTO: 012-016-017-021-023-028-034-035-040-042-044-052-057-059-061-064-065-095-123-162-166-167-031-054-055-056-178-179-180-181-182-200-213</t>
  </si>
  <si>
    <t>Porcentaje de procesos sancionatorios resueltos (IM 23)</t>
  </si>
  <si>
    <t xml:space="preserve">En el periodo ingresaron por VITAL 1,603 denuncias por presuntas infracciones ambientales, se logró atender 1,273 equivalente al 79%, realizando la respectiva visita de inspección ocular; de igual forma se resolvieron 577 denuncias radicadas en 2022 y 909 procesos de vigencias anteriores, para un total resueltos 1,486 . </t>
  </si>
  <si>
    <t>CTOS: 034-035-040-044-064-065-130-162-031-032-046-178-179-180-181-182-200-207</t>
  </si>
  <si>
    <t>Porcentaje de Procesos Sancionatorios Resueltos</t>
  </si>
  <si>
    <t>Fuentes móviles de emisiones atmosféricas (vía pública y empresas transportadoras - Laboratorio de fuentes móviles) con seguimiento, monitoreo y control</t>
  </si>
  <si>
    <t>Unidad</t>
  </si>
  <si>
    <t xml:space="preserve">A traves del vehiculo de fuentes moviles durante este semestre se realizo monitoreo a 98 vehiculos de fuentes moviles entre motocicletas y vehiculos. </t>
  </si>
  <si>
    <t>Porcentaje de ejecución de acciones en Gestión Ambiental Urbana</t>
  </si>
  <si>
    <t>Red de vigilancia y monitoreo de la calidad del aire implementada</t>
  </si>
  <si>
    <t>Se continua operando  la red de calidad de aire para la ciudad de Neiva, la cual opera con dos estaciones ubicadas en el centro y en las instalaciones de la CAM denominadas CAM Norte y Alcaldía de Neiva.</t>
  </si>
  <si>
    <t>Mapas de ruido y planes de descontaminación actualizados</t>
  </si>
  <si>
    <t>Se adelanta el poceso de contratacion, para la actualización de los mapas de ruido ambiental del municipio de Pitalito, para sus áreas críticas prioritarias y la reformulación del plan de descontaminación por ruido en el municipio de Pitalito</t>
  </si>
  <si>
    <t>Generadores y gestores de Residuos de Construcción y Demolición - RCD con seguimiento</t>
  </si>
  <si>
    <t xml:space="preserve">Durante el primer semestre se ha realizado el seguiminento a 26 generadores de RCD y 2 Gestores. </t>
  </si>
  <si>
    <t>CTOS: 063-069</t>
  </si>
  <si>
    <t>Empresas obligadas a conformar el Departamento de Gestión Ambiental con seguimiento</t>
  </si>
  <si>
    <t xml:space="preserve">Se han realizado 29 visitas de seguimientos a DGA de 42 que cuentan con dicho departamento. </t>
  </si>
  <si>
    <t>CTO: 147</t>
  </si>
  <si>
    <t>Gestión, Operación, Administración y Promoción del Proyecto apoyados</t>
  </si>
  <si>
    <t xml:space="preserve">Se avanza en la contratacion y ejecucion de las acciones establecidas en el presente proyecto. </t>
  </si>
  <si>
    <t>Linea Estratégica 2. Gestión integral de áreas protegidas y de su biodiversidad hacia la consolidación del SIRAP</t>
  </si>
  <si>
    <t>3202 – Conservación de la biodiversidad y sus servicios ecosistémicos.</t>
  </si>
  <si>
    <t>Programa 3202 - Conservación de la biodiversidad y los servicios ecosistémicos</t>
  </si>
  <si>
    <t>Proyecto 320201 - Gestión integral de la biodiversidad y sus servicios ecosistémicos</t>
  </si>
  <si>
    <t>No. predios apoyados para su caracterización y/o gestión como reserva natural de la sociedad civil</t>
  </si>
  <si>
    <t>34 predios EN PROCESO apoyados para su registro como RNSC.
60 RNSC ya registradas apoyadas para su gestión, a traves de sistemas productivos sostenibles y visitas de fortalecimiento.
21 predios identificados como Nuevas Iniciativas para iniciar el proceso de caracterización y registro como RNSC</t>
  </si>
  <si>
    <t>CTOS: 101-136-159</t>
  </si>
  <si>
    <t>5 Asistencia oficial para el desarrollo y gasto público en la conservación y el uso sostenible de la biodiversidad y de los ecosistemas</t>
  </si>
  <si>
    <t>No. ecosistemas compartidos planificados y/o gestionados por la Corporación</t>
  </si>
  <si>
    <t>Avance del convenio con CI</t>
  </si>
  <si>
    <t>CTO: 159</t>
  </si>
  <si>
    <t>No. de áreas estratégicas con desarrollo de actividades de investigacion-monitoreo y estudios de caracterización de la biodiversidad con participación comunitaria</t>
  </si>
  <si>
    <t>Pendiente convenio con CI</t>
  </si>
  <si>
    <t xml:space="preserve">No. De estudios formulados  y/o actualizados de planes de manejo ambiental (PMA) de áreas protegidas </t>
  </si>
  <si>
    <t>Pendiente ejecución del contrato</t>
  </si>
  <si>
    <t>% de estudios elaborados  en ejecución de la Política Ambiental</t>
  </si>
  <si>
    <t xml:space="preserve">Avance en Valoración Económica de 4 Humedales con PMA y en Zonificación y Régimen de usos de complejos de páramos. </t>
  </si>
  <si>
    <t>Porcentaje de especies  invasoras con medidas de prevención, control y manejo en ejecución (IM 14)</t>
  </si>
  <si>
    <t>Se avanzó en la implementacion de medidas de control y manejo de las especies invasoras reportadas en el semestre A-2022</t>
  </si>
  <si>
    <t>Porcentaje de especies invasoras con medidas de prevención, control y manejo en ejecución</t>
  </si>
  <si>
    <t>Porcentaje de áreas protegidas con planes de manejo en ejecución (IM 12)</t>
  </si>
  <si>
    <t>Se cuenta con 8 preofesionales contratados y Consultoria de equipo tecnico en proceso de contratación</t>
  </si>
  <si>
    <t>CTOS: 085-087-088-089-090-156-159-183-184-187</t>
  </si>
  <si>
    <t>Porcentaje de áreas protegidas con planes de manejo en ejecución</t>
  </si>
  <si>
    <t>Porcentaje de áreas de ecosistemas en restauración, rehabilitación y reforestación (IM 15)</t>
  </si>
  <si>
    <t>Implementación de acciones en Bosque seco tropical; Implementacion de PMA de Humedales</t>
  </si>
  <si>
    <t>CTOS: 084-086-111-216</t>
  </si>
  <si>
    <t>IMG 15Porcentaje de áreas de ecosistemas en restauración, rehabilitación y reforestación</t>
  </si>
  <si>
    <t>Porcentaje de especies amenazadas con medidas de conservación y manejo en ejecución (IM 13)</t>
  </si>
  <si>
    <t>Implementación de acciones para la conservación de especies amenazadas focales</t>
  </si>
  <si>
    <t>CTOS: 097-117</t>
  </si>
  <si>
    <t>Porcentaje de especies amenazadas con medidas de conservación y manejo en ejecución</t>
  </si>
  <si>
    <t>CTOS: 170
OC: 87716
Gastos Opertaivos de inversión</t>
  </si>
  <si>
    <t>Proyecto 320202 - Control, seguimiento y monitoreo al uso y manejo de recursos de la oferta natural</t>
  </si>
  <si>
    <t>No. estrategias de control implementadas para extracción  ilegal de los recursos naturales. RED DE CONTROL AMBIENTAL RECAM</t>
  </si>
  <si>
    <t xml:space="preserve">Durante el primer semestre de 2022,  en el marco de la estrategia RECAM, se realizaron  73 operativos de seguimiento y control a la deforestación,  cacería, tenencia ilegal de fauna silvestre, afectación por minería ilegal, se logro el decomiso de 88 individuos de fauna silvestre y 182 m3 de material forestal, el decomiso de 7 vehiculos y elementos utilizados  para cometer infracciones ambientales; 41 puestos de control en diferentes vías públicas del departamento; 62 seguimientos a empresas forestales maderable y bno maderables y 11 capacitaciones a la afuerz publica. </t>
  </si>
  <si>
    <t>CTOS: 016-019-020-023-026-050-052-053-062-063-066-068-069-095-113-135-161-163-166-167-054-055-056-176-177-078-179-180-181-182-200</t>
  </si>
  <si>
    <t>Estrategias de control a la deforestacion y conservacion y uso sostenible de los bosques en el departamento del Huila implementada</t>
  </si>
  <si>
    <t xml:space="preserve">En la Estrategia adelantada contra la deforestacion se enmarcaron en: Acciones de prevencion, mitigacion e intervencion;  28 visitas de evaluación y seguimiento a empresas forestales con registro LOF; Suscripcion de la fase 2,0 del Acuerdo por la Madera Legal en el Departamento del Huila (74 firmantes), se suscribio el Decreto contra la deforestacion en el municipio de Garzon y se elabroaron los Planes Operativos de 19 decretos suscritos por igual numero de municipios. Participamos del Operativo Nacional, promovido por el MADS en el marco del Proyecto Posicionamiento de la Gobernanza Forestal en Colombia; Asi como tambien elaboramos y estamos implementando en conjunto con la Novena Brigada el Plan de Acción 2022 de la Burbuja Ambiental. </t>
  </si>
  <si>
    <t>CTO: 028-ADICION CTO XXX DE 2021</t>
  </si>
  <si>
    <t>Estrategia para la preservación, conservación, rehabilitación y/o reintroducción, control y seguimiento a la fauna silvestre formulada e implementada</t>
  </si>
  <si>
    <t xml:space="preserve">Se dio la atencion, valoracion y disposicion de 657 especimenes de fauna silvestre, en los dos hogares de paso 8Neiuva y Pitalito) y  CAV (Teruel), los cuales ingresaron producto de rescates, decomisos y entregas voluntarias. </t>
  </si>
  <si>
    <t>CTOS: 020-45-114-129-194
OC: 88620</t>
  </si>
  <si>
    <t>Proyecto 320203 - Restauración, reforestación y protección de ecosistemas estratégicos en cuencas hidrográficas</t>
  </si>
  <si>
    <t>Porcentaje de suelos degradados en recuperación o rehabilitacón (IM 8)</t>
  </si>
  <si>
    <t>En proceso de planificación</t>
  </si>
  <si>
    <t>Porcentaje de suelos degradados en recuperación o rehabilitación</t>
  </si>
  <si>
    <t>Porcentaje de áreas reforestadas gestionadas y con mantenimiento para la protección de cuencas abastecedoras</t>
  </si>
  <si>
    <t>En proceso de planificación y contratación para la ejecucipón de las actividades</t>
  </si>
  <si>
    <t>OC: 87716</t>
  </si>
  <si>
    <t>IMG 15 Porcentaje de áreas de ecosistemas en restauración, rehabilitación y reforestación</t>
  </si>
  <si>
    <t xml:space="preserve">Ha. revegetalizadas naturalmente para la protección de cuencas abastecedoras </t>
  </si>
  <si>
    <t>Hectárea</t>
  </si>
  <si>
    <t>Porcentaje de áreas revegetalizadas naturalmente para la protección de cuencas abastecedoras con mantenimiento</t>
  </si>
  <si>
    <t>Ha. adquiridas y administradas para la restauración  y conservación de áreas estratégicas en cuencas hidrográficas abastecedoras de acueductos municipales y/o veredales</t>
  </si>
  <si>
    <t>Programa 3206 Gestión del cambio climático para un desarrollo bajo en carbono y resiliente al clima</t>
  </si>
  <si>
    <t>3206 – Gestión del cambio climático para un desarrollo bajo en carbono y resiliente al clima.</t>
  </si>
  <si>
    <t>Proyecto 320601 - Gestión del cambio climático</t>
  </si>
  <si>
    <t>Identificación, promoción y aplicación de energías alternativas y/o utilización de sistemas ecoeficientes de combustión en sectores productivos y/o para uso doméstico</t>
  </si>
  <si>
    <t>CTO 165</t>
  </si>
  <si>
    <t>166 Proporción de la población que vive en ciudades que implementan planes de desarrollo urbano y regional integrando las proyecciones de población y las necesidades de recursos, por tamaño de la ciudad</t>
  </si>
  <si>
    <t>Porcentaje de entes territoriales asesorados en la incorporación, planificación y ejecución de acciones relacionadas con cambio climático en el marco de los instrumentos de planificación territorial (IM 7)</t>
  </si>
  <si>
    <t>CTO 091</t>
  </si>
  <si>
    <t>Porcentaje de entes territoriales asesorados en la incorporación, planificación y ejecución de acciones relacionadas con cambio climático en el marco de los instrumentos de planificación territorial</t>
  </si>
  <si>
    <t>Linea Estratégica 3. Gestión integral del recurso hídrico, suelo, aire y bosque para su adecuado aprovechamiento</t>
  </si>
  <si>
    <t>3204 – Gestión de la información y el conocimiento ambiental.</t>
  </si>
  <si>
    <t>Programa 3203 Gestión integral del recurso hídrico, suelo, aire y bosque para su adecuado aprovechamiento</t>
  </si>
  <si>
    <t>3203 – Gestión integral del recurso hídrico.</t>
  </si>
  <si>
    <t>Proyecto 320301 - Conservación y uso eficiente del recurso hídrico</t>
  </si>
  <si>
    <t xml:space="preserve">Porcentaje de avance en la formulación y/o ajustes de los  Planes de Ordenación y Manejo de Cuencas (POMCAS), Planes de Manejo de Acuíferos (PMA) y Planes de Manejo de Microcuencas (PMM)  (IM 1) </t>
  </si>
  <si>
    <t>Se contrato el POMCA del Río Yaguará.</t>
  </si>
  <si>
    <t>CTOS: 100-222
Gastos Opertaivos de inversión</t>
  </si>
  <si>
    <t>Porcentaje de avance en la formulación y/o ajuste de los Planes de Ordenación y Manejo de Cuencas (POMCAS), Planes de Manejo de Acuíferos (PMA) y Planes de Manejo de Microcuencas (PMM)</t>
  </si>
  <si>
    <t>Porcentaje de Planes de Ordenación y Manejo de Cuencas (POMCAS), Planes de Manejo de Acuíferos (PMA) y Planes de Manejo de Microcuencas (PMM) en ejecución (IM 6)</t>
  </si>
  <si>
    <t>Se están atendiendo los POMCAS y PMAM, que se encuentran aprobadas por la CAM, los cuales son Rios Guarapas, Suaza, Ciebas y quebradas Garzón y Barbillas.</t>
  </si>
  <si>
    <t>CTOS: 104-144-155-
OC: 87716184-187-052/07</t>
  </si>
  <si>
    <t>Porcentaje de Planes de Ordenación y Manejo de Cuencas (POMCAS), Planes de Manejo de Acuíferos (PMA) y Planes de Manejo de Microcuencas (PMM) en ejecución</t>
  </si>
  <si>
    <t>No.  convenios  para cofinanciar la construcción  y seguimiento a proyectos de saneamiento ambiental hídrico como: interceptores, emisarios finales,  sistemas de tratamiento de aguas residuales domésticas y/o estudios y diseños asociados a estas obras</t>
  </si>
  <si>
    <t>Proyecto 320302 - Administración del recurso hídrico</t>
  </si>
  <si>
    <t>Porcentaje de Programas de Uso Eficiente y Ahorro del Agua (PUEAA) con seguimiento (IM 5)</t>
  </si>
  <si>
    <t xml:space="preserve">Se efectuaron los seguimientos a Programas de Uso Eficiente y Ahorro del Agua para el corte del primer semestre del año 2022.  </t>
  </si>
  <si>
    <t>CTOS: 038-167-054</t>
  </si>
  <si>
    <t>Porcentaje de Programas de Uso Eficiente y Ahorro del Agua (PUEAA) con seguimiento</t>
  </si>
  <si>
    <t>Porcentaje de Planes de Saneamiento y Manejo de Vertimientos –PSMV- con seguimiento (IM 3)</t>
  </si>
  <si>
    <t xml:space="preserve">Se efectuaron los seguimientos a Planes de Saneamiento y Manejo de Vertimientos - PSMV para el corte del primer semestre del año 2022.  </t>
  </si>
  <si>
    <t>CTOS: 167-054</t>
  </si>
  <si>
    <t>Porcentaje de Planes de Saneamiento y Manejo de Vertimientos (PSMV) con seguimiento</t>
  </si>
  <si>
    <t>Porcentaje de cuerpos de agua con reglamentación por uso de las aguas (IM 4)</t>
  </si>
  <si>
    <t>Se avanzó en la fase 2, de la reglamentación de la Quebrada La Rivera, correspondiente al trabajo de campo, realizando visitas oculares, censo de los usuarios que aprovechan las aguas de la Quebrada La Rivera, georreferenciación, cartografía, y en los estudios de la reglamentación tales como hidrometeorologicos, agronómicos, etc.</t>
  </si>
  <si>
    <t>Porcentaje de cuerpos de agua con reglamentación del uso de las aguas</t>
  </si>
  <si>
    <t>Porcentaje de cuerpos de agua con plan de ordenamiento del recurso hídrico (PORH) adoptados (IM 2)</t>
  </si>
  <si>
    <t xml:space="preserve">Se avanzó en la fase 2 de diagnóstico del PORH de la Quebrada La Chorrera y El Chuzcal, correspondiente al trabajo de campo, realizando el censo de usuarios, diseño y ejecución del plan de monitoreo, estimación de la oferta hídrica, de los índices de calidad fisico-quimica e hidrobiologica, </t>
  </si>
  <si>
    <t>Porcentaje de cuerpos de agua con planes de ordenamiento del recurso hídrico (PORH) adoptados</t>
  </si>
  <si>
    <t>Implementación del Programa Institucional Regional de monitoreo del agua - PIRMA en aguas superficial y subterráneas</t>
  </si>
  <si>
    <t>corresponde a la ejecución del primer semestre, este involucra monitoreo, seguimiento y mantenimiento a estaciones hidrometeorológicas</t>
  </si>
  <si>
    <t>CTOS: 012-014-017-029-037-038-039-041-047-050-052-060-061-067-068-105-115-116-153-167-027-043-048-049-055-056-152-195-215-208-198-202-212-213</t>
  </si>
  <si>
    <t>Estudios Ambientales del recurso hídrico Evaluación Regional del Agua - ERA) elaborados</t>
  </si>
  <si>
    <t>El Numero 6, obedece al número de Subzonas con indicadores hídricos regionales, en oferta, demanda, calidad y riesgos. Para lograr este objetivo se debe compilar información, analizarla, procesarla y generar los indicadores por Subzonas, lo anterior transversalmente con el componente cartográfico. Este indicador se evalúa a final de año. En este semestre se realizó la compilación de información, análisis cartográfico y estructuración de la hoja de cálculo</t>
  </si>
  <si>
    <t>CTOS: 013-015-018-033-125</t>
  </si>
  <si>
    <t>Porcentaje de ejecución de acciones en gestión ambiental urbana (IM 19)</t>
  </si>
  <si>
    <t>Linea Estratégica 4. Fortalecimiento institucional base para la planificación ambiental y la gestión territorial</t>
  </si>
  <si>
    <t>Programa 3204 - Gestión de la información y el conocimiento ambiental</t>
  </si>
  <si>
    <t>Proyecto 320401 Información y conocimiento ambiental</t>
  </si>
  <si>
    <t>Porcentaje de Optimización y seguimiento de los aplicativos en línea de trámites ambientales (CITA, RUIA, SUNL, LOFL, SILAMC - VITAL)</t>
  </si>
  <si>
    <t xml:space="preserve">la Corporación tiene una oferta de 24 tramites en ambiente web, a través de VITAL, A junio de 2022, se tienen 55.434 registros en los aplicativos de autoridad ambiental, distribuidos así: 
• CITA: 36.093 radicados (licencias y permisos ambientales: 12.510 e infracciones ambientales: 23.583) desde 2010 a junio de 2018. 
• VITAL: 19.341 radicados (licencias y permisos ambientales: 7.129 e infracciones ambientales: 12.212) desde julio de 2018 a junio de 2022.   
</t>
  </si>
  <si>
    <t>CTOS: 022-058-186-189-190-191-192-209-210</t>
  </si>
  <si>
    <t>Porcentaje de actualización y reporte de la información en el SIAC (IM 26)</t>
  </si>
  <si>
    <t xml:space="preserve">Se realizó el registro y validación de información en los aplicativos bajo la competencia del Instituto de IDEAM que hacen parte del Sistema de Información Ambiental de Colombia - SIAC (SISAIRE; SNIF; SIRH. Avence de reporte: 
SISAIRE 100 100%
SNIF 30%
SIRH 28%
PCB 100%
RUA 46%
RESPEL  35%
                                                    </t>
  </si>
  <si>
    <t>CTOS: 185-186-189-190-</t>
  </si>
  <si>
    <t>Porcentaje de actualización y reporte de la información en el SIAC</t>
  </si>
  <si>
    <t>Programa 3205 - Ordenamiento ambiental territorial</t>
  </si>
  <si>
    <t>3205 – Ordenamiento ambiental territorial.</t>
  </si>
  <si>
    <t>Proyecto 320501 Fortalecimiento de los procesos de ordenamiento y planificación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</si>
  <si>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</si>
  <si>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CTOS: 071-072-075-148</t>
  </si>
  <si>
    <t>Porcentaje de municipios asesorados o asistidos en la inclusión del componente ambiental en los procesos de planificación y ordenamiento territorial, con énfasis en la incorporación de las determinantes ambientales para la revisión y ajuste de los POT</t>
  </si>
  <si>
    <t>Apoyo a la Gestión, Operación, Administración y Promoción del Proyecto</t>
  </si>
  <si>
    <t>Proyecto 320502 Gestión en conocimiento y reducción del  riesgo de desastres</t>
  </si>
  <si>
    <t>Conocimiento del riesgo de desastres gestionado</t>
  </si>
  <si>
    <t xml:space="preserve">Durante el primer semestre de 2022, se prestó asistencia técnica a 135 sitios criticos en 28 municipios del Departamento del Huila (Acevedo, Aipe, Algeciras, Baraya, Campoalegre,Elías, Garzón, Gigante, Iquira, Isnos, La Argentina, La Plata, Neiva, Oporapa, Palermo, Paicol, Pital, Pitalito, Rivera, Saladoblanco, San Agustín, Santa María, Suaza, Tarqui, Tello, Timaná, Villavieja y Yaguará) que afrontaron situaciones de desastre o emergencia como consecuencia de las temporadas de lluvias, a través de visitas técnicas especializadas. Adicionalmente, se participó en sesiones presenciales y/o virtuales de los CMGRDH y del DGRDH y se emitieron 14 circulares informativas.                                                                                                             De manera complementaria se ejecutaron al 100% los estudios de Amenaza, Vulnerabilidad y Riesgo para los cascos urbanos de Suaza, Isnos, Tesalia, Elias y Tello.                              </t>
  </si>
  <si>
    <t>CTOS: 017-024-106-211-212
OC: 87716</t>
  </si>
  <si>
    <t>Reducción del Riesgo de desastres Gestionado</t>
  </si>
  <si>
    <t xml:space="preserve">Se ejecutaron un 80% de obras de dragado sobre el rio Suaza, en el marco del convenio interadministrativo No. 253 de 2021. Así mismo, se ha ejecutado en un 66,6% la obra de canalización del río Timaná. </t>
  </si>
  <si>
    <t>Proyecto 320503 Gestión ambiental con comunidades étnicas</t>
  </si>
  <si>
    <t>Comunidades Indígenas apoyadas en temas de competencia de la Corporación</t>
  </si>
  <si>
    <t>CTOS: 132-205</t>
  </si>
  <si>
    <t>52 Ingreso promedio de los productores de alimentos a pequeña escala, por sexo y condición indígena</t>
  </si>
  <si>
    <t>50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t>
  </si>
  <si>
    <t>Proyecto 320504 Gestión del conocimiento y reducción del riesgo de desastres-pasivo exigible vigencias expiradas</t>
  </si>
  <si>
    <t>REDUCCIÓN DEL RIESGO DE DESASTRES - Pasivos exigibles vigencias expiradas</t>
  </si>
  <si>
    <t xml:space="preserve">CTO 314/19 </t>
  </si>
  <si>
    <t>Programa 3208 Educación ambiental</t>
  </si>
  <si>
    <t>3208 – Educación Ambiental.</t>
  </si>
  <si>
    <t>Proyecto 320801 Educación  y cultura ambiental</t>
  </si>
  <si>
    <t>Ejecución de acciones en Educación Ambiental (IM 27)</t>
  </si>
  <si>
    <t>CTO 081-082-083-093-102-103-107-108-118-119-120-169-173-175
OC: 88620</t>
  </si>
  <si>
    <t>Ejecución de Acciones en Educación Ambiental</t>
  </si>
  <si>
    <t>160 Proporción de indicadores de desarrollo sostenible producidos a nivel nacional, con pleno desglose cuando sea pertinente a la meta, de conformidad con los Principios Fundamentales de las Estadísticas Oficiales</t>
  </si>
  <si>
    <t>OC: 87716
Gastos Opertaivos de inversión</t>
  </si>
  <si>
    <t>Programa 3299 Fortalecimiento de la gestión y dirección del sector ambiente y desarrollo sostenible</t>
  </si>
  <si>
    <t>3299 – Fortalecimiento de la gestión y dirección del Sector Ambiente y Desarrollo Sostenible.</t>
  </si>
  <si>
    <t>Proyecto 329901 Fortalecimiento institucional para la gestión ambiental</t>
  </si>
  <si>
    <t>Porcentaje de Consolidación y fortalecimiento del Modelo Integrado de Planeación y Gestión - MIPG</t>
  </si>
  <si>
    <t>CTOS: 022-070-076-073-074-094-096-092-137-197-199-201</t>
  </si>
  <si>
    <t>Porcentaje de la Política de servicio al ciudadano implementada</t>
  </si>
  <si>
    <t>CTO: 143</t>
  </si>
  <si>
    <t>Porcentaje de actualización e implementación del Plan Estratégico Tecnológico de la CAM para el período 2020-2023</t>
  </si>
  <si>
    <t>OC: 84483-89043
Adicional Outsourcing de sistemas
CTO: 218</t>
  </si>
  <si>
    <t xml:space="preserve">Porcentaje de actualización e Implementacion del programa de gestión documental  </t>
  </si>
  <si>
    <t>CTOS: 139-209-210</t>
  </si>
  <si>
    <t>Porcentaje de sedes diseñadas y/o construidas y/o adecuadas, como ejemplo de sostenibilidad ambiental y armonía con el ambiente</t>
  </si>
  <si>
    <t>CTOS: 074-336/2021-323-320</t>
  </si>
  <si>
    <t>(18) TOTAL METAS FISICAS Y FINANCIERAS*</t>
  </si>
  <si>
    <t xml:space="preserve">*En el Proyecto 320504: GESTIÓN DEL CONOCIMIENTO Y REDUCCIÓN DEL RIESGO DE DESASTRES-PASIVO EXIGIBLE VIGENCIAS EXPIRADAS los $2.436.712.259 No se puede constituir Reserva presupuestal por cuanto corresponde a vigencias expiradas </t>
  </si>
  <si>
    <t>2022-I</t>
  </si>
  <si>
    <t>*El total de las metas fisicas y financieras sera el resultado de una sumatoria, promedios aritmetico o ponderado segun el caso y solo se aplica para las columnas relacionadas con porcentajes de avance y metas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</si>
</sst>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
    <numFmt numFmtId="166" formatCode="0.0"/>
    <numFmt numFmtId="167" formatCode="#,##0.000"/>
    <numFmt numFmtId="168" formatCode="0.000%"/>
  </numFmts>
  <fonts count="19" x14ac:knownFonts="1">
    <font>
      <sz val="11"/>
      <color theme="1"/>
      <name val="Calibri"/>
      <family val="2"/>
      <scheme val="minor"/>
    </font>
    <font>
      <sz val="11"/>
      <color theme="1"/>
      <name val="Calibri"/>
      <family val="2"/>
      <scheme val="minor"/>
    </font>
    <font>
      <sz val="10"/>
      <name val="Arial"/>
      <family val="2"/>
    </font>
    <font>
      <sz val="10"/>
      <color rgb="FFFF0000"/>
      <name val="Arial Narrow"/>
      <family val="2"/>
    </font>
    <font>
      <sz val="10"/>
      <name val="Arial Narrow"/>
      <family val="2"/>
    </font>
    <font>
      <b/>
      <sz val="12"/>
      <color rgb="FFFF0000"/>
      <name val="Arial Narrow"/>
      <family val="2"/>
    </font>
    <font>
      <b/>
      <sz val="12"/>
      <name val="Arial Narrow"/>
      <family val="2"/>
    </font>
    <font>
      <b/>
      <sz val="12"/>
      <color theme="1"/>
      <name val="Arial Narrow"/>
      <family val="2"/>
    </font>
    <font>
      <b/>
      <sz val="10"/>
      <name val="Arial Narrow"/>
      <family val="2"/>
    </font>
    <font>
      <b/>
      <sz val="11"/>
      <color rgb="FFFF0000"/>
      <name val="Arial Narrow"/>
      <family val="2"/>
    </font>
    <font>
      <b/>
      <sz val="8"/>
      <name val="Arial Narrow"/>
      <family val="2"/>
    </font>
    <font>
      <b/>
      <sz val="10"/>
      <color rgb="FFFF0000"/>
      <name val="Arial Narrow"/>
      <family val="2"/>
    </font>
    <font>
      <b/>
      <sz val="8"/>
      <color theme="1"/>
      <name val="Arial Narrow"/>
      <family val="2"/>
    </font>
    <font>
      <sz val="8"/>
      <name val="Arial Narrow"/>
      <family val="2"/>
    </font>
    <font>
      <sz val="8"/>
      <color theme="1"/>
      <name val="Arial Narrow"/>
      <family val="2"/>
    </font>
    <font>
      <b/>
      <sz val="8"/>
      <color rgb="FFFF0000"/>
      <name val="Arial Narrow"/>
      <family val="2"/>
    </font>
    <font>
      <sz val="8"/>
      <color rgb="FFFF0000"/>
      <name val="Arial Narrow"/>
      <family val="2"/>
    </font>
    <font>
      <b/>
      <sz val="10"/>
      <color theme="1"/>
      <name val="Arial Narrow"/>
      <family val="2"/>
    </font>
    <font>
      <sz val="10"/>
      <color theme="1"/>
      <name val="Arial Narrow"/>
      <family val="2"/>
    </font>
  </fonts>
  <fills count="22">
    <fill>
      <patternFill patternType="none"/>
    </fill>
    <fill>
      <patternFill patternType="gray125"/>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theme="2" tint="-0.499984740745262"/>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rgb="FF66FF66"/>
        <bgColor rgb="FFA8D08D"/>
      </patternFill>
    </fill>
    <fill>
      <patternFill patternType="solid">
        <fgColor rgb="FF66FF66"/>
        <bgColor indexed="64"/>
      </patternFill>
    </fill>
    <fill>
      <patternFill patternType="solid">
        <fgColor rgb="FF99FF99"/>
        <bgColor rgb="FFA8D08D"/>
      </patternFill>
    </fill>
    <fill>
      <patternFill patternType="solid">
        <fgColor rgb="FF99FF99"/>
        <bgColor indexed="64"/>
      </patternFill>
    </fill>
    <fill>
      <patternFill patternType="solid">
        <fgColor rgb="FFCCFFCC"/>
        <bgColor rgb="FFA8D08D"/>
      </patternFill>
    </fill>
    <fill>
      <patternFill patternType="solid">
        <fgColor rgb="FFCCFFCC"/>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E1FFE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285">
    <xf numFmtId="0" fontId="0" fillId="0" borderId="0" xfId="0"/>
    <xf numFmtId="0" fontId="4" fillId="0" borderId="4" xfId="3" applyFont="1" applyBorder="1" applyAlignment="1">
      <alignment vertical="center" wrapText="1"/>
    </xf>
    <xf numFmtId="0" fontId="3" fillId="0" borderId="4" xfId="3" applyFont="1" applyBorder="1" applyAlignment="1">
      <alignment vertical="center" wrapText="1"/>
    </xf>
    <xf numFmtId="0" fontId="3" fillId="0" borderId="0" xfId="3" applyFont="1" applyAlignment="1">
      <alignment vertical="center" wrapText="1"/>
    </xf>
    <xf numFmtId="0" fontId="4" fillId="0" borderId="4" xfId="3" applyFont="1" applyBorder="1" applyAlignment="1">
      <alignment vertical="center"/>
    </xf>
    <xf numFmtId="0" fontId="3" fillId="0" borderId="0" xfId="3" applyFont="1" applyAlignment="1">
      <alignment vertical="center"/>
    </xf>
    <xf numFmtId="0" fontId="3" fillId="0" borderId="8" xfId="3" applyFont="1" applyBorder="1" applyAlignment="1">
      <alignment vertical="center"/>
    </xf>
    <xf numFmtId="0" fontId="4" fillId="0" borderId="0" xfId="3" applyFont="1" applyAlignment="1">
      <alignment vertical="center"/>
    </xf>
    <xf numFmtId="0" fontId="3" fillId="0" borderId="12" xfId="3" applyFont="1" applyBorder="1" applyAlignment="1">
      <alignment vertical="center"/>
    </xf>
    <xf numFmtId="0" fontId="6" fillId="3" borderId="1" xfId="3" applyFont="1" applyFill="1" applyBorder="1" applyAlignment="1">
      <alignment vertical="center" wrapText="1"/>
    </xf>
    <xf numFmtId="0" fontId="6" fillId="3" borderId="2" xfId="3" applyFont="1" applyFill="1" applyBorder="1" applyAlignment="1">
      <alignment vertical="center" wrapText="1"/>
    </xf>
    <xf numFmtId="0" fontId="6" fillId="3" borderId="2" xfId="3" applyNumberFormat="1" applyFont="1" applyFill="1" applyBorder="1" applyAlignment="1">
      <alignment horizontal="center" vertical="center" wrapText="1"/>
    </xf>
    <xf numFmtId="0" fontId="7" fillId="3" borderId="2" xfId="3" applyFont="1" applyFill="1" applyBorder="1" applyAlignment="1">
      <alignment horizontal="center" vertical="center" wrapText="1"/>
    </xf>
    <xf numFmtId="9" fontId="6" fillId="3" borderId="2" xfId="3" applyNumberFormat="1" applyFont="1" applyFill="1" applyBorder="1" applyAlignment="1">
      <alignment horizontal="center" vertical="center" wrapText="1"/>
    </xf>
    <xf numFmtId="9" fontId="7" fillId="3" borderId="2" xfId="3" applyNumberFormat="1" applyFont="1" applyFill="1" applyBorder="1" applyAlignment="1">
      <alignment horizontal="center" vertical="center" wrapText="1"/>
    </xf>
    <xf numFmtId="0" fontId="5" fillId="3" borderId="2" xfId="3" applyFont="1" applyFill="1" applyBorder="1" applyAlignment="1">
      <alignment vertical="center" wrapText="1"/>
    </xf>
    <xf numFmtId="0" fontId="6" fillId="3" borderId="2" xfId="3" applyFont="1" applyFill="1" applyBorder="1" applyAlignment="1">
      <alignment horizontal="center" vertical="center" wrapText="1"/>
    </xf>
    <xf numFmtId="0" fontId="5" fillId="3" borderId="2" xfId="3" applyFont="1" applyFill="1" applyBorder="1" applyAlignment="1">
      <alignment horizontal="center" vertical="center" wrapText="1"/>
    </xf>
    <xf numFmtId="0" fontId="7" fillId="3" borderId="2" xfId="3" applyFont="1" applyFill="1" applyBorder="1" applyAlignment="1">
      <alignment vertical="center" wrapText="1"/>
    </xf>
    <xf numFmtId="9" fontId="6" fillId="3" borderId="2" xfId="2" applyFont="1" applyFill="1" applyBorder="1" applyAlignment="1">
      <alignment vertical="center" wrapText="1"/>
    </xf>
    <xf numFmtId="0" fontId="6" fillId="3" borderId="3" xfId="3" applyFont="1" applyFill="1" applyBorder="1" applyAlignment="1">
      <alignment vertical="center" wrapText="1"/>
    </xf>
    <xf numFmtId="0" fontId="4" fillId="0" borderId="12" xfId="3" applyFont="1" applyBorder="1" applyAlignment="1">
      <alignment vertical="center"/>
    </xf>
    <xf numFmtId="0" fontId="12" fillId="8" borderId="12" xfId="3" applyFont="1" applyFill="1" applyBorder="1" applyAlignment="1">
      <alignment horizontal="center" vertical="center" wrapText="1"/>
    </xf>
    <xf numFmtId="0" fontId="3" fillId="0" borderId="0" xfId="3" applyFont="1" applyAlignment="1">
      <alignment horizontal="center" vertical="center" wrapText="1"/>
    </xf>
    <xf numFmtId="0" fontId="10" fillId="8" borderId="5" xfId="3" applyNumberFormat="1" applyFont="1" applyFill="1" applyBorder="1" applyAlignment="1">
      <alignment horizontal="center" vertical="center" wrapText="1"/>
    </xf>
    <xf numFmtId="0" fontId="12" fillId="8" borderId="5" xfId="3" applyFont="1" applyFill="1" applyBorder="1" applyAlignment="1">
      <alignment horizontal="center" vertical="center" wrapText="1"/>
    </xf>
    <xf numFmtId="0" fontId="10" fillId="8" borderId="5" xfId="3" applyFont="1" applyFill="1" applyBorder="1" applyAlignment="1">
      <alignment horizontal="center" vertical="center" wrapText="1"/>
    </xf>
    <xf numFmtId="0" fontId="12" fillId="8" borderId="13" xfId="3" applyFont="1" applyFill="1" applyBorder="1" applyAlignment="1">
      <alignment horizontal="center" vertical="center" wrapText="1"/>
    </xf>
    <xf numFmtId="0" fontId="10" fillId="10" borderId="8" xfId="3" applyFont="1" applyFill="1" applyBorder="1" applyAlignment="1">
      <alignment horizontal="center" vertical="center" wrapText="1"/>
    </xf>
    <xf numFmtId="0" fontId="10" fillId="10" borderId="17" xfId="3" applyFont="1" applyFill="1" applyBorder="1" applyAlignment="1">
      <alignment horizontal="center" vertical="center" wrapText="1"/>
    </xf>
    <xf numFmtId="0" fontId="8" fillId="12" borderId="12" xfId="0" applyFont="1" applyFill="1" applyBorder="1" applyAlignment="1">
      <alignment horizontal="justify" vertical="center" wrapText="1"/>
    </xf>
    <xf numFmtId="3" fontId="10" fillId="13" borderId="12" xfId="3" applyNumberFormat="1" applyFont="1" applyFill="1" applyBorder="1" applyAlignment="1">
      <alignment vertical="center" wrapText="1"/>
    </xf>
    <xf numFmtId="0" fontId="10" fillId="13" borderId="12" xfId="3" applyNumberFormat="1" applyFont="1" applyFill="1" applyBorder="1" applyAlignment="1">
      <alignment horizontal="center" vertical="center" wrapText="1"/>
    </xf>
    <xf numFmtId="1" fontId="12" fillId="13" borderId="12" xfId="3" applyNumberFormat="1" applyFont="1" applyFill="1" applyBorder="1" applyAlignment="1">
      <alignment horizontal="center" vertical="center" wrapText="1"/>
    </xf>
    <xf numFmtId="9" fontId="10" fillId="13" borderId="12" xfId="2" applyNumberFormat="1" applyFont="1" applyFill="1" applyBorder="1" applyAlignment="1">
      <alignment horizontal="center" vertical="center" wrapText="1"/>
    </xf>
    <xf numFmtId="9" fontId="12" fillId="13" borderId="12" xfId="2" applyNumberFormat="1" applyFont="1" applyFill="1" applyBorder="1" applyAlignment="1">
      <alignment horizontal="center" vertical="center" wrapText="1"/>
    </xf>
    <xf numFmtId="0" fontId="8" fillId="13" borderId="12" xfId="3" applyFont="1" applyFill="1" applyBorder="1" applyAlignment="1">
      <alignment horizontal="center" vertical="center" wrapText="1"/>
    </xf>
    <xf numFmtId="3" fontId="8" fillId="13" borderId="12" xfId="3" applyNumberFormat="1" applyFont="1" applyFill="1" applyBorder="1" applyAlignment="1">
      <alignment horizontal="center" vertical="center" wrapText="1"/>
    </xf>
    <xf numFmtId="15" fontId="8" fillId="13" borderId="12" xfId="3" applyNumberFormat="1" applyFont="1" applyFill="1" applyBorder="1" applyAlignment="1">
      <alignment horizontal="center" vertical="center" wrapText="1"/>
    </xf>
    <xf numFmtId="9" fontId="8" fillId="13" borderId="12" xfId="2" applyNumberFormat="1" applyFont="1" applyFill="1" applyBorder="1" applyAlignment="1">
      <alignment horizontal="center" vertical="center" wrapText="1"/>
    </xf>
    <xf numFmtId="3" fontId="12" fillId="13" borderId="12" xfId="3" applyNumberFormat="1" applyFont="1" applyFill="1" applyBorder="1" applyAlignment="1">
      <alignment vertical="center" wrapText="1"/>
    </xf>
    <xf numFmtId="3" fontId="10" fillId="13" borderId="12" xfId="3" applyNumberFormat="1" applyFont="1" applyFill="1" applyBorder="1" applyAlignment="1">
      <alignment horizontal="center" vertical="center" wrapText="1"/>
    </xf>
    <xf numFmtId="164" fontId="10" fillId="13" borderId="12" xfId="1" applyNumberFormat="1" applyFont="1" applyFill="1" applyBorder="1" applyAlignment="1">
      <alignment horizontal="center" vertical="center" wrapText="1"/>
    </xf>
    <xf numFmtId="164" fontId="10" fillId="13" borderId="12" xfId="1" applyNumberFormat="1" applyFont="1" applyFill="1" applyBorder="1" applyAlignment="1">
      <alignment vertical="center" wrapText="1"/>
    </xf>
    <xf numFmtId="164" fontId="12" fillId="13" borderId="12" xfId="1" applyNumberFormat="1" applyFont="1" applyFill="1" applyBorder="1" applyAlignment="1">
      <alignment vertical="center" wrapText="1"/>
    </xf>
    <xf numFmtId="9" fontId="10" fillId="13" borderId="12" xfId="2" applyFont="1" applyFill="1" applyBorder="1" applyAlignment="1">
      <alignment horizontal="center" vertical="center" wrapText="1"/>
    </xf>
    <xf numFmtId="3" fontId="12" fillId="13" borderId="12" xfId="3" applyNumberFormat="1" applyFont="1" applyFill="1" applyBorder="1" applyAlignment="1">
      <alignment horizontal="center" vertical="center" wrapText="1"/>
    </xf>
    <xf numFmtId="3" fontId="13" fillId="13" borderId="12" xfId="3" applyNumberFormat="1" applyFont="1" applyFill="1" applyBorder="1" applyAlignment="1">
      <alignment horizontal="justify" vertical="center" wrapText="1"/>
    </xf>
    <xf numFmtId="3" fontId="10" fillId="13" borderId="12" xfId="3" applyNumberFormat="1" applyFont="1" applyFill="1" applyBorder="1" applyAlignment="1">
      <alignment horizontal="justify" vertical="center" wrapText="1"/>
    </xf>
    <xf numFmtId="0" fontId="8" fillId="13" borderId="12" xfId="3" applyFont="1" applyFill="1" applyBorder="1" applyAlignment="1">
      <alignment vertical="center" wrapText="1"/>
    </xf>
    <xf numFmtId="0" fontId="11" fillId="13" borderId="12" xfId="3" applyFont="1" applyFill="1" applyBorder="1" applyAlignment="1">
      <alignment vertical="center" wrapText="1"/>
    </xf>
    <xf numFmtId="0" fontId="8" fillId="14" borderId="12" xfId="0" applyFont="1" applyFill="1" applyBorder="1" applyAlignment="1">
      <alignment horizontal="justify" vertical="center" wrapText="1"/>
    </xf>
    <xf numFmtId="3" fontId="13" fillId="15" borderId="12" xfId="3" applyNumberFormat="1" applyFont="1" applyFill="1" applyBorder="1" applyAlignment="1">
      <alignment vertical="center" wrapText="1"/>
    </xf>
    <xf numFmtId="0" fontId="13" fillId="15" borderId="12" xfId="3" applyNumberFormat="1" applyFont="1" applyFill="1" applyBorder="1" applyAlignment="1">
      <alignment horizontal="center" vertical="center" wrapText="1"/>
    </xf>
    <xf numFmtId="1" fontId="14" fillId="15" borderId="12" xfId="3" applyNumberFormat="1" applyFont="1" applyFill="1" applyBorder="1" applyAlignment="1">
      <alignment horizontal="center" vertical="center" wrapText="1"/>
    </xf>
    <xf numFmtId="9" fontId="10" fillId="15" borderId="12" xfId="2" applyNumberFormat="1" applyFont="1" applyFill="1" applyBorder="1" applyAlignment="1">
      <alignment horizontal="center" vertical="center" wrapText="1"/>
    </xf>
    <xf numFmtId="9" fontId="12" fillId="15" borderId="12" xfId="2" applyNumberFormat="1" applyFont="1" applyFill="1" applyBorder="1" applyAlignment="1">
      <alignment horizontal="center" vertical="center" wrapText="1"/>
    </xf>
    <xf numFmtId="3" fontId="13" fillId="15" borderId="12" xfId="3" applyNumberFormat="1" applyFont="1" applyFill="1" applyBorder="1" applyAlignment="1">
      <alignment horizontal="center" vertical="center" wrapText="1"/>
    </xf>
    <xf numFmtId="9" fontId="13" fillId="15" borderId="12" xfId="2" applyNumberFormat="1" applyFont="1" applyFill="1" applyBorder="1" applyAlignment="1">
      <alignment horizontal="center" vertical="center" wrapText="1"/>
    </xf>
    <xf numFmtId="3" fontId="14" fillId="15" borderId="12" xfId="3" applyNumberFormat="1" applyFont="1" applyFill="1" applyBorder="1" applyAlignment="1">
      <alignment horizontal="center" vertical="center" wrapText="1"/>
    </xf>
    <xf numFmtId="3" fontId="10" fillId="15" borderId="12" xfId="3" applyNumberFormat="1" applyFont="1" applyFill="1" applyBorder="1" applyAlignment="1">
      <alignment horizontal="center" vertical="center" wrapText="1"/>
    </xf>
    <xf numFmtId="164" fontId="10" fillId="15" borderId="12" xfId="1" applyNumberFormat="1" applyFont="1" applyFill="1" applyBorder="1" applyAlignment="1">
      <alignment horizontal="center" vertical="center" wrapText="1"/>
    </xf>
    <xf numFmtId="164" fontId="10" fillId="15" borderId="12" xfId="1" applyNumberFormat="1" applyFont="1" applyFill="1" applyBorder="1" applyAlignment="1">
      <alignment vertical="center" wrapText="1"/>
    </xf>
    <xf numFmtId="164" fontId="12" fillId="15" borderId="12" xfId="1" applyNumberFormat="1" applyFont="1" applyFill="1" applyBorder="1" applyAlignment="1">
      <alignment vertical="center" wrapText="1"/>
    </xf>
    <xf numFmtId="9" fontId="10" fillId="15" borderId="12" xfId="2" applyFont="1" applyFill="1" applyBorder="1" applyAlignment="1">
      <alignment horizontal="center" vertical="center" wrapText="1"/>
    </xf>
    <xf numFmtId="3" fontId="12" fillId="15" borderId="12" xfId="3" applyNumberFormat="1" applyFont="1" applyFill="1" applyBorder="1" applyAlignment="1">
      <alignment horizontal="center" vertical="center" wrapText="1"/>
    </xf>
    <xf numFmtId="3" fontId="10" fillId="15" borderId="12" xfId="3" applyNumberFormat="1" applyFont="1" applyFill="1" applyBorder="1" applyAlignment="1">
      <alignment vertical="center" wrapText="1"/>
    </xf>
    <xf numFmtId="3" fontId="13" fillId="15" borderId="12" xfId="3" applyNumberFormat="1" applyFont="1" applyFill="1" applyBorder="1" applyAlignment="1">
      <alignment horizontal="justify" vertical="center" wrapText="1"/>
    </xf>
    <xf numFmtId="3" fontId="10" fillId="15" borderId="12" xfId="3" applyNumberFormat="1" applyFont="1" applyFill="1" applyBorder="1" applyAlignment="1">
      <alignment horizontal="justify" vertical="center" wrapText="1"/>
    </xf>
    <xf numFmtId="0" fontId="4" fillId="15" borderId="12" xfId="3" applyFont="1" applyFill="1" applyBorder="1" applyAlignment="1">
      <alignment vertical="center" wrapText="1"/>
    </xf>
    <xf numFmtId="0" fontId="3" fillId="15" borderId="12" xfId="3" applyFont="1" applyFill="1" applyBorder="1" applyAlignment="1">
      <alignment vertical="center" wrapText="1"/>
    </xf>
    <xf numFmtId="0" fontId="4" fillId="16" borderId="12" xfId="0" applyFont="1" applyFill="1" applyBorder="1" applyAlignment="1">
      <alignment horizontal="justify" vertical="center" wrapText="1"/>
    </xf>
    <xf numFmtId="3" fontId="13" fillId="17" borderId="12" xfId="3" applyNumberFormat="1" applyFont="1" applyFill="1" applyBorder="1" applyAlignment="1">
      <alignment vertical="center" wrapText="1"/>
    </xf>
    <xf numFmtId="0" fontId="13" fillId="17" borderId="12" xfId="3" applyNumberFormat="1" applyFont="1" applyFill="1" applyBorder="1" applyAlignment="1">
      <alignment horizontal="center" vertical="center" wrapText="1"/>
    </xf>
    <xf numFmtId="1" fontId="14" fillId="17" borderId="12" xfId="3" applyNumberFormat="1" applyFont="1" applyFill="1" applyBorder="1" applyAlignment="1">
      <alignment horizontal="center" vertical="center" wrapText="1"/>
    </xf>
    <xf numFmtId="9" fontId="10" fillId="17" borderId="12" xfId="2" applyNumberFormat="1" applyFont="1" applyFill="1" applyBorder="1" applyAlignment="1">
      <alignment horizontal="center" vertical="center" wrapText="1"/>
    </xf>
    <xf numFmtId="9" fontId="12" fillId="17" borderId="12" xfId="2" applyNumberFormat="1" applyFont="1" applyFill="1" applyBorder="1" applyAlignment="1">
      <alignment horizontal="center" vertical="center" wrapText="1"/>
    </xf>
    <xf numFmtId="3" fontId="13" fillId="17" borderId="12" xfId="3" applyNumberFormat="1" applyFont="1" applyFill="1" applyBorder="1" applyAlignment="1">
      <alignment horizontal="center" vertical="center" wrapText="1"/>
    </xf>
    <xf numFmtId="9" fontId="13" fillId="17" borderId="12" xfId="2" applyNumberFormat="1" applyFont="1" applyFill="1" applyBorder="1" applyAlignment="1">
      <alignment horizontal="center" vertical="center" wrapText="1"/>
    </xf>
    <xf numFmtId="3" fontId="14" fillId="17" borderId="12" xfId="3" applyNumberFormat="1" applyFont="1" applyFill="1" applyBorder="1" applyAlignment="1">
      <alignment horizontal="center" vertical="center" wrapText="1"/>
    </xf>
    <xf numFmtId="3" fontId="10" fillId="17" borderId="12" xfId="3" applyNumberFormat="1" applyFont="1" applyFill="1" applyBorder="1" applyAlignment="1">
      <alignment horizontal="center" vertical="center" wrapText="1"/>
    </xf>
    <xf numFmtId="164" fontId="10" fillId="17" borderId="12" xfId="1" applyNumberFormat="1" applyFont="1" applyFill="1" applyBorder="1" applyAlignment="1">
      <alignment horizontal="center" vertical="center" wrapText="1"/>
    </xf>
    <xf numFmtId="164" fontId="10" fillId="17" borderId="12" xfId="1" applyNumberFormat="1" applyFont="1" applyFill="1" applyBorder="1" applyAlignment="1">
      <alignment vertical="center" wrapText="1"/>
    </xf>
    <xf numFmtId="164" fontId="12" fillId="17" borderId="12" xfId="1" applyNumberFormat="1" applyFont="1" applyFill="1" applyBorder="1" applyAlignment="1">
      <alignment vertical="center" wrapText="1"/>
    </xf>
    <xf numFmtId="9" fontId="13" fillId="17" borderId="12" xfId="2" applyFont="1" applyFill="1" applyBorder="1" applyAlignment="1">
      <alignment horizontal="center" vertical="center" wrapText="1"/>
    </xf>
    <xf numFmtId="3" fontId="12" fillId="17" borderId="12" xfId="3" applyNumberFormat="1" applyFont="1" applyFill="1" applyBorder="1" applyAlignment="1">
      <alignment horizontal="center" vertical="center" wrapText="1"/>
    </xf>
    <xf numFmtId="9" fontId="10" fillId="17" borderId="12" xfId="2" applyFont="1" applyFill="1" applyBorder="1" applyAlignment="1">
      <alignment horizontal="center" vertical="center" wrapText="1"/>
    </xf>
    <xf numFmtId="3" fontId="10" fillId="17" borderId="12" xfId="3" applyNumberFormat="1" applyFont="1" applyFill="1" applyBorder="1" applyAlignment="1">
      <alignment vertical="center" wrapText="1"/>
    </xf>
    <xf numFmtId="3" fontId="13" fillId="17" borderId="12" xfId="3" applyNumberFormat="1" applyFont="1" applyFill="1" applyBorder="1" applyAlignment="1">
      <alignment horizontal="justify" vertical="center" wrapText="1"/>
    </xf>
    <xf numFmtId="3" fontId="10" fillId="17" borderId="12" xfId="3" applyNumberFormat="1" applyFont="1" applyFill="1" applyBorder="1" applyAlignment="1">
      <alignment horizontal="justify" vertical="center" wrapText="1"/>
    </xf>
    <xf numFmtId="0" fontId="4" fillId="17" borderId="12" xfId="3" applyFont="1" applyFill="1" applyBorder="1" applyAlignment="1">
      <alignment vertical="center" wrapText="1"/>
    </xf>
    <xf numFmtId="0" fontId="3" fillId="17" borderId="12" xfId="3" applyFont="1" applyFill="1" applyBorder="1" applyAlignment="1">
      <alignment vertical="center" wrapText="1"/>
    </xf>
    <xf numFmtId="0" fontId="4" fillId="18" borderId="12" xfId="0" applyFont="1" applyFill="1" applyBorder="1" applyAlignment="1">
      <alignment horizontal="justify" vertical="center" wrapText="1"/>
    </xf>
    <xf numFmtId="3" fontId="13" fillId="0" borderId="12" xfId="3" applyNumberFormat="1" applyFont="1" applyBorder="1" applyAlignment="1">
      <alignment horizontal="center" vertical="center" wrapText="1"/>
    </xf>
    <xf numFmtId="3" fontId="13" fillId="0" borderId="12" xfId="2" applyNumberFormat="1" applyFont="1" applyBorder="1" applyAlignment="1">
      <alignment horizontal="center" vertical="center" wrapText="1"/>
    </xf>
    <xf numFmtId="0" fontId="13" fillId="0" borderId="12" xfId="3" applyNumberFormat="1" applyFont="1" applyBorder="1" applyAlignment="1">
      <alignment horizontal="center" vertical="center" wrapText="1"/>
    </xf>
    <xf numFmtId="0" fontId="13" fillId="0" borderId="12" xfId="2" applyNumberFormat="1" applyFont="1" applyBorder="1" applyAlignment="1">
      <alignment horizontal="center" vertical="center" wrapText="1"/>
    </xf>
    <xf numFmtId="1" fontId="14" fillId="0" borderId="12" xfId="3" applyNumberFormat="1" applyFont="1" applyBorder="1" applyAlignment="1">
      <alignment horizontal="center" vertical="center" wrapText="1"/>
    </xf>
    <xf numFmtId="9" fontId="13" fillId="0" borderId="12" xfId="2" applyNumberFormat="1" applyFont="1" applyFill="1" applyBorder="1" applyAlignment="1">
      <alignment horizontal="center" vertical="center" wrapText="1"/>
    </xf>
    <xf numFmtId="9" fontId="14" fillId="0" borderId="12" xfId="2" applyNumberFormat="1" applyFont="1" applyFill="1" applyBorder="1" applyAlignment="1">
      <alignment horizontal="center" vertical="center" wrapText="1"/>
    </xf>
    <xf numFmtId="3" fontId="13" fillId="0" borderId="12" xfId="3" applyNumberFormat="1" applyFont="1" applyFill="1" applyBorder="1" applyAlignment="1">
      <alignment horizontal="justify" vertical="center" wrapText="1"/>
    </xf>
    <xf numFmtId="14" fontId="13" fillId="0" borderId="12" xfId="3" applyNumberFormat="1" applyFont="1" applyFill="1" applyBorder="1" applyAlignment="1">
      <alignment horizontal="center" vertical="center" wrapText="1"/>
    </xf>
    <xf numFmtId="0" fontId="4" fillId="0" borderId="12" xfId="3" applyFont="1" applyFill="1" applyBorder="1" applyAlignment="1">
      <alignment horizontal="center" vertical="center" wrapText="1"/>
    </xf>
    <xf numFmtId="3" fontId="13" fillId="0" borderId="12" xfId="3" applyNumberFormat="1" applyFont="1" applyFill="1" applyBorder="1" applyAlignment="1">
      <alignment horizontal="center" vertical="center" wrapText="1"/>
    </xf>
    <xf numFmtId="3" fontId="14" fillId="0" borderId="12" xfId="3" applyNumberFormat="1" applyFont="1" applyFill="1" applyBorder="1" applyAlignment="1">
      <alignment horizontal="center" vertical="center" wrapText="1"/>
    </xf>
    <xf numFmtId="164" fontId="13" fillId="0" borderId="12" xfId="1" applyNumberFormat="1" applyFont="1" applyFill="1" applyBorder="1" applyAlignment="1">
      <alignment horizontal="center" vertical="center" wrapText="1"/>
    </xf>
    <xf numFmtId="164" fontId="13" fillId="0" borderId="12" xfId="1" applyNumberFormat="1" applyFont="1" applyFill="1" applyBorder="1" applyAlignment="1">
      <alignment vertical="center" wrapText="1"/>
    </xf>
    <xf numFmtId="164" fontId="12" fillId="0" borderId="12" xfId="1" applyNumberFormat="1" applyFont="1" applyFill="1" applyBorder="1" applyAlignment="1">
      <alignment vertical="center" wrapText="1"/>
    </xf>
    <xf numFmtId="164" fontId="10" fillId="0" borderId="12" xfId="1" applyNumberFormat="1" applyFont="1" applyFill="1" applyBorder="1" applyAlignment="1">
      <alignment horizontal="center" vertical="center" wrapText="1"/>
    </xf>
    <xf numFmtId="9" fontId="13" fillId="0" borderId="12" xfId="2" applyFont="1" applyFill="1" applyBorder="1" applyAlignment="1">
      <alignment horizontal="center" vertical="center" wrapText="1"/>
    </xf>
    <xf numFmtId="3" fontId="14" fillId="0" borderId="12" xfId="3" applyNumberFormat="1" applyFont="1" applyBorder="1" applyAlignment="1">
      <alignment horizontal="center" vertical="center" wrapText="1"/>
    </xf>
    <xf numFmtId="3" fontId="10" fillId="0" borderId="12" xfId="3" applyNumberFormat="1" applyFont="1" applyBorder="1" applyAlignment="1">
      <alignment vertical="center" wrapText="1"/>
    </xf>
    <xf numFmtId="3" fontId="13" fillId="0" borderId="12" xfId="3" applyNumberFormat="1" applyFont="1" applyBorder="1" applyAlignment="1">
      <alignment horizontal="justify" vertical="center" wrapText="1"/>
    </xf>
    <xf numFmtId="0" fontId="4" fillId="0" borderId="12" xfId="3" applyFont="1" applyBorder="1" applyAlignment="1">
      <alignment vertical="center" wrapText="1"/>
    </xf>
    <xf numFmtId="0" fontId="3" fillId="0" borderId="12" xfId="3" applyFont="1" applyBorder="1" applyAlignment="1">
      <alignment vertical="center" wrapText="1"/>
    </xf>
    <xf numFmtId="0" fontId="4" fillId="0" borderId="12" xfId="0" applyFont="1" applyBorder="1" applyAlignment="1">
      <alignment horizontal="justify" vertical="center" wrapText="1"/>
    </xf>
    <xf numFmtId="165" fontId="13" fillId="0" borderId="12" xfId="3" applyNumberFormat="1" applyFont="1" applyBorder="1" applyAlignment="1">
      <alignment horizontal="center" vertical="center" wrapText="1"/>
    </xf>
    <xf numFmtId="0" fontId="4" fillId="0" borderId="12" xfId="3" applyFont="1" applyBorder="1" applyAlignment="1">
      <alignment horizontal="center" vertical="center" wrapText="1"/>
    </xf>
    <xf numFmtId="3" fontId="13" fillId="0" borderId="12" xfId="3" applyNumberFormat="1" applyFont="1" applyBorder="1" applyAlignment="1">
      <alignment vertical="center" wrapText="1"/>
    </xf>
    <xf numFmtId="0" fontId="13" fillId="0" borderId="12" xfId="2" applyNumberFormat="1" applyFont="1" applyFill="1" applyBorder="1" applyAlignment="1">
      <alignment horizontal="center" vertical="center" wrapText="1"/>
    </xf>
    <xf numFmtId="3" fontId="10" fillId="0" borderId="12" xfId="3" applyNumberFormat="1" applyFont="1" applyBorder="1" applyAlignment="1">
      <alignment horizontal="justify" vertical="center" wrapText="1"/>
    </xf>
    <xf numFmtId="0" fontId="10" fillId="17" borderId="12" xfId="3" applyNumberFormat="1" applyFont="1" applyFill="1" applyBorder="1" applyAlignment="1">
      <alignment horizontal="center" vertical="center" wrapText="1"/>
    </xf>
    <xf numFmtId="1" fontId="12" fillId="17" borderId="12" xfId="3" applyNumberFormat="1" applyFont="1" applyFill="1" applyBorder="1" applyAlignment="1">
      <alignment horizontal="center" vertical="center" wrapText="1"/>
    </xf>
    <xf numFmtId="3" fontId="13" fillId="0" borderId="12" xfId="2" applyNumberFormat="1" applyFont="1" applyFill="1" applyBorder="1" applyAlignment="1">
      <alignment horizontal="center" vertical="center" wrapText="1"/>
    </xf>
    <xf numFmtId="9" fontId="14" fillId="0" borderId="12" xfId="2" applyFont="1" applyBorder="1" applyAlignment="1">
      <alignment horizontal="center" vertical="center" wrapText="1"/>
    </xf>
    <xf numFmtId="14" fontId="13" fillId="0" borderId="12" xfId="3" applyNumberFormat="1" applyFont="1" applyBorder="1" applyAlignment="1">
      <alignment horizontal="center" vertical="center" wrapText="1"/>
    </xf>
    <xf numFmtId="165" fontId="13" fillId="0" borderId="12" xfId="3" applyNumberFormat="1" applyFont="1" applyFill="1" applyBorder="1" applyAlignment="1">
      <alignment horizontal="center" vertical="center" wrapText="1"/>
    </xf>
    <xf numFmtId="164" fontId="14" fillId="0" borderId="12" xfId="1" applyNumberFormat="1" applyFont="1" applyFill="1" applyBorder="1" applyAlignment="1">
      <alignment vertical="center" wrapText="1"/>
    </xf>
    <xf numFmtId="1" fontId="14" fillId="0" borderId="12" xfId="3" applyNumberFormat="1" applyFont="1" applyFill="1" applyBorder="1" applyAlignment="1">
      <alignment horizontal="center" vertical="center" wrapText="1"/>
    </xf>
    <xf numFmtId="166" fontId="14" fillId="0" borderId="12" xfId="3" applyNumberFormat="1" applyFont="1" applyBorder="1" applyAlignment="1">
      <alignment horizontal="center" vertical="center" wrapText="1"/>
    </xf>
    <xf numFmtId="4" fontId="13" fillId="0" borderId="12" xfId="3" applyNumberFormat="1" applyFont="1" applyBorder="1" applyAlignment="1">
      <alignment horizontal="center" vertical="center" wrapText="1"/>
    </xf>
    <xf numFmtId="9" fontId="10" fillId="13" borderId="12" xfId="2" applyNumberFormat="1" applyFont="1" applyFill="1" applyBorder="1" applyAlignment="1">
      <alignment horizontal="justify" vertical="center" wrapText="1"/>
    </xf>
    <xf numFmtId="165" fontId="14" fillId="0" borderId="12" xfId="3" applyNumberFormat="1" applyFont="1" applyBorder="1" applyAlignment="1">
      <alignment horizontal="center" vertical="center" wrapText="1"/>
    </xf>
    <xf numFmtId="3" fontId="13" fillId="19" borderId="12" xfId="3" applyNumberFormat="1" applyFont="1" applyFill="1" applyBorder="1" applyAlignment="1">
      <alignment horizontal="center" vertical="center" wrapText="1"/>
    </xf>
    <xf numFmtId="167" fontId="13" fillId="0" borderId="12" xfId="2" applyNumberFormat="1" applyFont="1" applyFill="1" applyBorder="1" applyAlignment="1">
      <alignment horizontal="center" vertical="center" wrapText="1"/>
    </xf>
    <xf numFmtId="0" fontId="10" fillId="15" borderId="12" xfId="3" applyNumberFormat="1" applyFont="1" applyFill="1" applyBorder="1" applyAlignment="1">
      <alignment horizontal="center" vertical="center" wrapText="1"/>
    </xf>
    <xf numFmtId="1" fontId="12" fillId="15" borderId="12" xfId="3" applyNumberFormat="1" applyFont="1" applyFill="1" applyBorder="1" applyAlignment="1">
      <alignment horizontal="center" vertical="center" wrapText="1"/>
    </xf>
    <xf numFmtId="0" fontId="8" fillId="13" borderId="12" xfId="3" applyFont="1" applyFill="1" applyBorder="1" applyAlignment="1">
      <alignment horizontal="justify" vertical="center" wrapText="1"/>
    </xf>
    <xf numFmtId="1" fontId="10" fillId="15" borderId="12" xfId="3" applyNumberFormat="1" applyFont="1" applyFill="1" applyBorder="1" applyAlignment="1">
      <alignment vertical="center" wrapText="1"/>
    </xf>
    <xf numFmtId="14" fontId="10" fillId="15" borderId="12" xfId="3" applyNumberFormat="1" applyFont="1" applyFill="1" applyBorder="1" applyAlignment="1">
      <alignment horizontal="center" vertical="center" wrapText="1"/>
    </xf>
    <xf numFmtId="164" fontId="13" fillId="15" borderId="12" xfId="1" applyNumberFormat="1" applyFont="1" applyFill="1" applyBorder="1" applyAlignment="1">
      <alignment horizontal="justify" vertical="center" wrapText="1"/>
    </xf>
    <xf numFmtId="164" fontId="10" fillId="15" borderId="12" xfId="1" applyNumberFormat="1" applyFont="1" applyFill="1" applyBorder="1" applyAlignment="1">
      <alignment horizontal="justify" vertical="center" wrapText="1"/>
    </xf>
    <xf numFmtId="164" fontId="15" fillId="15" borderId="12" xfId="1" applyNumberFormat="1" applyFont="1" applyFill="1" applyBorder="1" applyAlignment="1">
      <alignment vertical="center" wrapText="1"/>
    </xf>
    <xf numFmtId="1" fontId="10" fillId="17" borderId="12" xfId="3" applyNumberFormat="1" applyFont="1" applyFill="1" applyBorder="1" applyAlignment="1">
      <alignment vertical="center" wrapText="1"/>
    </xf>
    <xf numFmtId="14" fontId="10" fillId="17" borderId="12" xfId="3" applyNumberFormat="1" applyFont="1" applyFill="1" applyBorder="1" applyAlignment="1">
      <alignment horizontal="center" vertical="center" wrapText="1"/>
    </xf>
    <xf numFmtId="3" fontId="15" fillId="17" borderId="12" xfId="3" applyNumberFormat="1" applyFont="1" applyFill="1" applyBorder="1" applyAlignment="1">
      <alignment vertical="center" wrapText="1"/>
    </xf>
    <xf numFmtId="0" fontId="3" fillId="0" borderId="8" xfId="3" applyFont="1" applyBorder="1" applyAlignment="1">
      <alignment vertical="center" wrapText="1"/>
    </xf>
    <xf numFmtId="167" fontId="14" fillId="0" borderId="12" xfId="3" applyNumberFormat="1" applyFont="1" applyFill="1" applyBorder="1" applyAlignment="1">
      <alignment horizontal="center" vertical="center" wrapText="1"/>
    </xf>
    <xf numFmtId="9" fontId="12" fillId="13" borderId="12" xfId="2" applyFont="1" applyFill="1" applyBorder="1" applyAlignment="1">
      <alignment horizontal="center" vertical="center" wrapText="1"/>
    </xf>
    <xf numFmtId="9" fontId="12" fillId="20" borderId="12" xfId="2" applyNumberFormat="1" applyFont="1" applyFill="1" applyBorder="1" applyAlignment="1">
      <alignment horizontal="center" vertical="center" wrapText="1"/>
    </xf>
    <xf numFmtId="9" fontId="14" fillId="19" borderId="12" xfId="2" applyNumberFormat="1" applyFont="1" applyFill="1" applyBorder="1" applyAlignment="1">
      <alignment horizontal="center" vertical="center" wrapText="1"/>
    </xf>
    <xf numFmtId="164" fontId="10" fillId="0" borderId="12" xfId="1" applyNumberFormat="1" applyFont="1" applyFill="1" applyBorder="1" applyAlignment="1">
      <alignment vertical="center" wrapText="1"/>
    </xf>
    <xf numFmtId="4" fontId="13" fillId="19" borderId="12" xfId="3" applyNumberFormat="1" applyFont="1" applyFill="1" applyBorder="1" applyAlignment="1">
      <alignment horizontal="center" vertical="center" wrapText="1"/>
    </xf>
    <xf numFmtId="4" fontId="13" fillId="0" borderId="12" xfId="3" applyNumberFormat="1" applyFont="1" applyFill="1" applyBorder="1" applyAlignment="1">
      <alignment horizontal="center" vertical="center" wrapText="1"/>
    </xf>
    <xf numFmtId="9" fontId="13" fillId="19" borderId="12" xfId="2" applyNumberFormat="1" applyFont="1" applyFill="1" applyBorder="1" applyAlignment="1">
      <alignment horizontal="center" vertical="center" wrapText="1"/>
    </xf>
    <xf numFmtId="4" fontId="14" fillId="19" borderId="12" xfId="3" applyNumberFormat="1" applyFont="1" applyFill="1" applyBorder="1" applyAlignment="1">
      <alignment horizontal="center" vertical="center" wrapText="1"/>
    </xf>
    <xf numFmtId="9" fontId="10" fillId="15" borderId="12" xfId="2" applyFont="1" applyFill="1" applyBorder="1" applyAlignment="1">
      <alignment vertical="center" wrapText="1"/>
    </xf>
    <xf numFmtId="9" fontId="13" fillId="15" borderId="12" xfId="2" applyFont="1" applyFill="1" applyBorder="1" applyAlignment="1">
      <alignment horizontal="justify" vertical="center" wrapText="1"/>
    </xf>
    <xf numFmtId="9" fontId="13" fillId="15" borderId="12" xfId="2" applyFont="1" applyFill="1" applyBorder="1" applyAlignment="1">
      <alignment vertical="center" wrapText="1"/>
    </xf>
    <xf numFmtId="9" fontId="16" fillId="15" borderId="12" xfId="2" applyFont="1" applyFill="1" applyBorder="1" applyAlignment="1">
      <alignment vertical="center" wrapText="1"/>
    </xf>
    <xf numFmtId="3" fontId="12" fillId="21" borderId="12" xfId="3" applyNumberFormat="1" applyFont="1" applyFill="1" applyBorder="1" applyAlignment="1">
      <alignment horizontal="center" vertical="center" wrapText="1"/>
    </xf>
    <xf numFmtId="3" fontId="10" fillId="21" borderId="12" xfId="3" applyNumberFormat="1" applyFont="1" applyFill="1" applyBorder="1" applyAlignment="1">
      <alignment horizontal="center" vertical="center" wrapText="1"/>
    </xf>
    <xf numFmtId="4" fontId="10" fillId="21" borderId="12" xfId="3" applyNumberFormat="1" applyFont="1" applyFill="1" applyBorder="1" applyAlignment="1">
      <alignment horizontal="center" vertical="center" wrapText="1"/>
    </xf>
    <xf numFmtId="3" fontId="10" fillId="21" borderId="12" xfId="3" applyNumberFormat="1" applyFont="1" applyFill="1" applyBorder="1" applyAlignment="1">
      <alignment vertical="center" wrapText="1"/>
    </xf>
    <xf numFmtId="3" fontId="13" fillId="21" borderId="12" xfId="3" applyNumberFormat="1" applyFont="1" applyFill="1" applyBorder="1" applyAlignment="1">
      <alignment horizontal="justify" vertical="center" wrapText="1"/>
    </xf>
    <xf numFmtId="3" fontId="10" fillId="21" borderId="12" xfId="3" applyNumberFormat="1" applyFont="1" applyFill="1" applyBorder="1" applyAlignment="1">
      <alignment horizontal="justify" vertical="center" wrapText="1"/>
    </xf>
    <xf numFmtId="0" fontId="4" fillId="21" borderId="12" xfId="3" applyFont="1" applyFill="1" applyBorder="1" applyAlignment="1">
      <alignment vertical="center" wrapText="1"/>
    </xf>
    <xf numFmtId="0" fontId="3" fillId="21" borderId="12" xfId="3" applyFont="1" applyFill="1" applyBorder="1" applyAlignment="1">
      <alignment vertical="center" wrapText="1"/>
    </xf>
    <xf numFmtId="164" fontId="12" fillId="15" borderId="12" xfId="1" applyNumberFormat="1" applyFont="1" applyFill="1" applyBorder="1" applyAlignment="1">
      <alignment horizontal="center" vertical="center" wrapText="1"/>
    </xf>
    <xf numFmtId="9" fontId="10" fillId="17" borderId="12" xfId="2" applyNumberFormat="1" applyFont="1" applyFill="1" applyBorder="1" applyAlignment="1">
      <alignment horizontal="justify" vertical="center" wrapText="1"/>
    </xf>
    <xf numFmtId="164" fontId="13" fillId="17" borderId="12" xfId="1" applyNumberFormat="1" applyFont="1" applyFill="1" applyBorder="1" applyAlignment="1">
      <alignment horizontal="justify" vertical="center" wrapText="1"/>
    </xf>
    <xf numFmtId="164" fontId="10" fillId="17" borderId="12" xfId="1" applyNumberFormat="1" applyFont="1" applyFill="1" applyBorder="1" applyAlignment="1">
      <alignment horizontal="justify" vertical="center" wrapText="1"/>
    </xf>
    <xf numFmtId="164" fontId="15" fillId="17" borderId="12" xfId="1" applyNumberFormat="1" applyFont="1" applyFill="1" applyBorder="1" applyAlignment="1">
      <alignment vertical="center" wrapText="1"/>
    </xf>
    <xf numFmtId="0" fontId="4" fillId="0" borderId="12" xfId="0" applyFont="1" applyFill="1" applyBorder="1" applyAlignment="1">
      <alignment horizontal="justify" vertical="center" wrapText="1"/>
    </xf>
    <xf numFmtId="0" fontId="13" fillId="0" borderId="12" xfId="3" applyNumberFormat="1" applyFont="1" applyFill="1" applyBorder="1" applyAlignment="1">
      <alignment horizontal="center" vertical="center" wrapText="1"/>
    </xf>
    <xf numFmtId="166" fontId="13" fillId="0" borderId="12" xfId="3" applyNumberFormat="1" applyFont="1" applyFill="1" applyBorder="1" applyAlignment="1">
      <alignment horizontal="center" vertical="center" wrapText="1"/>
    </xf>
    <xf numFmtId="0" fontId="8" fillId="4" borderId="12" xfId="3" applyNumberFormat="1" applyFont="1" applyFill="1" applyBorder="1" applyAlignment="1">
      <alignment horizontal="center" vertical="center" wrapText="1"/>
    </xf>
    <xf numFmtId="0" fontId="17" fillId="4" borderId="12" xfId="3" applyFont="1" applyFill="1" applyBorder="1" applyAlignment="1">
      <alignment horizontal="center" vertical="center" wrapText="1"/>
    </xf>
    <xf numFmtId="9" fontId="8" fillId="4" borderId="12" xfId="3" applyNumberFormat="1" applyFont="1" applyFill="1" applyBorder="1" applyAlignment="1">
      <alignment horizontal="center" vertical="center" wrapText="1"/>
    </xf>
    <xf numFmtId="9" fontId="17" fillId="4" borderId="12" xfId="3" applyNumberFormat="1" applyFont="1" applyFill="1" applyBorder="1" applyAlignment="1">
      <alignment horizontal="center" vertical="center" wrapText="1"/>
    </xf>
    <xf numFmtId="9" fontId="8" fillId="4" borderId="12" xfId="3" applyNumberFormat="1" applyFont="1" applyFill="1" applyBorder="1" applyAlignment="1">
      <alignment horizontal="justify" vertical="center" wrapText="1"/>
    </xf>
    <xf numFmtId="9" fontId="11" fillId="4" borderId="12" xfId="3" applyNumberFormat="1" applyFont="1" applyFill="1" applyBorder="1" applyAlignment="1">
      <alignment horizontal="center" vertical="center" wrapText="1"/>
    </xf>
    <xf numFmtId="9" fontId="17" fillId="4" borderId="12" xfId="2" applyNumberFormat="1" applyFont="1" applyFill="1" applyBorder="1" applyAlignment="1">
      <alignment horizontal="center" vertical="center" wrapText="1"/>
    </xf>
    <xf numFmtId="3" fontId="8" fillId="4" borderId="12" xfId="3" applyNumberFormat="1" applyFont="1" applyFill="1" applyBorder="1" applyAlignment="1">
      <alignment horizontal="center" vertical="center" wrapText="1"/>
    </xf>
    <xf numFmtId="164" fontId="8" fillId="4" borderId="12" xfId="1" applyNumberFormat="1" applyFont="1" applyFill="1" applyBorder="1" applyAlignment="1">
      <alignment horizontal="center" vertical="center" wrapText="1"/>
    </xf>
    <xf numFmtId="164" fontId="8" fillId="4" borderId="12" xfId="1" applyNumberFormat="1" applyFont="1" applyFill="1" applyBorder="1" applyAlignment="1">
      <alignment vertical="center" wrapText="1"/>
    </xf>
    <xf numFmtId="164" fontId="17" fillId="4" borderId="12" xfId="1" applyNumberFormat="1" applyFont="1" applyFill="1" applyBorder="1" applyAlignment="1">
      <alignment vertical="center" wrapText="1"/>
    </xf>
    <xf numFmtId="9" fontId="8" fillId="4" borderId="12" xfId="2" applyFont="1" applyFill="1" applyBorder="1" applyAlignment="1">
      <alignment horizontal="center" vertical="center" wrapText="1"/>
    </xf>
    <xf numFmtId="3" fontId="17" fillId="4" borderId="12" xfId="3" applyNumberFormat="1" applyFont="1" applyFill="1" applyBorder="1" applyAlignment="1">
      <alignment horizontal="center" vertical="center" wrapText="1"/>
    </xf>
    <xf numFmtId="9" fontId="8" fillId="4" borderId="12" xfId="2" applyNumberFormat="1" applyFont="1" applyFill="1" applyBorder="1" applyAlignment="1">
      <alignment horizontal="center" vertical="center" wrapText="1"/>
    </xf>
    <xf numFmtId="3" fontId="8" fillId="4" borderId="12" xfId="3" applyNumberFormat="1" applyFont="1" applyFill="1" applyBorder="1" applyAlignment="1">
      <alignment vertical="center" wrapText="1"/>
    </xf>
    <xf numFmtId="0" fontId="4" fillId="17" borderId="12" xfId="3" applyFont="1" applyFill="1" applyBorder="1" applyAlignment="1">
      <alignment horizontal="justify" vertical="center" wrapText="1"/>
    </xf>
    <xf numFmtId="0" fontId="4" fillId="0" borderId="6" xfId="3" applyFont="1" applyBorder="1" applyAlignment="1">
      <alignment vertical="center" wrapText="1"/>
    </xf>
    <xf numFmtId="0" fontId="4" fillId="0" borderId="0" xfId="3" applyFont="1" applyAlignment="1">
      <alignment vertical="center" wrapText="1"/>
    </xf>
    <xf numFmtId="164" fontId="4" fillId="0" borderId="0" xfId="3" applyNumberFormat="1" applyFont="1" applyAlignment="1">
      <alignment vertical="center" wrapText="1"/>
    </xf>
    <xf numFmtId="0" fontId="8" fillId="0" borderId="0" xfId="3" applyNumberFormat="1" applyFont="1" applyAlignment="1">
      <alignment horizontal="center" vertical="center" wrapText="1"/>
    </xf>
    <xf numFmtId="0" fontId="17" fillId="0" borderId="0" xfId="3" applyFont="1" applyAlignment="1">
      <alignment horizontal="center" vertical="center" wrapText="1"/>
    </xf>
    <xf numFmtId="168" fontId="8" fillId="0" borderId="0" xfId="3" applyNumberFormat="1" applyFont="1" applyAlignment="1">
      <alignment horizontal="center" vertical="center" wrapText="1"/>
    </xf>
    <xf numFmtId="168" fontId="17" fillId="0" borderId="0" xfId="3" applyNumberFormat="1" applyFont="1" applyAlignment="1">
      <alignment horizontal="center" vertical="center" wrapText="1"/>
    </xf>
    <xf numFmtId="0" fontId="8" fillId="0" borderId="0" xfId="3" applyFont="1" applyAlignment="1">
      <alignment horizontal="center" vertical="center" wrapText="1"/>
    </xf>
    <xf numFmtId="0" fontId="11" fillId="0" borderId="0" xfId="3" applyFont="1" applyAlignment="1">
      <alignment horizontal="center" vertical="center" wrapText="1"/>
    </xf>
    <xf numFmtId="9" fontId="8" fillId="0" borderId="0" xfId="3" applyNumberFormat="1" applyFont="1" applyAlignment="1">
      <alignment horizontal="center" vertical="center" wrapText="1"/>
    </xf>
    <xf numFmtId="9" fontId="17" fillId="0" borderId="0" xfId="3" applyNumberFormat="1" applyFont="1" applyAlignment="1">
      <alignment horizontal="center" vertical="center" wrapText="1"/>
    </xf>
    <xf numFmtId="0" fontId="8" fillId="0" borderId="0" xfId="3" applyFont="1" applyAlignment="1">
      <alignment horizontal="left" vertical="center" wrapText="1"/>
    </xf>
    <xf numFmtId="0" fontId="17" fillId="0" borderId="0" xfId="3" applyFont="1" applyAlignment="1">
      <alignment horizontal="left" vertical="center" wrapText="1"/>
    </xf>
    <xf numFmtId="0" fontId="11" fillId="0" borderId="0" xfId="3" applyFont="1" applyAlignment="1">
      <alignment horizontal="left" vertical="center" wrapText="1"/>
    </xf>
    <xf numFmtId="0" fontId="4" fillId="0" borderId="0" xfId="3" applyNumberFormat="1" applyFont="1" applyAlignment="1">
      <alignment horizontal="center" vertical="center" wrapText="1"/>
    </xf>
    <xf numFmtId="0" fontId="18" fillId="0" borderId="0" xfId="3" applyFont="1" applyAlignment="1">
      <alignment horizontal="center" vertical="center" wrapText="1"/>
    </xf>
    <xf numFmtId="9" fontId="4" fillId="0" borderId="0" xfId="3" applyNumberFormat="1" applyFont="1" applyAlignment="1">
      <alignment horizontal="center" vertical="center" wrapText="1"/>
    </xf>
    <xf numFmtId="9" fontId="18" fillId="0" borderId="0" xfId="3" applyNumberFormat="1" applyFont="1" applyAlignment="1">
      <alignment horizontal="center" vertical="center" wrapText="1"/>
    </xf>
    <xf numFmtId="0" fontId="4" fillId="0" borderId="0" xfId="3" applyFont="1" applyAlignment="1">
      <alignment horizontal="center" vertical="center" wrapText="1"/>
    </xf>
    <xf numFmtId="0" fontId="18" fillId="0" borderId="0" xfId="3" applyFont="1" applyAlignment="1">
      <alignment vertical="center" wrapText="1"/>
    </xf>
    <xf numFmtId="9" fontId="4" fillId="0" borderId="0" xfId="2" applyFont="1" applyAlignment="1">
      <alignment vertical="center" wrapText="1"/>
    </xf>
    <xf numFmtId="4" fontId="14" fillId="0" borderId="12" xfId="3" applyNumberFormat="1" applyFont="1" applyBorder="1" applyAlignment="1">
      <alignment horizontal="center" vertical="center" wrapText="1"/>
    </xf>
    <xf numFmtId="4" fontId="14" fillId="0" borderId="12" xfId="3" applyNumberFormat="1" applyFont="1" applyFill="1" applyBorder="1" applyAlignment="1">
      <alignment horizontal="center" vertical="center" wrapText="1"/>
    </xf>
    <xf numFmtId="167" fontId="14" fillId="0" borderId="12" xfId="3" applyNumberFormat="1" applyFont="1" applyBorder="1" applyAlignment="1">
      <alignment horizontal="center" vertical="center" wrapText="1"/>
    </xf>
    <xf numFmtId="165" fontId="14" fillId="0" borderId="12" xfId="3" applyNumberFormat="1" applyFont="1" applyFill="1" applyBorder="1" applyAlignment="1">
      <alignment horizontal="center" vertical="center" wrapText="1"/>
    </xf>
    <xf numFmtId="164" fontId="13" fillId="19" borderId="12" xfId="1" applyNumberFormat="1" applyFont="1" applyFill="1" applyBorder="1" applyAlignment="1">
      <alignment horizontal="center" vertical="center" wrapText="1"/>
    </xf>
    <xf numFmtId="0" fontId="8" fillId="0" borderId="0" xfId="3" applyFont="1" applyAlignment="1">
      <alignment horizontal="left" vertical="center" wrapText="1"/>
    </xf>
    <xf numFmtId="0" fontId="13" fillId="0" borderId="0" xfId="3" applyFont="1" applyAlignment="1">
      <alignment horizontal="justify" vertical="center" wrapText="1"/>
    </xf>
    <xf numFmtId="0" fontId="11" fillId="0" borderId="0" xfId="3" applyFont="1" applyAlignment="1">
      <alignment horizontal="left" vertical="center" wrapText="1"/>
    </xf>
    <xf numFmtId="0" fontId="3" fillId="0" borderId="0" xfId="3" applyFont="1" applyAlignment="1">
      <alignment horizontal="left" vertical="center" wrapText="1"/>
    </xf>
    <xf numFmtId="0" fontId="4" fillId="0" borderId="6" xfId="3" applyFont="1" applyBorder="1" applyAlignment="1">
      <alignment horizontal="left" vertical="center" wrapText="1"/>
    </xf>
    <xf numFmtId="0" fontId="4" fillId="0" borderId="0" xfId="3" applyFont="1" applyBorder="1" applyAlignment="1">
      <alignment horizontal="left" vertical="center" wrapText="1"/>
    </xf>
    <xf numFmtId="0" fontId="4" fillId="0" borderId="0" xfId="3" applyFont="1" applyAlignment="1">
      <alignment horizontal="left" vertical="center" wrapText="1"/>
    </xf>
    <xf numFmtId="0" fontId="11" fillId="0" borderId="0" xfId="3" applyFont="1" applyAlignment="1">
      <alignment horizontal="center" vertical="center" wrapText="1"/>
    </xf>
    <xf numFmtId="0" fontId="8" fillId="0" borderId="0" xfId="3" applyFont="1" applyAlignment="1">
      <alignment horizontal="center" vertical="center" wrapText="1"/>
    </xf>
    <xf numFmtId="0" fontId="10" fillId="10" borderId="13" xfId="3" applyFont="1" applyFill="1" applyBorder="1" applyAlignment="1">
      <alignment horizontal="center" vertical="center" wrapText="1"/>
    </xf>
    <xf numFmtId="0" fontId="10" fillId="10" borderId="17" xfId="3" applyFont="1" applyFill="1" applyBorder="1" applyAlignment="1">
      <alignment horizontal="center" vertical="center" wrapText="1"/>
    </xf>
    <xf numFmtId="9" fontId="10" fillId="10" borderId="13" xfId="2" applyFont="1" applyFill="1" applyBorder="1" applyAlignment="1">
      <alignment horizontal="center" vertical="center" wrapText="1"/>
    </xf>
    <xf numFmtId="9" fontId="10" fillId="10" borderId="17" xfId="2" applyFont="1" applyFill="1" applyBorder="1" applyAlignment="1">
      <alignment horizontal="center" vertical="center" wrapText="1"/>
    </xf>
    <xf numFmtId="0" fontId="12" fillId="11" borderId="13" xfId="3" applyFont="1" applyFill="1" applyBorder="1" applyAlignment="1">
      <alignment horizontal="center" vertical="center" wrapText="1"/>
    </xf>
    <xf numFmtId="0" fontId="12" fillId="11" borderId="17" xfId="3" applyFont="1" applyFill="1" applyBorder="1" applyAlignment="1">
      <alignment horizontal="center" vertical="center" wrapText="1"/>
    </xf>
    <xf numFmtId="0" fontId="10" fillId="11" borderId="13" xfId="3" applyFont="1" applyFill="1" applyBorder="1" applyAlignment="1">
      <alignment horizontal="center" vertical="center" wrapText="1"/>
    </xf>
    <xf numFmtId="0" fontId="10" fillId="11" borderId="17" xfId="3" applyFont="1" applyFill="1" applyBorder="1" applyAlignment="1">
      <alignment horizontal="center" vertical="center" wrapText="1"/>
    </xf>
    <xf numFmtId="0" fontId="8" fillId="4" borderId="12" xfId="3" applyFont="1" applyFill="1" applyBorder="1" applyAlignment="1">
      <alignment horizontal="center" vertical="center" wrapText="1"/>
    </xf>
    <xf numFmtId="0" fontId="10" fillId="10" borderId="1" xfId="3" applyFont="1" applyFill="1" applyBorder="1" applyAlignment="1">
      <alignment horizontal="center" vertical="center" wrapText="1"/>
    </xf>
    <xf numFmtId="0" fontId="10" fillId="10" borderId="3" xfId="3" applyFont="1" applyFill="1" applyBorder="1" applyAlignment="1">
      <alignment horizontal="center" vertical="center" wrapText="1"/>
    </xf>
    <xf numFmtId="0" fontId="12" fillId="10" borderId="13" xfId="3" applyFont="1" applyFill="1" applyBorder="1" applyAlignment="1">
      <alignment horizontal="center" vertical="center" wrapText="1"/>
    </xf>
    <xf numFmtId="0" fontId="12" fillId="10" borderId="17" xfId="3" applyFont="1" applyFill="1" applyBorder="1" applyAlignment="1">
      <alignment horizontal="center" vertical="center" wrapText="1"/>
    </xf>
    <xf numFmtId="0" fontId="10" fillId="9" borderId="13" xfId="3" applyFont="1" applyFill="1" applyBorder="1" applyAlignment="1">
      <alignment horizontal="center" vertical="center" wrapText="1"/>
    </xf>
    <xf numFmtId="0" fontId="10" fillId="9" borderId="17" xfId="3" applyFont="1" applyFill="1" applyBorder="1" applyAlignment="1">
      <alignment horizontal="center" vertical="center" wrapText="1"/>
    </xf>
    <xf numFmtId="0" fontId="12" fillId="9" borderId="13" xfId="3" applyFont="1" applyFill="1" applyBorder="1" applyAlignment="1">
      <alignment horizontal="center" vertical="center" wrapText="1"/>
    </xf>
    <xf numFmtId="0" fontId="12" fillId="9" borderId="17" xfId="3" applyFont="1" applyFill="1" applyBorder="1" applyAlignment="1">
      <alignment horizontal="center" vertical="center" wrapText="1"/>
    </xf>
    <xf numFmtId="0" fontId="8" fillId="7" borderId="16" xfId="3" applyFont="1" applyFill="1" applyBorder="1" applyAlignment="1">
      <alignment horizontal="center" vertical="center" wrapText="1"/>
    </xf>
    <xf numFmtId="0" fontId="8" fillId="7" borderId="20" xfId="3" applyFont="1" applyFill="1" applyBorder="1" applyAlignment="1">
      <alignment horizontal="center" vertical="center" wrapText="1"/>
    </xf>
    <xf numFmtId="0" fontId="8" fillId="7" borderId="21" xfId="3" applyFont="1" applyFill="1" applyBorder="1" applyAlignment="1">
      <alignment horizontal="center" vertical="center" wrapText="1"/>
    </xf>
    <xf numFmtId="0" fontId="11" fillId="7" borderId="16" xfId="3" applyFont="1" applyFill="1" applyBorder="1" applyAlignment="1">
      <alignment horizontal="center" vertical="center" wrapText="1"/>
    </xf>
    <xf numFmtId="0" fontId="11" fillId="7" borderId="20" xfId="3" applyFont="1" applyFill="1" applyBorder="1" applyAlignment="1">
      <alignment horizontal="center" vertical="center" wrapText="1"/>
    </xf>
    <xf numFmtId="0" fontId="11" fillId="7" borderId="21" xfId="3" applyFont="1" applyFill="1" applyBorder="1" applyAlignment="1">
      <alignment horizontal="center" vertical="center" wrapText="1"/>
    </xf>
    <xf numFmtId="0" fontId="10" fillId="8" borderId="13" xfId="3" applyFont="1" applyFill="1" applyBorder="1" applyAlignment="1">
      <alignment horizontal="center" vertical="center" wrapText="1"/>
    </xf>
    <xf numFmtId="0" fontId="10" fillId="8" borderId="17" xfId="3" applyFont="1" applyFill="1" applyBorder="1" applyAlignment="1">
      <alignment horizontal="center" vertical="center" wrapText="1"/>
    </xf>
    <xf numFmtId="0" fontId="10" fillId="8" borderId="1" xfId="3" applyNumberFormat="1" applyFont="1" applyFill="1" applyBorder="1" applyAlignment="1">
      <alignment horizontal="center" vertical="center" wrapText="1"/>
    </xf>
    <xf numFmtId="0" fontId="10" fillId="8" borderId="3" xfId="3" applyNumberFormat="1" applyFont="1" applyFill="1" applyBorder="1" applyAlignment="1">
      <alignment horizontal="center" vertical="center" wrapText="1"/>
    </xf>
    <xf numFmtId="0" fontId="10" fillId="8" borderId="1" xfId="3" applyFont="1" applyFill="1" applyBorder="1" applyAlignment="1">
      <alignment horizontal="center" vertical="center" wrapText="1"/>
    </xf>
    <xf numFmtId="0" fontId="10" fillId="8" borderId="3"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5" fillId="3" borderId="5" xfId="3" applyFont="1" applyFill="1" applyBorder="1" applyAlignment="1">
      <alignment horizontal="center" vertical="center" wrapText="1"/>
    </xf>
    <xf numFmtId="0" fontId="5" fillId="3" borderId="6" xfId="3" applyFont="1" applyFill="1" applyBorder="1" applyAlignment="1">
      <alignment horizontal="center" vertical="center" wrapText="1"/>
    </xf>
    <xf numFmtId="0" fontId="5" fillId="3" borderId="7" xfId="3" applyFont="1" applyFill="1" applyBorder="1" applyAlignment="1">
      <alignment horizontal="center" vertical="center" wrapText="1"/>
    </xf>
    <xf numFmtId="0" fontId="5" fillId="3" borderId="9" xfId="3" applyFont="1" applyFill="1" applyBorder="1" applyAlignment="1">
      <alignment horizontal="center" vertical="center" wrapText="1"/>
    </xf>
    <xf numFmtId="0" fontId="5" fillId="3" borderId="10" xfId="3" applyFont="1" applyFill="1" applyBorder="1" applyAlignment="1">
      <alignment horizontal="center" vertical="center" wrapText="1"/>
    </xf>
    <xf numFmtId="0" fontId="5" fillId="3" borderId="11" xfId="3" applyFont="1" applyFill="1" applyBorder="1" applyAlignment="1">
      <alignment horizontal="center" vertical="center" wrapText="1"/>
    </xf>
    <xf numFmtId="0" fontId="8" fillId="4" borderId="13" xfId="3" applyFont="1" applyFill="1" applyBorder="1" applyAlignment="1">
      <alignment horizontal="center" vertical="center" wrapText="1"/>
    </xf>
    <xf numFmtId="0" fontId="8" fillId="4" borderId="17" xfId="3" applyFont="1" applyFill="1" applyBorder="1" applyAlignment="1">
      <alignment horizontal="center" vertical="center" wrapText="1"/>
    </xf>
    <xf numFmtId="0" fontId="9" fillId="4" borderId="1" xfId="3" applyFont="1" applyFill="1" applyBorder="1" applyAlignment="1">
      <alignment horizontal="center" vertical="center" wrapText="1"/>
    </xf>
    <xf numFmtId="0" fontId="9" fillId="4" borderId="2" xfId="3" applyFont="1" applyFill="1" applyBorder="1" applyAlignment="1">
      <alignment horizontal="center" vertical="center" wrapText="1"/>
    </xf>
    <xf numFmtId="0" fontId="9" fillId="4" borderId="6" xfId="3" applyFont="1" applyFill="1" applyBorder="1" applyAlignment="1">
      <alignment horizontal="center" vertical="center" wrapText="1"/>
    </xf>
    <xf numFmtId="0" fontId="6" fillId="5" borderId="2" xfId="3" applyFont="1" applyFill="1" applyBorder="1" applyAlignment="1">
      <alignment horizontal="center" vertical="center" wrapText="1"/>
    </xf>
    <xf numFmtId="0" fontId="10" fillId="4" borderId="13" xfId="3" applyFont="1" applyFill="1" applyBorder="1" applyAlignment="1">
      <alignment horizontal="center" vertical="center" wrapText="1"/>
    </xf>
    <xf numFmtId="0" fontId="10" fillId="4" borderId="17" xfId="3" applyFont="1" applyFill="1" applyBorder="1" applyAlignment="1">
      <alignment horizontal="center" vertical="center" wrapText="1"/>
    </xf>
    <xf numFmtId="0" fontId="8" fillId="6" borderId="5"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8"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0" fontId="8" fillId="6" borderId="19" xfId="0" applyFont="1" applyFill="1" applyBorder="1" applyAlignment="1" applyProtection="1">
      <alignment horizontal="center" vertical="center" wrapText="1"/>
      <protection locked="0"/>
    </xf>
    <xf numFmtId="0" fontId="10" fillId="8" borderId="5" xfId="3" applyFont="1" applyFill="1" applyBorder="1" applyAlignment="1">
      <alignment horizontal="center" vertical="center" wrapText="1"/>
    </xf>
    <xf numFmtId="0" fontId="10" fillId="8" borderId="8" xfId="3" applyFont="1" applyFill="1" applyBorder="1" applyAlignment="1">
      <alignment horizontal="center" vertical="center" wrapText="1"/>
    </xf>
    <xf numFmtId="0" fontId="10" fillId="8" borderId="16" xfId="3" applyFont="1" applyFill="1" applyBorder="1" applyAlignment="1">
      <alignment horizontal="center" vertical="center" wrapText="1"/>
    </xf>
    <xf numFmtId="0" fontId="10" fillId="8" borderId="21" xfId="3" applyFont="1" applyFill="1" applyBorder="1" applyAlignment="1">
      <alignment horizontal="center" vertical="center" wrapText="1"/>
    </xf>
    <xf numFmtId="0" fontId="10" fillId="8" borderId="7" xfId="3" applyFont="1" applyFill="1" applyBorder="1" applyAlignment="1">
      <alignment horizontal="center" vertical="center" wrapText="1"/>
    </xf>
    <xf numFmtId="0" fontId="10" fillId="8" borderId="22" xfId="3" applyFont="1" applyFill="1" applyBorder="1" applyAlignment="1">
      <alignment horizontal="center" vertical="center" wrapText="1"/>
    </xf>
  </cellXfs>
  <cellStyles count="4">
    <cellStyle name="Millares" xfId="1" builtinId="3"/>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xdr:row>
      <xdr:rowOff>0</xdr:rowOff>
    </xdr:to>
    <xdr:grpSp>
      <xdr:nvGrpSpPr>
        <xdr:cNvPr id="8" name="1 Grupo">
          <a:extLst>
            <a:ext uri="{FF2B5EF4-FFF2-40B4-BE49-F238E27FC236}">
              <a16:creationId xmlns:a16="http://schemas.microsoft.com/office/drawing/2014/main" id="{00000000-0008-0000-0100-000002000000}"/>
            </a:ext>
          </a:extLst>
        </xdr:cNvPr>
        <xdr:cNvGrpSpPr>
          <a:grpSpLocks/>
        </xdr:cNvGrpSpPr>
      </xdr:nvGrpSpPr>
      <xdr:grpSpPr bwMode="auto">
        <a:xfrm>
          <a:off x="0" y="0"/>
          <a:ext cx="9925050" cy="904875"/>
          <a:chOff x="57150" y="47625"/>
          <a:chExt cx="6181725" cy="1581150"/>
        </a:xfrm>
      </xdr:grpSpPr>
      <xdr:pic>
        <xdr:nvPicPr>
          <xdr:cNvPr id="9" name="1 Imagen" descr="ESCUDO-transp-lema-blanc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10" name="3 CuadroTexto">
            <a:extLst>
              <a:ext uri="{FF2B5EF4-FFF2-40B4-BE49-F238E27FC236}">
                <a16:creationId xmlns:a16="http://schemas.microsoft.com/office/drawing/2014/main" id="{00000000-0008-0000-01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IDY\MATRIZ%20DE%20SEGUIMIENTO\MATRIZ%20DE%20SEGUIMIENTO%202021\CONSOLIDACION%202021\Formatos%20SINA%20-%20PAI%202021_1002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MATRIZ%20SEGUIMIENTO%20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C5" t="str">
            <v>Corporación Autónoma Regional del Alto Magdalena - CAM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OLIDADO PLAN DE ACCIÓN"/>
      <sheetName val="SINA - Matriz Inf Gestión-GD "/>
      <sheetName val="T-CAM-034"/>
      <sheetName val="320101-2.1 "/>
      <sheetName val="320102-2.3 "/>
      <sheetName val="320103-4.1"/>
      <sheetName val="320201-1.1"/>
      <sheetName val="320202-4.2"/>
      <sheetName val="320203-1.2"/>
      <sheetName val="320301-1.3"/>
      <sheetName val="320302-3.2"/>
      <sheetName val="320401-4.4"/>
      <sheetName val="320501-3.3"/>
      <sheetName val="320502-3.4"/>
      <sheetName val="320503-3.5 "/>
      <sheetName val="320504-00"/>
      <sheetName val="320601-"/>
      <sheetName val="320801-4.6"/>
      <sheetName val="329901-4.5"/>
      <sheetName val="NOMINA"/>
      <sheetName val="RELACION DE CONTRATOS"/>
    </sheetNames>
    <sheetDataSet>
      <sheetData sheetId="0">
        <row r="7">
          <cell r="D7">
            <v>100</v>
          </cell>
          <cell r="E7">
            <v>901415139.39999998</v>
          </cell>
          <cell r="F7">
            <v>60.75</v>
          </cell>
          <cell r="G7">
            <v>357649083</v>
          </cell>
          <cell r="L7">
            <v>100</v>
          </cell>
          <cell r="N7">
            <v>100</v>
          </cell>
          <cell r="P7">
            <v>100</v>
          </cell>
          <cell r="Q7">
            <v>225956092</v>
          </cell>
          <cell r="R7">
            <v>43</v>
          </cell>
          <cell r="S7">
            <v>101628154</v>
          </cell>
        </row>
        <row r="8">
          <cell r="D8">
            <v>1</v>
          </cell>
          <cell r="E8">
            <v>237815844</v>
          </cell>
          <cell r="F8">
            <v>0.625</v>
          </cell>
          <cell r="G8">
            <v>158285062</v>
          </cell>
          <cell r="L8">
            <v>1</v>
          </cell>
          <cell r="N8">
            <v>1</v>
          </cell>
          <cell r="P8">
            <v>1</v>
          </cell>
          <cell r="Q8">
            <v>98971273</v>
          </cell>
          <cell r="R8">
            <v>0.5</v>
          </cell>
          <cell r="S8">
            <v>50613527</v>
          </cell>
        </row>
        <row r="10">
          <cell r="D10">
            <v>100</v>
          </cell>
          <cell r="E10">
            <v>1293171426</v>
          </cell>
          <cell r="F10">
            <v>62.5</v>
          </cell>
          <cell r="G10">
            <v>588997097</v>
          </cell>
          <cell r="L10">
            <v>100</v>
          </cell>
          <cell r="N10">
            <v>93.63</v>
          </cell>
          <cell r="P10">
            <v>100</v>
          </cell>
          <cell r="Q10">
            <v>320085086</v>
          </cell>
          <cell r="R10">
            <v>50</v>
          </cell>
          <cell r="S10">
            <v>209563485</v>
          </cell>
        </row>
        <row r="11">
          <cell r="D11">
            <v>1</v>
          </cell>
          <cell r="E11">
            <v>249523552</v>
          </cell>
          <cell r="F11">
            <v>0.63</v>
          </cell>
          <cell r="G11">
            <v>173423842</v>
          </cell>
          <cell r="L11">
            <v>1</v>
          </cell>
          <cell r="N11">
            <v>0.99</v>
          </cell>
          <cell r="P11">
            <v>1</v>
          </cell>
          <cell r="Q11">
            <v>107725787</v>
          </cell>
          <cell r="R11">
            <v>0.5</v>
          </cell>
          <cell r="S11">
            <v>60018189</v>
          </cell>
        </row>
        <row r="13">
          <cell r="D13">
            <v>100</v>
          </cell>
          <cell r="E13">
            <v>138237792.30000001</v>
          </cell>
          <cell r="F13">
            <v>62.5</v>
          </cell>
          <cell r="G13">
            <v>92894370</v>
          </cell>
          <cell r="L13">
            <v>100</v>
          </cell>
          <cell r="N13">
            <v>100</v>
          </cell>
          <cell r="P13">
            <v>100</v>
          </cell>
          <cell r="Q13">
            <v>37955779</v>
          </cell>
          <cell r="R13">
            <v>50</v>
          </cell>
          <cell r="S13">
            <v>31025889</v>
          </cell>
        </row>
        <row r="14">
          <cell r="D14">
            <v>100</v>
          </cell>
          <cell r="E14">
            <v>294098200.47000003</v>
          </cell>
          <cell r="F14">
            <v>58.5</v>
          </cell>
          <cell r="G14">
            <v>184356194</v>
          </cell>
          <cell r="L14">
            <v>100</v>
          </cell>
          <cell r="N14">
            <v>100</v>
          </cell>
          <cell r="P14">
            <v>100</v>
          </cell>
          <cell r="Q14">
            <v>52823752</v>
          </cell>
          <cell r="R14">
            <v>35</v>
          </cell>
          <cell r="S14">
            <v>51185778</v>
          </cell>
        </row>
        <row r="15">
          <cell r="D15">
            <v>100</v>
          </cell>
          <cell r="E15">
            <v>2629405604.516418</v>
          </cell>
          <cell r="F15">
            <v>57.5</v>
          </cell>
          <cell r="G15">
            <v>1553347948.3483329</v>
          </cell>
          <cell r="L15">
            <v>80</v>
          </cell>
          <cell r="N15">
            <v>80</v>
          </cell>
          <cell r="P15">
            <v>90</v>
          </cell>
          <cell r="Q15">
            <v>647038559</v>
          </cell>
          <cell r="R15">
            <v>30</v>
          </cell>
          <cell r="S15">
            <v>498339641</v>
          </cell>
        </row>
        <row r="16">
          <cell r="D16">
            <v>60</v>
          </cell>
          <cell r="E16">
            <v>0</v>
          </cell>
          <cell r="F16">
            <v>60</v>
          </cell>
          <cell r="G16">
            <v>0</v>
          </cell>
          <cell r="L16">
            <v>60</v>
          </cell>
          <cell r="N16">
            <v>60</v>
          </cell>
          <cell r="P16">
            <v>60</v>
          </cell>
          <cell r="Q16">
            <v>0</v>
          </cell>
          <cell r="R16">
            <v>60</v>
          </cell>
          <cell r="S16">
            <v>0</v>
          </cell>
        </row>
        <row r="17">
          <cell r="D17">
            <v>80</v>
          </cell>
          <cell r="E17">
            <v>1088629524.477114</v>
          </cell>
          <cell r="F17">
            <v>60</v>
          </cell>
          <cell r="G17">
            <v>847056523</v>
          </cell>
          <cell r="L17">
            <v>80</v>
          </cell>
          <cell r="N17">
            <v>80</v>
          </cell>
          <cell r="P17">
            <v>80</v>
          </cell>
          <cell r="Q17">
            <v>541922552</v>
          </cell>
          <cell r="R17">
            <v>40</v>
          </cell>
          <cell r="S17">
            <v>435300371</v>
          </cell>
        </row>
        <row r="18">
          <cell r="D18">
            <v>35</v>
          </cell>
          <cell r="E18">
            <v>1889234350.4000001</v>
          </cell>
          <cell r="F18">
            <v>59</v>
          </cell>
          <cell r="G18">
            <v>1233219140</v>
          </cell>
          <cell r="L18">
            <v>25</v>
          </cell>
          <cell r="N18">
            <v>27</v>
          </cell>
          <cell r="P18">
            <v>30</v>
          </cell>
          <cell r="Q18">
            <v>723006335</v>
          </cell>
          <cell r="R18">
            <v>36</v>
          </cell>
          <cell r="S18">
            <v>425976468</v>
          </cell>
        </row>
        <row r="19">
          <cell r="D19">
            <v>420</v>
          </cell>
          <cell r="E19">
            <v>96865937.429071516</v>
          </cell>
          <cell r="F19">
            <v>428</v>
          </cell>
          <cell r="G19">
            <v>43731086</v>
          </cell>
          <cell r="L19">
            <v>120</v>
          </cell>
          <cell r="N19">
            <v>270</v>
          </cell>
          <cell r="P19">
            <v>120</v>
          </cell>
          <cell r="Q19">
            <v>23249868.960000001</v>
          </cell>
          <cell r="R19">
            <v>98</v>
          </cell>
          <cell r="S19">
            <v>0</v>
          </cell>
        </row>
        <row r="20">
          <cell r="D20">
            <v>1</v>
          </cell>
          <cell r="E20">
            <v>53415355.541071512</v>
          </cell>
          <cell r="F20">
            <v>0.63</v>
          </cell>
          <cell r="G20">
            <v>16522686.436000001</v>
          </cell>
          <cell r="L20">
            <v>1</v>
          </cell>
          <cell r="N20">
            <v>1</v>
          </cell>
          <cell r="P20">
            <v>1</v>
          </cell>
          <cell r="Q20">
            <v>12851200</v>
          </cell>
          <cell r="R20">
            <v>1</v>
          </cell>
          <cell r="S20">
            <v>0</v>
          </cell>
        </row>
        <row r="21">
          <cell r="D21">
            <v>3</v>
          </cell>
          <cell r="E21">
            <v>173854616.87599999</v>
          </cell>
          <cell r="F21">
            <v>1</v>
          </cell>
          <cell r="G21">
            <v>91999532</v>
          </cell>
          <cell r="L21">
            <v>1</v>
          </cell>
          <cell r="N21">
            <v>1</v>
          </cell>
          <cell r="P21">
            <v>1</v>
          </cell>
          <cell r="Q21">
            <v>81855084.876000002</v>
          </cell>
          <cell r="R21">
            <v>0</v>
          </cell>
          <cell r="S21">
            <v>0</v>
          </cell>
        </row>
        <row r="22">
          <cell r="D22">
            <v>100</v>
          </cell>
          <cell r="E22">
            <v>261474795.01999998</v>
          </cell>
          <cell r="F22">
            <v>60.75</v>
          </cell>
          <cell r="G22">
            <v>138078574.833</v>
          </cell>
          <cell r="L22">
            <v>100</v>
          </cell>
          <cell r="N22">
            <v>100</v>
          </cell>
          <cell r="P22">
            <v>100</v>
          </cell>
          <cell r="Q22">
            <v>41579335.019999996</v>
          </cell>
          <cell r="R22">
            <v>43.33</v>
          </cell>
          <cell r="S22">
            <v>24254612</v>
          </cell>
        </row>
        <row r="23">
          <cell r="D23">
            <v>100</v>
          </cell>
          <cell r="E23">
            <v>76997061</v>
          </cell>
          <cell r="F23">
            <v>67.25</v>
          </cell>
          <cell r="G23">
            <v>56393243</v>
          </cell>
          <cell r="L23">
            <v>100</v>
          </cell>
          <cell r="N23">
            <v>100</v>
          </cell>
          <cell r="P23">
            <v>100</v>
          </cell>
          <cell r="Q23">
            <v>20948279</v>
          </cell>
          <cell r="R23">
            <v>69</v>
          </cell>
          <cell r="S23">
            <v>20948279</v>
          </cell>
        </row>
        <row r="24">
          <cell r="D24">
            <v>1</v>
          </cell>
          <cell r="E24">
            <v>4140911438.7970409</v>
          </cell>
          <cell r="F24">
            <v>0.625</v>
          </cell>
          <cell r="G24">
            <v>2677386021</v>
          </cell>
          <cell r="L24">
            <v>1</v>
          </cell>
          <cell r="N24">
            <v>1</v>
          </cell>
          <cell r="P24">
            <v>1</v>
          </cell>
          <cell r="Q24">
            <v>2170583544.249373</v>
          </cell>
          <cell r="R24">
            <v>0.5</v>
          </cell>
          <cell r="S24">
            <v>876970501</v>
          </cell>
        </row>
        <row r="27">
          <cell r="D27">
            <v>120</v>
          </cell>
          <cell r="E27">
            <v>525585697.972</v>
          </cell>
          <cell r="F27">
            <v>202</v>
          </cell>
          <cell r="G27">
            <v>281763066.28258121</v>
          </cell>
          <cell r="L27">
            <v>30</v>
          </cell>
          <cell r="N27">
            <v>57</v>
          </cell>
          <cell r="P27">
            <v>30</v>
          </cell>
          <cell r="Q27">
            <v>216994610.44400001</v>
          </cell>
          <cell r="R27">
            <v>115</v>
          </cell>
          <cell r="S27">
            <v>88079638</v>
          </cell>
        </row>
        <row r="28">
          <cell r="D28">
            <v>3</v>
          </cell>
          <cell r="E28">
            <v>802537525.96368003</v>
          </cell>
          <cell r="F28">
            <v>3</v>
          </cell>
          <cell r="G28">
            <v>134354449.692</v>
          </cell>
          <cell r="L28">
            <v>3</v>
          </cell>
          <cell r="N28">
            <v>3</v>
          </cell>
          <cell r="P28">
            <v>3</v>
          </cell>
          <cell r="Q28">
            <v>567804749.71968007</v>
          </cell>
          <cell r="R28">
            <v>1</v>
          </cell>
          <cell r="S28">
            <v>6024000</v>
          </cell>
        </row>
        <row r="29">
          <cell r="D29">
            <v>7</v>
          </cell>
          <cell r="E29">
            <v>618956285.07599998</v>
          </cell>
          <cell r="F29">
            <v>7</v>
          </cell>
          <cell r="G29">
            <v>409507672</v>
          </cell>
          <cell r="L29">
            <v>2</v>
          </cell>
          <cell r="N29">
            <v>5</v>
          </cell>
          <cell r="P29">
            <v>2</v>
          </cell>
          <cell r="Q29">
            <v>95000000</v>
          </cell>
          <cell r="R29">
            <v>0</v>
          </cell>
          <cell r="S29">
            <v>0</v>
          </cell>
        </row>
        <row r="30">
          <cell r="D30">
            <v>7</v>
          </cell>
          <cell r="E30">
            <v>1523150200.9643998</v>
          </cell>
          <cell r="F30">
            <v>5</v>
          </cell>
          <cell r="G30">
            <v>923985982.42073214</v>
          </cell>
          <cell r="L30">
            <v>2</v>
          </cell>
          <cell r="N30">
            <v>2</v>
          </cell>
          <cell r="P30">
            <v>1</v>
          </cell>
          <cell r="Q30">
            <v>539691608.11239994</v>
          </cell>
          <cell r="R30">
            <v>0</v>
          </cell>
          <cell r="S30">
            <v>0</v>
          </cell>
        </row>
        <row r="31">
          <cell r="D31">
            <v>100</v>
          </cell>
          <cell r="E31">
            <v>265607219.86399999</v>
          </cell>
          <cell r="F31">
            <v>57</v>
          </cell>
          <cell r="G31">
            <v>166329541</v>
          </cell>
          <cell r="L31">
            <v>67</v>
          </cell>
          <cell r="N31">
            <v>67</v>
          </cell>
          <cell r="P31">
            <v>83</v>
          </cell>
          <cell r="Q31">
            <v>83332000</v>
          </cell>
          <cell r="R31">
            <v>40</v>
          </cell>
          <cell r="S31">
            <v>0</v>
          </cell>
        </row>
        <row r="32">
          <cell r="D32">
            <v>100</v>
          </cell>
          <cell r="E32">
            <v>38904415.031999998</v>
          </cell>
          <cell r="F32">
            <v>62.5</v>
          </cell>
          <cell r="G32">
            <v>14848944</v>
          </cell>
          <cell r="L32">
            <v>100</v>
          </cell>
          <cell r="N32">
            <v>100</v>
          </cell>
          <cell r="P32">
            <v>100</v>
          </cell>
          <cell r="Q32">
            <v>18525737.719999999</v>
          </cell>
          <cell r="R32">
            <v>50</v>
          </cell>
          <cell r="S32">
            <v>0</v>
          </cell>
        </row>
        <row r="33">
          <cell r="D33">
            <v>100</v>
          </cell>
          <cell r="E33">
            <v>9316929884.5711193</v>
          </cell>
          <cell r="F33">
            <v>58.75</v>
          </cell>
          <cell r="G33">
            <v>4896376994.1290102</v>
          </cell>
          <cell r="L33">
            <v>100</v>
          </cell>
          <cell r="N33">
            <v>100</v>
          </cell>
          <cell r="P33">
            <v>100</v>
          </cell>
          <cell r="Q33">
            <v>1712813662.8031199</v>
          </cell>
          <cell r="R33">
            <v>35</v>
          </cell>
          <cell r="S33">
            <v>372333137</v>
          </cell>
        </row>
        <row r="34">
          <cell r="D34">
            <v>25</v>
          </cell>
          <cell r="E34">
            <v>2147568538.2764802</v>
          </cell>
          <cell r="F34">
            <v>25</v>
          </cell>
          <cell r="G34">
            <v>1113407785.7379303</v>
          </cell>
          <cell r="L34">
            <v>25</v>
          </cell>
          <cell r="N34">
            <v>25</v>
          </cell>
          <cell r="P34">
            <v>25</v>
          </cell>
          <cell r="Q34">
            <v>321140061.92247999</v>
          </cell>
          <cell r="R34">
            <v>25</v>
          </cell>
          <cell r="S34">
            <v>166775146</v>
          </cell>
        </row>
        <row r="35">
          <cell r="D35">
            <v>100</v>
          </cell>
          <cell r="E35">
            <v>904991251.79359996</v>
          </cell>
          <cell r="F35">
            <v>62.5</v>
          </cell>
          <cell r="G35">
            <v>514839079.62974238</v>
          </cell>
          <cell r="L35">
            <v>100</v>
          </cell>
          <cell r="N35">
            <v>100</v>
          </cell>
          <cell r="P35">
            <v>100</v>
          </cell>
          <cell r="Q35">
            <v>253705225.24159998</v>
          </cell>
          <cell r="R35">
            <v>100</v>
          </cell>
          <cell r="S35">
            <v>96963096</v>
          </cell>
        </row>
        <row r="36">
          <cell r="D36">
            <v>1</v>
          </cell>
          <cell r="E36">
            <v>461959965.48799998</v>
          </cell>
          <cell r="F36">
            <v>0.625</v>
          </cell>
          <cell r="G36">
            <v>317551700</v>
          </cell>
          <cell r="L36">
            <v>1</v>
          </cell>
          <cell r="N36">
            <v>1</v>
          </cell>
          <cell r="P36">
            <v>1</v>
          </cell>
          <cell r="Q36">
            <v>186884283</v>
          </cell>
          <cell r="R36">
            <v>0.5</v>
          </cell>
          <cell r="S36">
            <v>110471467</v>
          </cell>
        </row>
        <row r="38">
          <cell r="D38">
            <v>1</v>
          </cell>
          <cell r="E38">
            <v>3329189905.6031342</v>
          </cell>
          <cell r="F38">
            <v>0.625</v>
          </cell>
          <cell r="G38">
            <v>1948024587.0560002</v>
          </cell>
          <cell r="L38">
            <v>1</v>
          </cell>
          <cell r="N38">
            <v>1</v>
          </cell>
          <cell r="P38">
            <v>1</v>
          </cell>
          <cell r="Q38">
            <v>784983626.55840003</v>
          </cell>
          <cell r="R38">
            <v>0.5</v>
          </cell>
          <cell r="S38">
            <v>439523341</v>
          </cell>
        </row>
        <row r="39">
          <cell r="D39">
            <v>1</v>
          </cell>
          <cell r="E39">
            <v>216075153.18400002</v>
          </cell>
          <cell r="F39">
            <v>0.625</v>
          </cell>
          <cell r="G39">
            <v>131439864</v>
          </cell>
          <cell r="L39">
            <v>1</v>
          </cell>
          <cell r="N39">
            <v>1</v>
          </cell>
          <cell r="P39">
            <v>1</v>
          </cell>
          <cell r="Q39">
            <v>93199040.920000002</v>
          </cell>
          <cell r="R39">
            <v>0.5</v>
          </cell>
          <cell r="S39">
            <v>50888944</v>
          </cell>
        </row>
        <row r="40">
          <cell r="D40">
            <v>1</v>
          </cell>
          <cell r="E40">
            <v>1438229125.869976</v>
          </cell>
          <cell r="F40">
            <v>0.625</v>
          </cell>
          <cell r="G40">
            <v>751814856</v>
          </cell>
          <cell r="L40">
            <v>1</v>
          </cell>
          <cell r="N40">
            <v>1</v>
          </cell>
          <cell r="P40">
            <v>1</v>
          </cell>
          <cell r="Q40">
            <v>455988375.1536001</v>
          </cell>
          <cell r="R40">
            <v>0.5</v>
          </cell>
          <cell r="S40">
            <v>177736565</v>
          </cell>
        </row>
        <row r="42">
          <cell r="D42">
            <v>100</v>
          </cell>
          <cell r="E42">
            <v>472320385</v>
          </cell>
          <cell r="F42">
            <v>34.25</v>
          </cell>
          <cell r="G42">
            <v>241220069.81999999</v>
          </cell>
          <cell r="L42">
            <v>100</v>
          </cell>
          <cell r="N42">
            <v>30</v>
          </cell>
          <cell r="P42">
            <v>100</v>
          </cell>
          <cell r="Q42">
            <v>112026071</v>
          </cell>
          <cell r="R42">
            <v>5</v>
          </cell>
          <cell r="S42">
            <v>0</v>
          </cell>
        </row>
        <row r="43">
          <cell r="D43">
            <v>100</v>
          </cell>
          <cell r="E43">
            <v>1329929782.4000001</v>
          </cell>
          <cell r="F43">
            <v>53.75</v>
          </cell>
          <cell r="G43">
            <v>497000649.764</v>
          </cell>
          <cell r="L43">
            <v>100</v>
          </cell>
          <cell r="N43">
            <v>100</v>
          </cell>
          <cell r="P43">
            <v>100</v>
          </cell>
          <cell r="Q43">
            <v>354063684</v>
          </cell>
          <cell r="R43">
            <v>15</v>
          </cell>
          <cell r="S43">
            <v>23564374</v>
          </cell>
        </row>
        <row r="44">
          <cell r="D44">
            <v>1400</v>
          </cell>
          <cell r="E44">
            <v>1509233764.0999999</v>
          </cell>
          <cell r="F44">
            <v>815</v>
          </cell>
          <cell r="G44">
            <v>752012098.14400005</v>
          </cell>
          <cell r="L44">
            <v>300</v>
          </cell>
          <cell r="N44">
            <v>300</v>
          </cell>
          <cell r="P44">
            <v>300</v>
          </cell>
          <cell r="Q44">
            <v>211559577</v>
          </cell>
          <cell r="S44">
            <v>0</v>
          </cell>
        </row>
        <row r="45">
          <cell r="D45">
            <v>100</v>
          </cell>
          <cell r="E45">
            <v>1434550198</v>
          </cell>
          <cell r="F45">
            <v>53.75</v>
          </cell>
          <cell r="G45">
            <v>334870711.10799998</v>
          </cell>
          <cell r="L45">
            <v>100</v>
          </cell>
          <cell r="N45">
            <v>100</v>
          </cell>
          <cell r="P45">
            <v>100</v>
          </cell>
          <cell r="Q45">
            <v>298227433</v>
          </cell>
          <cell r="R45">
            <v>15</v>
          </cell>
          <cell r="S45">
            <v>0</v>
          </cell>
        </row>
        <row r="46">
          <cell r="D46">
            <v>610</v>
          </cell>
          <cell r="E46">
            <v>945224215</v>
          </cell>
          <cell r="F46">
            <v>1592.7393</v>
          </cell>
          <cell r="G46">
            <v>339606402</v>
          </cell>
          <cell r="L46">
            <v>50</v>
          </cell>
          <cell r="N46">
            <v>16.824999999999999</v>
          </cell>
          <cell r="P46">
            <v>110</v>
          </cell>
          <cell r="Q46">
            <v>180355230</v>
          </cell>
          <cell r="S46">
            <v>0</v>
          </cell>
        </row>
        <row r="49">
          <cell r="D49">
            <v>100</v>
          </cell>
          <cell r="E49">
            <v>4916057791.448</v>
          </cell>
          <cell r="F49">
            <v>55</v>
          </cell>
          <cell r="G49">
            <v>4296082638</v>
          </cell>
          <cell r="L49">
            <v>36</v>
          </cell>
          <cell r="N49">
            <v>36</v>
          </cell>
          <cell r="P49">
            <v>60</v>
          </cell>
          <cell r="Q49">
            <v>2478385218.6479998</v>
          </cell>
          <cell r="R49">
            <v>20</v>
          </cell>
          <cell r="S49">
            <v>2152119427</v>
          </cell>
        </row>
        <row r="50">
          <cell r="D50">
            <v>100</v>
          </cell>
          <cell r="E50">
            <v>24063027037.799999</v>
          </cell>
          <cell r="F50">
            <v>57.5</v>
          </cell>
          <cell r="G50">
            <v>14741426634</v>
          </cell>
          <cell r="L50">
            <v>100</v>
          </cell>
          <cell r="N50">
            <v>100</v>
          </cell>
          <cell r="P50">
            <v>100</v>
          </cell>
          <cell r="Q50">
            <v>5221611331</v>
          </cell>
          <cell r="R50">
            <v>30</v>
          </cell>
          <cell r="S50">
            <v>3659548346</v>
          </cell>
        </row>
        <row r="51">
          <cell r="D51">
            <v>1</v>
          </cell>
          <cell r="E51">
            <v>10375178692</v>
          </cell>
          <cell r="F51">
            <v>0.5</v>
          </cell>
          <cell r="G51">
            <v>5639751119</v>
          </cell>
          <cell r="L51">
            <v>1</v>
          </cell>
          <cell r="N51">
            <v>1</v>
          </cell>
          <cell r="P51">
            <v>1</v>
          </cell>
          <cell r="Q51">
            <v>2541158677</v>
          </cell>
          <cell r="R51">
            <v>0</v>
          </cell>
          <cell r="S51">
            <v>0</v>
          </cell>
        </row>
        <row r="53">
          <cell r="D53">
            <v>100</v>
          </cell>
          <cell r="E53">
            <v>81834765.279999986</v>
          </cell>
          <cell r="F53">
            <v>62.5</v>
          </cell>
          <cell r="G53">
            <v>43421233</v>
          </cell>
          <cell r="L53">
            <v>100</v>
          </cell>
          <cell r="N53">
            <v>100</v>
          </cell>
          <cell r="P53">
            <v>100</v>
          </cell>
          <cell r="Q53">
            <v>10394833.68</v>
          </cell>
          <cell r="R53">
            <v>50</v>
          </cell>
          <cell r="S53">
            <v>10394833</v>
          </cell>
        </row>
        <row r="54">
          <cell r="D54">
            <v>100</v>
          </cell>
          <cell r="E54">
            <v>78369820.719999984</v>
          </cell>
          <cell r="F54">
            <v>62.5</v>
          </cell>
          <cell r="G54">
            <v>39956289.119999997</v>
          </cell>
          <cell r="L54">
            <v>100</v>
          </cell>
          <cell r="N54">
            <v>100</v>
          </cell>
          <cell r="P54">
            <v>100</v>
          </cell>
          <cell r="Q54">
            <v>6929889.1200000001</v>
          </cell>
          <cell r="R54">
            <v>50</v>
          </cell>
          <cell r="S54">
            <v>6929889.1200000001</v>
          </cell>
        </row>
        <row r="55">
          <cell r="D55">
            <v>100</v>
          </cell>
          <cell r="E55">
            <v>518347934</v>
          </cell>
          <cell r="F55">
            <v>66.814999999999998</v>
          </cell>
          <cell r="G55">
            <v>515709480</v>
          </cell>
          <cell r="L55">
            <v>60</v>
          </cell>
          <cell r="N55">
            <v>60</v>
          </cell>
          <cell r="P55">
            <v>80</v>
          </cell>
          <cell r="Q55">
            <v>2200000</v>
          </cell>
          <cell r="R55">
            <v>67.260000000000005</v>
          </cell>
          <cell r="S55">
            <v>0</v>
          </cell>
        </row>
        <row r="56">
          <cell r="D56">
            <v>100</v>
          </cell>
          <cell r="E56">
            <v>1056440494.6800001</v>
          </cell>
          <cell r="F56">
            <v>16865</v>
          </cell>
          <cell r="G56">
            <v>650483489</v>
          </cell>
          <cell r="L56">
            <v>60</v>
          </cell>
          <cell r="N56">
            <v>60</v>
          </cell>
          <cell r="P56">
            <v>80</v>
          </cell>
          <cell r="Q56">
            <v>402328070.68000001</v>
          </cell>
          <cell r="R56">
            <v>67.260000000000005</v>
          </cell>
          <cell r="S56">
            <v>0</v>
          </cell>
        </row>
        <row r="57">
          <cell r="D57">
            <v>1</v>
          </cell>
          <cell r="E57">
            <v>7259421812.174675</v>
          </cell>
          <cell r="F57">
            <v>0.625</v>
          </cell>
          <cell r="G57">
            <v>4525904794.8080006</v>
          </cell>
          <cell r="L57">
            <v>1</v>
          </cell>
          <cell r="N57">
            <v>1</v>
          </cell>
          <cell r="P57">
            <v>1</v>
          </cell>
          <cell r="Q57">
            <v>2036425487.5456758</v>
          </cell>
          <cell r="R57">
            <v>0.5</v>
          </cell>
          <cell r="S57">
            <v>1014664572</v>
          </cell>
        </row>
        <row r="58">
          <cell r="D58">
            <v>13</v>
          </cell>
          <cell r="E58">
            <v>660592329.30325603</v>
          </cell>
          <cell r="F58">
            <v>0</v>
          </cell>
          <cell r="G58">
            <v>251264054</v>
          </cell>
          <cell r="L58">
            <v>0</v>
          </cell>
          <cell r="N58">
            <v>0</v>
          </cell>
          <cell r="P58">
            <v>6</v>
          </cell>
          <cell r="Q58">
            <v>290992329.30325603</v>
          </cell>
          <cell r="R58">
            <v>0</v>
          </cell>
          <cell r="S58">
            <v>251264054</v>
          </cell>
        </row>
        <row r="59">
          <cell r="D59">
            <v>100</v>
          </cell>
          <cell r="E59">
            <v>1423447267.6710689</v>
          </cell>
          <cell r="F59">
            <v>46</v>
          </cell>
          <cell r="G59">
            <v>924608428</v>
          </cell>
          <cell r="L59">
            <v>100</v>
          </cell>
          <cell r="N59">
            <v>85</v>
          </cell>
          <cell r="P59">
            <v>100</v>
          </cell>
          <cell r="Q59">
            <v>34360478.671068877</v>
          </cell>
          <cell r="R59">
            <v>0</v>
          </cell>
          <cell r="S59">
            <v>0</v>
          </cell>
        </row>
        <row r="62">
          <cell r="D62">
            <v>100</v>
          </cell>
          <cell r="E62">
            <v>925435147.25079989</v>
          </cell>
          <cell r="F62">
            <v>62.5</v>
          </cell>
          <cell r="G62">
            <v>563954228</v>
          </cell>
          <cell r="L62">
            <v>100</v>
          </cell>
          <cell r="N62">
            <v>100</v>
          </cell>
          <cell r="P62">
            <v>100</v>
          </cell>
          <cell r="Q62">
            <v>215425770.29359999</v>
          </cell>
          <cell r="R62">
            <v>50</v>
          </cell>
          <cell r="S62">
            <v>197500192</v>
          </cell>
        </row>
        <row r="63">
          <cell r="D63">
            <v>90</v>
          </cell>
          <cell r="E63">
            <v>265051567</v>
          </cell>
          <cell r="F63">
            <v>58.5</v>
          </cell>
          <cell r="G63">
            <v>180631357</v>
          </cell>
          <cell r="L63">
            <v>90</v>
          </cell>
          <cell r="N63">
            <v>100</v>
          </cell>
          <cell r="P63">
            <v>90</v>
          </cell>
          <cell r="Q63">
            <v>61424016.999999993</v>
          </cell>
          <cell r="R63">
            <v>34</v>
          </cell>
          <cell r="S63">
            <v>60660887</v>
          </cell>
        </row>
        <row r="66">
          <cell r="D66">
            <v>100</v>
          </cell>
          <cell r="E66">
            <v>675121532.18799996</v>
          </cell>
          <cell r="F66">
            <v>62.75</v>
          </cell>
          <cell r="G66">
            <v>395476298</v>
          </cell>
          <cell r="L66">
            <v>100</v>
          </cell>
          <cell r="N66">
            <v>100</v>
          </cell>
          <cell r="P66">
            <v>100</v>
          </cell>
          <cell r="Q66">
            <v>191357678.18799999</v>
          </cell>
          <cell r="R66">
            <v>51</v>
          </cell>
          <cell r="S66">
            <v>148259974</v>
          </cell>
        </row>
        <row r="67">
          <cell r="D67">
            <v>1</v>
          </cell>
          <cell r="E67">
            <v>261738791</v>
          </cell>
          <cell r="F67">
            <v>0.625</v>
          </cell>
          <cell r="G67">
            <v>145170112</v>
          </cell>
          <cell r="L67">
            <v>1</v>
          </cell>
          <cell r="N67">
            <v>1</v>
          </cell>
          <cell r="P67">
            <v>1</v>
          </cell>
          <cell r="Q67">
            <v>103971273</v>
          </cell>
          <cell r="R67">
            <v>0.5</v>
          </cell>
          <cell r="S67">
            <v>34642501</v>
          </cell>
        </row>
        <row r="69">
          <cell r="D69">
            <v>100</v>
          </cell>
          <cell r="E69">
            <v>5063737385.4400005</v>
          </cell>
          <cell r="F69">
            <v>62.5</v>
          </cell>
          <cell r="G69">
            <v>3101348936.5999999</v>
          </cell>
          <cell r="L69">
            <v>100</v>
          </cell>
          <cell r="N69">
            <v>100</v>
          </cell>
          <cell r="P69">
            <v>100</v>
          </cell>
          <cell r="Q69">
            <v>743822680.43999994</v>
          </cell>
          <cell r="R69">
            <v>60</v>
          </cell>
          <cell r="S69">
            <v>162980312</v>
          </cell>
        </row>
        <row r="70">
          <cell r="D70">
            <v>100</v>
          </cell>
          <cell r="E70">
            <v>3246227139</v>
          </cell>
          <cell r="F70">
            <v>59.5</v>
          </cell>
          <cell r="G70">
            <v>391356658</v>
          </cell>
          <cell r="L70">
            <v>100</v>
          </cell>
          <cell r="N70">
            <v>65</v>
          </cell>
          <cell r="P70">
            <v>100</v>
          </cell>
          <cell r="Q70">
            <v>2479575946</v>
          </cell>
          <cell r="R70">
            <v>15</v>
          </cell>
          <cell r="S70">
            <v>28197251</v>
          </cell>
        </row>
        <row r="72">
          <cell r="D72">
            <v>20</v>
          </cell>
          <cell r="E72">
            <v>1146742988.8759999</v>
          </cell>
          <cell r="F72">
            <v>24</v>
          </cell>
          <cell r="G72">
            <v>546292043</v>
          </cell>
          <cell r="L72">
            <v>5</v>
          </cell>
          <cell r="N72">
            <v>16</v>
          </cell>
          <cell r="P72">
            <v>5</v>
          </cell>
          <cell r="Q72">
            <v>371562988.87599999</v>
          </cell>
          <cell r="R72">
            <v>14</v>
          </cell>
          <cell r="S72">
            <v>78864751</v>
          </cell>
        </row>
        <row r="73">
          <cell r="D73">
            <v>1</v>
          </cell>
          <cell r="E73">
            <v>171304900</v>
          </cell>
          <cell r="F73">
            <v>0.625</v>
          </cell>
          <cell r="G73">
            <v>93502630</v>
          </cell>
          <cell r="L73">
            <v>1</v>
          </cell>
          <cell r="N73">
            <v>1</v>
          </cell>
          <cell r="P73">
            <v>1</v>
          </cell>
          <cell r="Q73">
            <v>116484900</v>
          </cell>
          <cell r="R73">
            <v>0.5</v>
          </cell>
          <cell r="S73">
            <v>42472397</v>
          </cell>
        </row>
        <row r="75">
          <cell r="D75">
            <v>1</v>
          </cell>
          <cell r="E75">
            <v>6363378359</v>
          </cell>
          <cell r="F75">
            <v>0.67</v>
          </cell>
          <cell r="G75">
            <v>4864246174</v>
          </cell>
          <cell r="L75">
            <v>1</v>
          </cell>
          <cell r="N75">
            <v>0.38</v>
          </cell>
          <cell r="P75">
            <v>1</v>
          </cell>
          <cell r="R75">
            <v>0.67</v>
          </cell>
          <cell r="S75">
            <v>937580074</v>
          </cell>
        </row>
        <row r="78">
          <cell r="D78">
            <v>100</v>
          </cell>
          <cell r="E78">
            <v>867022796</v>
          </cell>
          <cell r="F78">
            <v>35.5</v>
          </cell>
          <cell r="G78">
            <v>502804999</v>
          </cell>
          <cell r="L78">
            <v>100</v>
          </cell>
          <cell r="N78">
            <v>100</v>
          </cell>
          <cell r="P78">
            <v>100</v>
          </cell>
          <cell r="Q78">
            <v>220000000</v>
          </cell>
          <cell r="R78">
            <v>19</v>
          </cell>
          <cell r="S78">
            <v>41967200</v>
          </cell>
        </row>
        <row r="79">
          <cell r="D79">
            <v>100</v>
          </cell>
          <cell r="E79">
            <v>226515004</v>
          </cell>
          <cell r="F79">
            <v>62.75</v>
          </cell>
          <cell r="G79">
            <v>165277219</v>
          </cell>
          <cell r="L79">
            <v>100</v>
          </cell>
          <cell r="N79">
            <v>100</v>
          </cell>
          <cell r="P79">
            <v>100</v>
          </cell>
          <cell r="Q79">
            <v>57750000</v>
          </cell>
          <cell r="R79">
            <v>51</v>
          </cell>
          <cell r="S79">
            <v>57749076</v>
          </cell>
        </row>
        <row r="82">
          <cell r="D82">
            <v>100</v>
          </cell>
          <cell r="E82">
            <v>3750677809.8000002</v>
          </cell>
          <cell r="F82">
            <v>62.5</v>
          </cell>
          <cell r="G82">
            <v>2134360464.372</v>
          </cell>
          <cell r="L82">
            <v>100</v>
          </cell>
          <cell r="N82">
            <v>92</v>
          </cell>
          <cell r="P82">
            <v>100</v>
          </cell>
          <cell r="Q82">
            <v>1036501375</v>
          </cell>
          <cell r="R82">
            <v>50</v>
          </cell>
          <cell r="S82">
            <v>565528039</v>
          </cell>
        </row>
        <row r="83">
          <cell r="D83">
            <v>1</v>
          </cell>
          <cell r="E83">
            <v>305397925</v>
          </cell>
          <cell r="F83">
            <v>0.625</v>
          </cell>
          <cell r="G83">
            <v>213476604</v>
          </cell>
          <cell r="L83">
            <v>1</v>
          </cell>
          <cell r="N83">
            <v>0.99</v>
          </cell>
          <cell r="P83">
            <v>1</v>
          </cell>
          <cell r="Q83">
            <v>98069898</v>
          </cell>
          <cell r="R83">
            <v>0.5</v>
          </cell>
          <cell r="S83">
            <v>53296596</v>
          </cell>
        </row>
        <row r="86">
          <cell r="D86">
            <v>100</v>
          </cell>
          <cell r="E86">
            <v>1235331333.2539999</v>
          </cell>
          <cell r="F86">
            <v>58.75</v>
          </cell>
          <cell r="G86">
            <v>878307596.70799994</v>
          </cell>
          <cell r="L86">
            <v>50</v>
          </cell>
          <cell r="N86">
            <v>50</v>
          </cell>
          <cell r="P86">
            <v>75</v>
          </cell>
          <cell r="Q86">
            <v>427843032.85399997</v>
          </cell>
          <cell r="R86">
            <v>35</v>
          </cell>
          <cell r="S86">
            <v>364619840</v>
          </cell>
        </row>
        <row r="87">
          <cell r="D87">
            <v>100</v>
          </cell>
          <cell r="E87">
            <v>66998302.359999999</v>
          </cell>
          <cell r="F87">
            <v>58.75</v>
          </cell>
          <cell r="G87">
            <v>40603809.359999999</v>
          </cell>
          <cell r="L87">
            <v>40</v>
          </cell>
          <cell r="N87">
            <v>40</v>
          </cell>
          <cell r="P87">
            <v>70</v>
          </cell>
          <cell r="Q87">
            <v>20080000</v>
          </cell>
          <cell r="R87">
            <v>35</v>
          </cell>
          <cell r="S87">
            <v>20080000</v>
          </cell>
        </row>
        <row r="88">
          <cell r="D88">
            <v>100</v>
          </cell>
          <cell r="E88">
            <v>2072313270.8410239</v>
          </cell>
          <cell r="F88">
            <v>59.375</v>
          </cell>
          <cell r="G88">
            <v>1288183789</v>
          </cell>
          <cell r="L88">
            <v>50</v>
          </cell>
          <cell r="N88">
            <v>50</v>
          </cell>
          <cell r="P88">
            <v>75</v>
          </cell>
          <cell r="Q88">
            <v>396413768.64102399</v>
          </cell>
          <cell r="R88">
            <v>37.5</v>
          </cell>
          <cell r="S88">
            <v>149547306</v>
          </cell>
        </row>
        <row r="89">
          <cell r="D89">
            <v>100</v>
          </cell>
          <cell r="E89">
            <v>265148758</v>
          </cell>
          <cell r="F89">
            <v>57.25</v>
          </cell>
          <cell r="G89">
            <v>106243309</v>
          </cell>
          <cell r="L89">
            <v>60</v>
          </cell>
          <cell r="N89">
            <v>50</v>
          </cell>
          <cell r="P89">
            <v>80</v>
          </cell>
          <cell r="Q89">
            <v>109906318</v>
          </cell>
          <cell r="R89">
            <v>37</v>
          </cell>
          <cell r="S89">
            <v>39680288</v>
          </cell>
        </row>
        <row r="90">
          <cell r="D90">
            <v>100</v>
          </cell>
          <cell r="E90">
            <v>2525837128.8000002</v>
          </cell>
          <cell r="F90">
            <v>45.795000000000002</v>
          </cell>
          <cell r="G90">
            <v>1999957945</v>
          </cell>
          <cell r="L90">
            <v>100</v>
          </cell>
          <cell r="N90">
            <v>30</v>
          </cell>
          <cell r="P90">
            <v>100</v>
          </cell>
          <cell r="Q90">
            <v>956416816.39999998</v>
          </cell>
          <cell r="R90">
            <v>51.178249999999998</v>
          </cell>
          <cell r="S90">
            <v>545378653</v>
          </cell>
        </row>
        <row r="91">
          <cell r="D91">
            <v>1</v>
          </cell>
          <cell r="E91">
            <v>539293491</v>
          </cell>
          <cell r="F91">
            <v>0.59250000000000003</v>
          </cell>
          <cell r="G91">
            <v>338011403</v>
          </cell>
          <cell r="L91">
            <v>1</v>
          </cell>
          <cell r="N91">
            <v>1</v>
          </cell>
          <cell r="P91">
            <v>1</v>
          </cell>
          <cell r="Q91">
            <v>277238871</v>
          </cell>
          <cell r="R91">
            <v>0.37</v>
          </cell>
          <cell r="S91">
            <v>103334780</v>
          </cell>
        </row>
      </sheetData>
      <sheetData sheetId="1"/>
      <sheetData sheetId="2"/>
      <sheetData sheetId="3">
        <row r="20">
          <cell r="S20">
            <v>41330895</v>
          </cell>
        </row>
        <row r="26">
          <cell r="S26">
            <v>0</v>
          </cell>
        </row>
        <row r="44">
          <cell r="S44">
            <v>41214443</v>
          </cell>
        </row>
      </sheetData>
      <sheetData sheetId="4">
        <row r="23">
          <cell r="S23">
            <v>91440930</v>
          </cell>
        </row>
        <row r="37">
          <cell r="S37">
            <v>2870657</v>
          </cell>
        </row>
        <row r="50">
          <cell r="S50">
            <v>37434425</v>
          </cell>
        </row>
      </sheetData>
      <sheetData sheetId="5">
        <row r="16">
          <cell r="S16">
            <v>19844681</v>
          </cell>
        </row>
        <row r="23">
          <cell r="S23">
            <v>27719560</v>
          </cell>
        </row>
        <row r="84">
          <cell r="S84">
            <v>127159859</v>
          </cell>
        </row>
        <row r="89">
          <cell r="S89">
            <v>0</v>
          </cell>
        </row>
        <row r="155">
          <cell r="S155">
            <v>234114398</v>
          </cell>
        </row>
        <row r="182">
          <cell r="S182">
            <v>210876866</v>
          </cell>
        </row>
        <row r="188">
          <cell r="S188">
            <v>0</v>
          </cell>
        </row>
        <row r="194">
          <cell r="S194">
            <v>0</v>
          </cell>
        </row>
        <row r="198">
          <cell r="S198">
            <v>0</v>
          </cell>
        </row>
        <row r="206">
          <cell r="S206">
            <v>0</v>
          </cell>
        </row>
        <row r="211">
          <cell r="S211">
            <v>0</v>
          </cell>
        </row>
        <row r="220">
          <cell r="S220">
            <v>0</v>
          </cell>
        </row>
        <row r="235">
          <cell r="S235">
            <v>876560533</v>
          </cell>
        </row>
      </sheetData>
      <sheetData sheetId="6">
        <row r="15">
          <cell r="S15">
            <v>30568592</v>
          </cell>
        </row>
        <row r="22">
          <cell r="S22">
            <v>0</v>
          </cell>
        </row>
        <row r="30">
          <cell r="S30">
            <v>0</v>
          </cell>
        </row>
        <row r="37">
          <cell r="S37">
            <v>0</v>
          </cell>
        </row>
        <row r="44">
          <cell r="S44">
            <v>0</v>
          </cell>
        </row>
        <row r="52">
          <cell r="S52">
            <v>0</v>
          </cell>
        </row>
        <row r="77">
          <cell r="S77">
            <v>103307880</v>
          </cell>
        </row>
        <row r="92">
          <cell r="S92">
            <v>50965099</v>
          </cell>
        </row>
        <row r="105">
          <cell r="S105">
            <v>39666717</v>
          </cell>
        </row>
        <row r="111">
          <cell r="S111">
            <v>10822722</v>
          </cell>
        </row>
        <row r="124">
          <cell r="S124">
            <v>66863900</v>
          </cell>
        </row>
      </sheetData>
      <sheetData sheetId="7">
        <row r="55">
          <cell r="S55">
            <v>170666959</v>
          </cell>
        </row>
        <row r="62">
          <cell r="S62">
            <v>23006136</v>
          </cell>
        </row>
        <row r="83">
          <cell r="S83">
            <v>42861318</v>
          </cell>
        </row>
      </sheetData>
      <sheetData sheetId="8">
        <row r="14">
          <cell r="S14">
            <v>0</v>
          </cell>
        </row>
        <row r="21">
          <cell r="S21">
            <v>8946455</v>
          </cell>
        </row>
        <row r="29">
          <cell r="S29">
            <v>0</v>
          </cell>
        </row>
        <row r="38">
          <cell r="S38">
            <v>0</v>
          </cell>
        </row>
        <row r="47">
          <cell r="S47">
            <v>0</v>
          </cell>
        </row>
      </sheetData>
      <sheetData sheetId="9">
        <row r="19">
          <cell r="S19">
            <v>30550716</v>
          </cell>
        </row>
        <row r="32">
          <cell r="S32">
            <v>106219875</v>
          </cell>
        </row>
        <row r="60">
          <cell r="S60">
            <v>3413938909.0560002</v>
          </cell>
        </row>
        <row r="70">
          <cell r="S70">
            <v>0</v>
          </cell>
        </row>
      </sheetData>
      <sheetData sheetId="10">
        <row r="14">
          <cell r="S14">
            <v>10394833</v>
          </cell>
        </row>
        <row r="24">
          <cell r="S24">
            <v>6929889.1200000001</v>
          </cell>
        </row>
        <row r="30">
          <cell r="S30">
            <v>0</v>
          </cell>
        </row>
        <row r="42">
          <cell r="S42">
            <v>0</v>
          </cell>
        </row>
        <row r="93">
          <cell r="S93">
            <v>293501402</v>
          </cell>
        </row>
        <row r="103">
          <cell r="S103">
            <v>97234922</v>
          </cell>
        </row>
        <row r="109">
          <cell r="S109">
            <v>0</v>
          </cell>
        </row>
      </sheetData>
      <sheetData sheetId="11">
        <row r="23">
          <cell r="S23">
            <v>43736528</v>
          </cell>
        </row>
        <row r="34">
          <cell r="S34">
            <v>18426814</v>
          </cell>
        </row>
      </sheetData>
      <sheetData sheetId="12">
        <row r="17">
          <cell r="S17">
            <v>68668715</v>
          </cell>
        </row>
        <row r="24">
          <cell r="S24">
            <v>0</v>
          </cell>
        </row>
        <row r="37">
          <cell r="S37">
            <v>34642501</v>
          </cell>
        </row>
      </sheetData>
      <sheetData sheetId="13">
        <row r="20">
          <cell r="S20">
            <v>56680082</v>
          </cell>
        </row>
        <row r="31">
          <cell r="S31">
            <v>0</v>
          </cell>
        </row>
      </sheetData>
      <sheetData sheetId="14">
        <row r="16">
          <cell r="S16">
            <v>22498977</v>
          </cell>
        </row>
        <row r="22">
          <cell r="S22">
            <v>0</v>
          </cell>
        </row>
        <row r="31">
          <cell r="S31">
            <v>42472397</v>
          </cell>
        </row>
      </sheetData>
      <sheetData sheetId="15"/>
      <sheetData sheetId="16">
        <row r="17">
          <cell r="S17">
            <v>15260800</v>
          </cell>
        </row>
        <row r="29">
          <cell r="S29">
            <v>26249580</v>
          </cell>
        </row>
      </sheetData>
      <sheetData sheetId="17">
        <row r="35">
          <cell r="S35">
            <v>248015796</v>
          </cell>
        </row>
        <row r="40">
          <cell r="S40">
            <v>4518165</v>
          </cell>
        </row>
        <row r="57">
          <cell r="S57">
            <v>39197971</v>
          </cell>
        </row>
      </sheetData>
      <sheetData sheetId="18">
        <row r="28">
          <cell r="S28">
            <v>165485119</v>
          </cell>
        </row>
        <row r="37">
          <cell r="S37">
            <v>6024000</v>
          </cell>
        </row>
        <row r="59">
          <cell r="S59">
            <v>19593375</v>
          </cell>
        </row>
        <row r="66">
          <cell r="S66">
            <v>8032000</v>
          </cell>
        </row>
        <row r="78">
          <cell r="S78">
            <v>22669423</v>
          </cell>
        </row>
        <row r="84">
          <cell r="S84">
            <v>0</v>
          </cell>
        </row>
        <row r="97">
          <cell r="S97">
            <v>103334780</v>
          </cell>
        </row>
      </sheetData>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6"/>
  <sheetViews>
    <sheetView tabSelected="1" topLeftCell="A53" workbookViewId="0">
      <selection activeCell="F51" sqref="F51"/>
    </sheetView>
  </sheetViews>
  <sheetFormatPr baseColWidth="10" defaultColWidth="11.42578125" defaultRowHeight="40.5" customHeight="1" x14ac:dyDescent="0.25"/>
  <cols>
    <col min="1" max="1" width="30.5703125" style="193" customWidth="1"/>
    <col min="2" max="2" width="21" style="193" customWidth="1"/>
    <col min="3" max="3" width="7.7109375" style="206" customWidth="1"/>
    <col min="4" max="4" width="10.5703125" style="206" customWidth="1"/>
    <col min="5" max="5" width="7.85546875" style="206" customWidth="1"/>
    <col min="6" max="6" width="8.5703125" style="206" customWidth="1"/>
    <col min="7" max="7" width="13.42578125" style="207" customWidth="1"/>
    <col min="8" max="8" width="10.5703125" style="208" customWidth="1"/>
    <col min="9" max="9" width="8.28515625" style="209" customWidth="1"/>
    <col min="10" max="10" width="30.28515625" style="193" customWidth="1"/>
    <col min="11" max="11" width="23.5703125" style="3" customWidth="1"/>
    <col min="12" max="12" width="16.28515625" style="210" customWidth="1"/>
    <col min="13" max="13" width="14.28515625" style="193" customWidth="1"/>
    <col min="14" max="14" width="17.85546875" style="193" customWidth="1"/>
    <col min="15" max="15" width="15" style="193" customWidth="1"/>
    <col min="16" max="16" width="14.85546875" style="23" customWidth="1"/>
    <col min="17" max="17" width="19.42578125" style="210" customWidth="1"/>
    <col min="18" max="18" width="15.7109375" style="210" customWidth="1"/>
    <col min="19" max="19" width="0.140625" style="193" customWidth="1"/>
    <col min="20" max="20" width="17.85546875" style="193" customWidth="1"/>
    <col min="21" max="21" width="17.140625" style="211" customWidth="1"/>
    <col min="22" max="22" width="19.28515625" style="207" customWidth="1"/>
    <col min="23" max="23" width="17.5703125" style="211" customWidth="1"/>
    <col min="24" max="24" width="21.5703125" style="211" customWidth="1"/>
    <col min="25" max="25" width="25.140625" style="193" customWidth="1"/>
    <col min="26" max="26" width="17.5703125" style="193" customWidth="1"/>
    <col min="27" max="27" width="20.85546875" style="193" customWidth="1"/>
    <col min="28" max="28" width="23.5703125" style="193" customWidth="1"/>
    <col min="29" max="29" width="20" style="193" customWidth="1"/>
    <col min="30" max="30" width="16.28515625" style="193" customWidth="1"/>
    <col min="31" max="31" width="17.42578125" style="193" customWidth="1"/>
    <col min="32" max="32" width="16" style="211" customWidth="1"/>
    <col min="33" max="33" width="16.28515625" style="193" customWidth="1"/>
    <col min="34" max="34" width="13" style="212" customWidth="1"/>
    <col min="35" max="35" width="16.85546875" style="211" customWidth="1"/>
    <col min="36" max="36" width="16.7109375" style="193" customWidth="1"/>
    <col min="37" max="37" width="12.7109375" style="193" customWidth="1"/>
    <col min="38" max="38" width="25" style="193" customWidth="1"/>
    <col min="39" max="39" width="20.7109375" style="193" customWidth="1"/>
    <col min="40" max="40" width="32.42578125" style="193" customWidth="1"/>
    <col min="41" max="41" width="20.28515625" style="193" customWidth="1"/>
    <col min="42" max="42" width="11.42578125" style="193" customWidth="1"/>
    <col min="43" max="43" width="10.85546875" style="3" customWidth="1"/>
    <col min="44" max="16384" width="11.42578125" style="3"/>
  </cols>
  <sheetData>
    <row r="1" spans="1:44" ht="71.25" customHeight="1" thickBot="1" x14ac:dyDescent="0.3">
      <c r="A1" s="256"/>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8"/>
      <c r="AP1" s="1"/>
      <c r="AQ1" s="2"/>
    </row>
    <row r="2" spans="1:44" s="5" customFormat="1" ht="40.5" customHeight="1" thickBot="1" x14ac:dyDescent="0.3">
      <c r="A2" s="259" t="str">
        <f>+'[1]Datos Generales'!C5</f>
        <v>Corporación Autónoma Regional del Alto Magdalena - CAM</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c r="AP2" s="4"/>
      <c r="AR2" s="6"/>
    </row>
    <row r="3" spans="1:44" s="5" customFormat="1" ht="40.5" customHeight="1" thickBot="1" x14ac:dyDescent="0.3">
      <c r="A3" s="262"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4"/>
      <c r="AP3" s="7"/>
      <c r="AQ3" s="8"/>
    </row>
    <row r="4" spans="1:44" s="5" customFormat="1" ht="40.5" customHeight="1" thickBot="1" x14ac:dyDescent="0.3">
      <c r="A4" s="9" t="s">
        <v>1</v>
      </c>
      <c r="B4" s="10" t="s">
        <v>262</v>
      </c>
      <c r="C4" s="11"/>
      <c r="D4" s="11"/>
      <c r="E4" s="11"/>
      <c r="F4" s="11"/>
      <c r="G4" s="12"/>
      <c r="H4" s="13"/>
      <c r="I4" s="14"/>
      <c r="J4" s="10"/>
      <c r="K4" s="15"/>
      <c r="L4" s="16"/>
      <c r="M4" s="10"/>
      <c r="N4" s="10"/>
      <c r="O4" s="10"/>
      <c r="P4" s="17"/>
      <c r="Q4" s="16"/>
      <c r="R4" s="16"/>
      <c r="S4" s="10"/>
      <c r="T4" s="10"/>
      <c r="U4" s="18"/>
      <c r="V4" s="12"/>
      <c r="W4" s="18"/>
      <c r="X4" s="18"/>
      <c r="Y4" s="10"/>
      <c r="Z4" s="10"/>
      <c r="AA4" s="10"/>
      <c r="AB4" s="10"/>
      <c r="AC4" s="10"/>
      <c r="AD4" s="10"/>
      <c r="AE4" s="10"/>
      <c r="AF4" s="18"/>
      <c r="AG4" s="10"/>
      <c r="AH4" s="19"/>
      <c r="AI4" s="18"/>
      <c r="AJ4" s="10"/>
      <c r="AK4" s="10"/>
      <c r="AL4" s="10"/>
      <c r="AM4" s="10"/>
      <c r="AN4" s="10"/>
      <c r="AO4" s="20"/>
      <c r="AP4" s="21"/>
      <c r="AR4" s="6"/>
    </row>
    <row r="5" spans="1:44" ht="45.75" customHeight="1" thickBot="1" x14ac:dyDescent="0.3">
      <c r="A5" s="265" t="s">
        <v>2</v>
      </c>
      <c r="B5" s="267" t="s">
        <v>3</v>
      </c>
      <c r="C5" s="268"/>
      <c r="D5" s="268"/>
      <c r="E5" s="268"/>
      <c r="F5" s="268"/>
      <c r="G5" s="268"/>
      <c r="H5" s="268"/>
      <c r="I5" s="268"/>
      <c r="J5" s="268"/>
      <c r="K5" s="268"/>
      <c r="L5" s="268"/>
      <c r="M5" s="268"/>
      <c r="N5" s="268"/>
      <c r="O5" s="268"/>
      <c r="P5" s="268"/>
      <c r="Q5" s="268"/>
      <c r="R5" s="269"/>
      <c r="S5" s="268"/>
      <c r="T5" s="268"/>
      <c r="U5" s="269"/>
      <c r="V5" s="269"/>
      <c r="W5" s="269"/>
      <c r="X5" s="269"/>
      <c r="Y5" s="270"/>
      <c r="Z5" s="270"/>
      <c r="AA5" s="270"/>
      <c r="AB5" s="270"/>
      <c r="AC5" s="270"/>
      <c r="AD5" s="270"/>
      <c r="AE5" s="270"/>
      <c r="AF5" s="270"/>
      <c r="AG5" s="270"/>
      <c r="AH5" s="270"/>
      <c r="AI5" s="270"/>
      <c r="AJ5" s="270"/>
      <c r="AK5" s="270"/>
      <c r="AL5" s="271" t="s">
        <v>4</v>
      </c>
      <c r="AM5" s="273" t="s">
        <v>5</v>
      </c>
      <c r="AN5" s="275" t="s">
        <v>6</v>
      </c>
      <c r="AO5" s="277" t="s">
        <v>7</v>
      </c>
      <c r="AP5" s="244" t="s">
        <v>8</v>
      </c>
      <c r="AQ5" s="247" t="s">
        <v>9</v>
      </c>
    </row>
    <row r="6" spans="1:44" s="23" customFormat="1" ht="49.5" customHeight="1" thickBot="1" x14ac:dyDescent="0.3">
      <c r="A6" s="266"/>
      <c r="B6" s="250" t="s">
        <v>10</v>
      </c>
      <c r="C6" s="252" t="s">
        <v>11</v>
      </c>
      <c r="D6" s="253"/>
      <c r="E6" s="252" t="s">
        <v>12</v>
      </c>
      <c r="F6" s="253"/>
      <c r="G6" s="22" t="s">
        <v>13</v>
      </c>
      <c r="H6" s="254" t="s">
        <v>14</v>
      </c>
      <c r="I6" s="255"/>
      <c r="J6" s="250" t="s">
        <v>15</v>
      </c>
      <c r="K6" s="250" t="s">
        <v>16</v>
      </c>
      <c r="L6" s="250" t="s">
        <v>17</v>
      </c>
      <c r="M6" s="250" t="s">
        <v>18</v>
      </c>
      <c r="N6" s="250" t="s">
        <v>19</v>
      </c>
      <c r="O6" s="250" t="s">
        <v>20</v>
      </c>
      <c r="P6" s="250" t="s">
        <v>21</v>
      </c>
      <c r="Q6" s="279" t="s">
        <v>22</v>
      </c>
      <c r="R6" s="281" t="s">
        <v>23</v>
      </c>
      <c r="S6" s="283" t="s">
        <v>24</v>
      </c>
      <c r="T6" s="240" t="s">
        <v>25</v>
      </c>
      <c r="U6" s="242" t="s">
        <v>26</v>
      </c>
      <c r="V6" s="242" t="s">
        <v>27</v>
      </c>
      <c r="W6" s="242" t="s">
        <v>28</v>
      </c>
      <c r="X6" s="242" t="s">
        <v>29</v>
      </c>
      <c r="Y6" s="227" t="s">
        <v>30</v>
      </c>
      <c r="Z6" s="236" t="s">
        <v>31</v>
      </c>
      <c r="AA6" s="237"/>
      <c r="AB6" s="227" t="s">
        <v>32</v>
      </c>
      <c r="AC6" s="227" t="s">
        <v>33</v>
      </c>
      <c r="AD6" s="227" t="s">
        <v>34</v>
      </c>
      <c r="AE6" s="227" t="s">
        <v>35</v>
      </c>
      <c r="AF6" s="238" t="s">
        <v>36</v>
      </c>
      <c r="AG6" s="227" t="s">
        <v>37</v>
      </c>
      <c r="AH6" s="229" t="s">
        <v>38</v>
      </c>
      <c r="AI6" s="231" t="s">
        <v>39</v>
      </c>
      <c r="AJ6" s="233" t="s">
        <v>40</v>
      </c>
      <c r="AK6" s="233" t="s">
        <v>41</v>
      </c>
      <c r="AL6" s="272"/>
      <c r="AM6" s="274"/>
      <c r="AN6" s="276"/>
      <c r="AO6" s="278"/>
      <c r="AP6" s="245"/>
      <c r="AQ6" s="248"/>
    </row>
    <row r="7" spans="1:44" ht="40.5" customHeight="1" thickBot="1" x14ac:dyDescent="0.3">
      <c r="A7" s="266"/>
      <c r="B7" s="251"/>
      <c r="C7" s="24">
        <v>2021</v>
      </c>
      <c r="D7" s="24">
        <v>2022</v>
      </c>
      <c r="E7" s="24">
        <v>2021</v>
      </c>
      <c r="F7" s="24">
        <v>2022</v>
      </c>
      <c r="G7" s="25">
        <v>2022</v>
      </c>
      <c r="H7" s="26">
        <v>2021</v>
      </c>
      <c r="I7" s="27">
        <v>2022</v>
      </c>
      <c r="J7" s="251"/>
      <c r="K7" s="251"/>
      <c r="L7" s="251"/>
      <c r="M7" s="251"/>
      <c r="N7" s="251"/>
      <c r="O7" s="251"/>
      <c r="P7" s="251"/>
      <c r="Q7" s="280"/>
      <c r="R7" s="282"/>
      <c r="S7" s="284"/>
      <c r="T7" s="241"/>
      <c r="U7" s="243"/>
      <c r="V7" s="243"/>
      <c r="W7" s="243"/>
      <c r="X7" s="243"/>
      <c r="Y7" s="228"/>
      <c r="Z7" s="28">
        <v>2021</v>
      </c>
      <c r="AA7" s="29">
        <v>2022</v>
      </c>
      <c r="AB7" s="228"/>
      <c r="AC7" s="228"/>
      <c r="AD7" s="228"/>
      <c r="AE7" s="228"/>
      <c r="AF7" s="239"/>
      <c r="AG7" s="228"/>
      <c r="AH7" s="230"/>
      <c r="AI7" s="232"/>
      <c r="AJ7" s="234"/>
      <c r="AK7" s="234"/>
      <c r="AL7" s="272"/>
      <c r="AM7" s="274"/>
      <c r="AN7" s="276"/>
      <c r="AO7" s="278"/>
      <c r="AP7" s="246"/>
      <c r="AQ7" s="249"/>
    </row>
    <row r="8" spans="1:44" ht="48.75" customHeight="1" thickBot="1" x14ac:dyDescent="0.3">
      <c r="A8" s="30" t="s">
        <v>42</v>
      </c>
      <c r="B8" s="31"/>
      <c r="C8" s="32"/>
      <c r="D8" s="32"/>
      <c r="E8" s="32"/>
      <c r="F8" s="32"/>
      <c r="G8" s="33"/>
      <c r="H8" s="34">
        <f>AVERAGE(H9)</f>
        <v>0.98771666666666658</v>
      </c>
      <c r="I8" s="35">
        <f>AVERAGE(I9)</f>
        <v>0.51953611111111109</v>
      </c>
      <c r="J8" s="36"/>
      <c r="K8" s="36"/>
      <c r="L8" s="36"/>
      <c r="M8" s="36"/>
      <c r="N8" s="36"/>
      <c r="O8" s="36"/>
      <c r="P8" s="37">
        <f>+P9</f>
        <v>2785824894</v>
      </c>
      <c r="Q8" s="37">
        <f>+Q9</f>
        <v>1651147903</v>
      </c>
      <c r="R8" s="38"/>
      <c r="S8" s="39">
        <f t="shared" ref="S8:S28" si="0">+I8</f>
        <v>0.51953611111111109</v>
      </c>
      <c r="T8" s="31"/>
      <c r="U8" s="40"/>
      <c r="V8" s="35">
        <f>+(V9*W9)</f>
        <v>9.954031290115424E-2</v>
      </c>
      <c r="W8" s="35">
        <f>+Y8/$Y$99</f>
        <v>0.14615961275389389</v>
      </c>
      <c r="X8" s="35">
        <f t="shared" ref="X8:X28" si="1">+W8</f>
        <v>0.14615961275389389</v>
      </c>
      <c r="Y8" s="41">
        <f>+Y9</f>
        <v>5106552527.1053734</v>
      </c>
      <c r="Z8" s="41">
        <f>+Z9</f>
        <v>4309371187</v>
      </c>
      <c r="AA8" s="41">
        <f>+AA9</f>
        <v>2785824894</v>
      </c>
      <c r="AB8" s="35">
        <f>+AA8/Y8</f>
        <v>0.54553926141226483</v>
      </c>
      <c r="AC8" s="42">
        <f>+AC9</f>
        <v>1710567247</v>
      </c>
      <c r="AD8" s="35">
        <f>+AC8/Y8</f>
        <v>0.33497496362181306</v>
      </c>
      <c r="AE8" s="43">
        <f>+AE9</f>
        <v>1075257647</v>
      </c>
      <c r="AF8" s="44">
        <f>+AF9</f>
        <v>416054879</v>
      </c>
      <c r="AG8" s="42">
        <f>+AG9</f>
        <v>287652653</v>
      </c>
      <c r="AH8" s="45">
        <f>+AG8/AF8</f>
        <v>0.69138151604274301</v>
      </c>
      <c r="AI8" s="46">
        <f>+AI9</f>
        <v>13525050638.226717</v>
      </c>
      <c r="AJ8" s="41">
        <f>+AJ9</f>
        <v>8213340402.6173325</v>
      </c>
      <c r="AK8" s="45">
        <f>+AJ8/AI8</f>
        <v>0.60726873579337604</v>
      </c>
      <c r="AL8" s="31"/>
      <c r="AM8" s="47" t="s">
        <v>43</v>
      </c>
      <c r="AN8" s="48"/>
      <c r="AO8" s="48"/>
      <c r="AP8" s="49"/>
      <c r="AQ8" s="50"/>
    </row>
    <row r="9" spans="1:44" ht="40.5" customHeight="1" thickBot="1" x14ac:dyDescent="0.3">
      <c r="A9" s="51" t="s">
        <v>44</v>
      </c>
      <c r="B9" s="52"/>
      <c r="C9" s="53"/>
      <c r="D9" s="53"/>
      <c r="E9" s="53"/>
      <c r="F9" s="53"/>
      <c r="G9" s="54"/>
      <c r="H9" s="55">
        <f>AVERAGE(H10,H13,H16)</f>
        <v>0.98771666666666658</v>
      </c>
      <c r="I9" s="56">
        <f>AVERAGE(I10,I13,I16)</f>
        <v>0.51953611111111109</v>
      </c>
      <c r="J9" s="52"/>
      <c r="K9" s="57"/>
      <c r="L9" s="57"/>
      <c r="M9" s="52"/>
      <c r="N9" s="52"/>
      <c r="O9" s="52"/>
      <c r="P9" s="57">
        <f>+P10+P13+P16</f>
        <v>2785824894</v>
      </c>
      <c r="Q9" s="57">
        <f>+Q10+Q13+Q16</f>
        <v>1651147903</v>
      </c>
      <c r="R9" s="57"/>
      <c r="S9" s="58">
        <f t="shared" si="0"/>
        <v>0.51953611111111109</v>
      </c>
      <c r="T9" s="57"/>
      <c r="U9" s="59"/>
      <c r="V9" s="56">
        <f>+(V10*W10)+(V13*W13)+(V16*W16)</f>
        <v>0.68103842795999991</v>
      </c>
      <c r="W9" s="56">
        <f>+Y9/$Y$99</f>
        <v>0.14615961275389389</v>
      </c>
      <c r="X9" s="56">
        <f t="shared" si="1"/>
        <v>0.14615961275389389</v>
      </c>
      <c r="Y9" s="60">
        <f>+Y10+Y13+Y16</f>
        <v>5106552527.1053734</v>
      </c>
      <c r="Z9" s="60">
        <f>+Z10+Z13++Z16</f>
        <v>4309371187</v>
      </c>
      <c r="AA9" s="60">
        <f>+AA10+AA13++AA16</f>
        <v>2785824894</v>
      </c>
      <c r="AB9" s="56">
        <f t="shared" ref="AB9:AB72" si="2">+AA9/Y9</f>
        <v>0.54553926141226483</v>
      </c>
      <c r="AC9" s="61">
        <f>+AC10+AC13+AC16</f>
        <v>1710567247</v>
      </c>
      <c r="AD9" s="56">
        <f t="shared" ref="AD9:AD72" si="3">+AC9/Y9</f>
        <v>0.33497496362181306</v>
      </c>
      <c r="AE9" s="62">
        <f>+AE10+AE13+AE16</f>
        <v>1075257647</v>
      </c>
      <c r="AF9" s="63">
        <f>+AF10+AF13+AF16</f>
        <v>416054879</v>
      </c>
      <c r="AG9" s="61">
        <f>+AG10+AG13+AG16</f>
        <v>287652653</v>
      </c>
      <c r="AH9" s="64">
        <f t="shared" ref="AH9:AH72" si="4">+AG9/AF9</f>
        <v>0.69138151604274301</v>
      </c>
      <c r="AI9" s="65">
        <f>+AI10+AI13+AI16</f>
        <v>13525050638.226717</v>
      </c>
      <c r="AJ9" s="60">
        <f>+AJ10+AJ13+AJ16</f>
        <v>8213340402.6173325</v>
      </c>
      <c r="AK9" s="64">
        <f t="shared" ref="AK9:AK28" si="5">+AJ9/AI9</f>
        <v>0.60726873579337604</v>
      </c>
      <c r="AL9" s="66"/>
      <c r="AM9" s="67" t="s">
        <v>43</v>
      </c>
      <c r="AN9" s="68"/>
      <c r="AO9" s="68"/>
      <c r="AP9" s="69"/>
      <c r="AQ9" s="70"/>
    </row>
    <row r="10" spans="1:44" ht="40.5" customHeight="1" thickBot="1" x14ac:dyDescent="0.3">
      <c r="A10" s="71" t="s">
        <v>45</v>
      </c>
      <c r="B10" s="72"/>
      <c r="C10" s="73"/>
      <c r="D10" s="73"/>
      <c r="E10" s="73"/>
      <c r="F10" s="73"/>
      <c r="G10" s="74"/>
      <c r="H10" s="75">
        <f>AVERAGE(H11:H12)</f>
        <v>1</v>
      </c>
      <c r="I10" s="76">
        <f>AVERAGE(I11:I12)</f>
        <v>0.46499999999999997</v>
      </c>
      <c r="J10" s="72"/>
      <c r="K10" s="77"/>
      <c r="L10" s="77"/>
      <c r="M10" s="72"/>
      <c r="N10" s="72"/>
      <c r="O10" s="72"/>
      <c r="P10" s="77">
        <v>152241681</v>
      </c>
      <c r="Q10" s="77">
        <f>SUM(Q11:Q12)</f>
        <v>81384588</v>
      </c>
      <c r="R10" s="77"/>
      <c r="S10" s="78">
        <f t="shared" si="0"/>
        <v>0.46499999999999997</v>
      </c>
      <c r="T10" s="77"/>
      <c r="U10" s="79"/>
      <c r="V10" s="76">
        <f>+(V11*W11)+(V12*W12)</f>
        <v>0.61283041369876623</v>
      </c>
      <c r="W10" s="76">
        <f>+Y10/$Y$9</f>
        <v>6.36294962746978E-2</v>
      </c>
      <c r="X10" s="76">
        <f>+W10</f>
        <v>6.36294962746978E-2</v>
      </c>
      <c r="Y10" s="80">
        <f>SUM(Y11:Y12)</f>
        <v>324927365</v>
      </c>
      <c r="Z10" s="80">
        <f>SUM(Z11:Z12)</f>
        <v>275502958</v>
      </c>
      <c r="AA10" s="80">
        <f>SUM(AA11:AA12)</f>
        <v>152241681</v>
      </c>
      <c r="AB10" s="76">
        <f>+AA10/Y10</f>
        <v>0.46854065677109097</v>
      </c>
      <c r="AC10" s="81">
        <f>SUM(AC11:AC12)</f>
        <v>82545338</v>
      </c>
      <c r="AD10" s="76">
        <f t="shared" si="3"/>
        <v>0.25404243191397563</v>
      </c>
      <c r="AE10" s="82">
        <f>SUM(AE11:AE12)</f>
        <v>69696343</v>
      </c>
      <c r="AF10" s="83">
        <f>SUM(AF11:AF12)</f>
        <v>138372369</v>
      </c>
      <c r="AG10" s="81">
        <f>SUM(AG11:AG12)</f>
        <v>72007622</v>
      </c>
      <c r="AH10" s="84">
        <f t="shared" si="4"/>
        <v>0.52039017992096381</v>
      </c>
      <c r="AI10" s="85">
        <f>SUM(AI11:AI12)</f>
        <v>1139230983.4000001</v>
      </c>
      <c r="AJ10" s="80">
        <f>SUM(AJ11:AJ12)</f>
        <v>515934145</v>
      </c>
      <c r="AK10" s="86">
        <f>+AJ10/AI10</f>
        <v>0.4528793129029991</v>
      </c>
      <c r="AL10" s="87"/>
      <c r="AM10" s="88" t="s">
        <v>43</v>
      </c>
      <c r="AN10" s="89"/>
      <c r="AO10" s="89"/>
      <c r="AP10" s="90"/>
      <c r="AQ10" s="91"/>
    </row>
    <row r="11" spans="1:44" ht="51" customHeight="1" thickBot="1" x14ac:dyDescent="0.3">
      <c r="A11" s="92" t="s">
        <v>46</v>
      </c>
      <c r="B11" s="93" t="s">
        <v>47</v>
      </c>
      <c r="C11" s="94">
        <f>+'[2]COSOLIDADO PLAN DE ACCIÓN'!L7</f>
        <v>100</v>
      </c>
      <c r="D11" s="95">
        <f>+'[2]COSOLIDADO PLAN DE ACCIÓN'!P7</f>
        <v>100</v>
      </c>
      <c r="E11" s="96">
        <f>+'[2]COSOLIDADO PLAN DE ACCIÓN'!N7</f>
        <v>100</v>
      </c>
      <c r="F11" s="93">
        <f>+'[2]COSOLIDADO PLAN DE ACCIÓN'!R7</f>
        <v>43</v>
      </c>
      <c r="G11" s="97"/>
      <c r="H11" s="98">
        <f>+E11/C11</f>
        <v>1</v>
      </c>
      <c r="I11" s="99">
        <f>+F11/D11</f>
        <v>0.43</v>
      </c>
      <c r="J11" s="100" t="s">
        <v>48</v>
      </c>
      <c r="K11" s="101" t="s">
        <v>49</v>
      </c>
      <c r="L11" s="101" t="s">
        <v>50</v>
      </c>
      <c r="M11" s="102"/>
      <c r="N11" s="102" t="s">
        <v>51</v>
      </c>
      <c r="O11" s="103" t="s">
        <v>52</v>
      </c>
      <c r="P11" s="103">
        <v>101628154</v>
      </c>
      <c r="Q11" s="103">
        <v>40173036</v>
      </c>
      <c r="R11" s="101" t="s">
        <v>53</v>
      </c>
      <c r="S11" s="98">
        <f t="shared" si="0"/>
        <v>0.43</v>
      </c>
      <c r="T11" s="103">
        <f>+'[2]COSOLIDADO PLAN DE ACCIÓN'!D7</f>
        <v>100</v>
      </c>
      <c r="U11" s="104">
        <f>+'[2]COSOLIDADO PLAN DE ACCIÓN'!F7</f>
        <v>60.75</v>
      </c>
      <c r="V11" s="99">
        <f>IF(U11/T11&gt;=100%,100%,U11/T11)</f>
        <v>0.60750000000000004</v>
      </c>
      <c r="W11" s="99">
        <f>+Y11/Y10</f>
        <v>0.69540493149907523</v>
      </c>
      <c r="X11" s="99">
        <f>+W11</f>
        <v>0.69540493149907523</v>
      </c>
      <c r="Y11" s="93">
        <f>+'[2]COSOLIDADO PLAN DE ACCIÓN'!Q7</f>
        <v>225956092</v>
      </c>
      <c r="Z11" s="93">
        <v>187229519</v>
      </c>
      <c r="AA11" s="93">
        <f>+'[2]COSOLIDADO PLAN DE ACCIÓN'!S7</f>
        <v>101628154</v>
      </c>
      <c r="AB11" s="99">
        <f t="shared" si="2"/>
        <v>0.44976947999259964</v>
      </c>
      <c r="AC11" s="105">
        <f>+'[2]320101-2.1 '!S20</f>
        <v>41330895</v>
      </c>
      <c r="AD11" s="99">
        <f t="shared" si="3"/>
        <v>0.18291560379792726</v>
      </c>
      <c r="AE11" s="106">
        <f>+AA11-AC11</f>
        <v>60297259</v>
      </c>
      <c r="AF11" s="107">
        <v>138372369</v>
      </c>
      <c r="AG11" s="108">
        <v>72007622</v>
      </c>
      <c r="AH11" s="109">
        <f t="shared" si="4"/>
        <v>0.52039017992096381</v>
      </c>
      <c r="AI11" s="110">
        <f>+'[2]COSOLIDADO PLAN DE ACCIÓN'!E7</f>
        <v>901415139.39999998</v>
      </c>
      <c r="AJ11" s="93">
        <f>+'[2]COSOLIDADO PLAN DE ACCIÓN'!G7</f>
        <v>357649083</v>
      </c>
      <c r="AK11" s="109">
        <f t="shared" si="5"/>
        <v>0.39676400735632023</v>
      </c>
      <c r="AL11" s="111"/>
      <c r="AM11" s="112" t="s">
        <v>43</v>
      </c>
      <c r="AN11" s="112" t="s">
        <v>54</v>
      </c>
      <c r="AO11" s="112" t="s">
        <v>55</v>
      </c>
      <c r="AP11" s="113"/>
      <c r="AQ11" s="114"/>
    </row>
    <row r="12" spans="1:44" ht="40.5" customHeight="1" thickBot="1" x14ac:dyDescent="0.3">
      <c r="A12" s="115" t="s">
        <v>56</v>
      </c>
      <c r="B12" s="93" t="s">
        <v>57</v>
      </c>
      <c r="C12" s="93">
        <f>+'[2]COSOLIDADO PLAN DE ACCIÓN'!L8</f>
        <v>1</v>
      </c>
      <c r="D12" s="95">
        <f>+'[2]COSOLIDADO PLAN DE ACCIÓN'!P8</f>
        <v>1</v>
      </c>
      <c r="E12" s="93">
        <f>+'[2]COSOLIDADO PLAN DE ACCIÓN'!N8</f>
        <v>1</v>
      </c>
      <c r="F12" s="116">
        <f>+'[2]COSOLIDADO PLAN DE ACCIÓN'!R8</f>
        <v>0.5</v>
      </c>
      <c r="G12" s="97"/>
      <c r="H12" s="98">
        <f>+E12/C12</f>
        <v>1</v>
      </c>
      <c r="I12" s="99">
        <f>+F12/D12</f>
        <v>0.5</v>
      </c>
      <c r="J12" s="100" t="s">
        <v>58</v>
      </c>
      <c r="K12" s="101" t="s">
        <v>49</v>
      </c>
      <c r="L12" s="101" t="s">
        <v>59</v>
      </c>
      <c r="M12" s="117" t="s">
        <v>60</v>
      </c>
      <c r="N12" s="117" t="s">
        <v>51</v>
      </c>
      <c r="O12" s="118" t="s">
        <v>61</v>
      </c>
      <c r="P12" s="93">
        <v>50613527</v>
      </c>
      <c r="Q12" s="93">
        <v>41211552</v>
      </c>
      <c r="R12" s="101" t="s">
        <v>53</v>
      </c>
      <c r="S12" s="98">
        <f t="shared" si="0"/>
        <v>0.5</v>
      </c>
      <c r="T12" s="103">
        <f>+'[2]COSOLIDADO PLAN DE ACCIÓN'!D8</f>
        <v>1</v>
      </c>
      <c r="U12" s="104">
        <f>+'[2]COSOLIDADO PLAN DE ACCIÓN'!F8</f>
        <v>0.625</v>
      </c>
      <c r="V12" s="99">
        <f>IF(U12/T12&gt;=100%,100%,U12/T12)</f>
        <v>0.625</v>
      </c>
      <c r="W12" s="99">
        <f>+Y12/Y10</f>
        <v>0.30459506850092483</v>
      </c>
      <c r="X12" s="99">
        <f>+W12</f>
        <v>0.30459506850092483</v>
      </c>
      <c r="Y12" s="93">
        <f>+'[2]COSOLIDADO PLAN DE ACCIÓN'!Q8</f>
        <v>98971273</v>
      </c>
      <c r="Z12" s="93">
        <v>88273439</v>
      </c>
      <c r="AA12" s="93">
        <f>+'[2]COSOLIDADO PLAN DE ACCIÓN'!S8</f>
        <v>50613527</v>
      </c>
      <c r="AB12" s="99">
        <f t="shared" si="2"/>
        <v>0.51139614017089585</v>
      </c>
      <c r="AC12" s="105">
        <f>+'[2]320101-2.1 '!S26+'[2]320101-2.1 '!S44</f>
        <v>41214443</v>
      </c>
      <c r="AD12" s="99">
        <f t="shared" si="3"/>
        <v>0.41642834077722735</v>
      </c>
      <c r="AE12" s="106">
        <f t="shared" ref="AE12:AE84" si="6">+AA12-AC12</f>
        <v>9399084</v>
      </c>
      <c r="AF12" s="107">
        <v>0</v>
      </c>
      <c r="AG12" s="108">
        <v>0</v>
      </c>
      <c r="AH12" s="119"/>
      <c r="AI12" s="110">
        <f>+'[2]COSOLIDADO PLAN DE ACCIÓN'!E8</f>
        <v>237815844</v>
      </c>
      <c r="AJ12" s="93">
        <f>+'[2]COSOLIDADO PLAN DE ACCIÓN'!G8</f>
        <v>158285062</v>
      </c>
      <c r="AK12" s="109">
        <f t="shared" si="5"/>
        <v>0.66557828670153696</v>
      </c>
      <c r="AL12" s="111"/>
      <c r="AM12" s="112" t="s">
        <v>43</v>
      </c>
      <c r="AN12" s="120"/>
      <c r="AO12" s="112" t="s">
        <v>55</v>
      </c>
      <c r="AP12" s="113"/>
      <c r="AQ12" s="114"/>
    </row>
    <row r="13" spans="1:44" ht="40.5" customHeight="1" thickBot="1" x14ac:dyDescent="0.3">
      <c r="A13" s="71" t="s">
        <v>62</v>
      </c>
      <c r="B13" s="80"/>
      <c r="C13" s="121"/>
      <c r="D13" s="121"/>
      <c r="E13" s="121"/>
      <c r="F13" s="121"/>
      <c r="G13" s="122"/>
      <c r="H13" s="75">
        <f>AVERAGE(H14:H15)</f>
        <v>0.96314999999999995</v>
      </c>
      <c r="I13" s="76">
        <f>AVERAGE(I14:I15)</f>
        <v>0.5</v>
      </c>
      <c r="J13" s="89"/>
      <c r="K13" s="80"/>
      <c r="L13" s="80"/>
      <c r="M13" s="87"/>
      <c r="N13" s="87"/>
      <c r="O13" s="87"/>
      <c r="P13" s="80">
        <v>269581674</v>
      </c>
      <c r="Q13" s="80">
        <f>SUM(Q14:Q15)</f>
        <v>124808635</v>
      </c>
      <c r="R13" s="80"/>
      <c r="S13" s="75">
        <f t="shared" si="0"/>
        <v>0.5</v>
      </c>
      <c r="T13" s="80"/>
      <c r="U13" s="85"/>
      <c r="V13" s="76">
        <f>+(V14*W14)+(V15*W15)</f>
        <v>0.62625903516949655</v>
      </c>
      <c r="W13" s="76">
        <f>+Y13/$Y$9</f>
        <v>8.3776847634328105E-2</v>
      </c>
      <c r="X13" s="76">
        <f t="shared" si="1"/>
        <v>8.3776847634328105E-2</v>
      </c>
      <c r="Y13" s="80">
        <f>SUM(Y14:Y15)</f>
        <v>427810873</v>
      </c>
      <c r="Z13" s="80">
        <f>SUM(Z14:Z15)</f>
        <v>362882720</v>
      </c>
      <c r="AA13" s="80">
        <f>SUM(AA14:AA15)</f>
        <v>269581674</v>
      </c>
      <c r="AB13" s="76">
        <f t="shared" si="2"/>
        <v>0.63014217499796921</v>
      </c>
      <c r="AC13" s="81">
        <f>SUM(AC14:AC15)</f>
        <v>131746012</v>
      </c>
      <c r="AD13" s="76">
        <f t="shared" si="3"/>
        <v>0.30795386539883479</v>
      </c>
      <c r="AE13" s="82">
        <f>SUM(AE14:AE15)</f>
        <v>137835662</v>
      </c>
      <c r="AF13" s="83">
        <f>SUM(AF14:AF15)</f>
        <v>44510666</v>
      </c>
      <c r="AG13" s="81">
        <f>SUM(AG14:AG15)</f>
        <v>24430666</v>
      </c>
      <c r="AH13" s="86">
        <f t="shared" si="4"/>
        <v>0.5488721736942781</v>
      </c>
      <c r="AI13" s="85">
        <f>SUM(AI14:AI15)</f>
        <v>1542694978</v>
      </c>
      <c r="AJ13" s="80">
        <f>SUM(AJ14:AJ15)</f>
        <v>762420939</v>
      </c>
      <c r="AK13" s="86">
        <f t="shared" si="5"/>
        <v>0.49421366496468883</v>
      </c>
      <c r="AL13" s="87"/>
      <c r="AM13" s="88" t="s">
        <v>43</v>
      </c>
      <c r="AN13" s="89"/>
      <c r="AO13" s="89"/>
      <c r="AP13" s="90"/>
      <c r="AQ13" s="91"/>
    </row>
    <row r="14" spans="1:44" ht="40.5" customHeight="1" thickBot="1" x14ac:dyDescent="0.3">
      <c r="A14" s="92" t="s">
        <v>63</v>
      </c>
      <c r="B14" s="93" t="s">
        <v>47</v>
      </c>
      <c r="C14" s="94">
        <f>+'[2]COSOLIDADO PLAN DE ACCIÓN'!L10</f>
        <v>100</v>
      </c>
      <c r="D14" s="93">
        <f>+'[2]COSOLIDADO PLAN DE ACCIÓN'!P10</f>
        <v>100</v>
      </c>
      <c r="E14" s="123">
        <f>+'[2]COSOLIDADO PLAN DE ACCIÓN'!N10</f>
        <v>93.63</v>
      </c>
      <c r="F14" s="93">
        <f>+'[2]COSOLIDADO PLAN DE ACCIÓN'!R10</f>
        <v>50</v>
      </c>
      <c r="G14" s="124">
        <v>0.06</v>
      </c>
      <c r="H14" s="98">
        <f>+E14/C14</f>
        <v>0.93629999999999991</v>
      </c>
      <c r="I14" s="99">
        <f>+F14/D14</f>
        <v>0.5</v>
      </c>
      <c r="J14" s="112"/>
      <c r="K14" s="101" t="s">
        <v>49</v>
      </c>
      <c r="L14" s="101" t="s">
        <v>50</v>
      </c>
      <c r="M14" s="117"/>
      <c r="N14" s="102" t="s">
        <v>51</v>
      </c>
      <c r="O14" s="118" t="s">
        <v>64</v>
      </c>
      <c r="P14" s="93">
        <v>209563485</v>
      </c>
      <c r="Q14" s="93">
        <v>84504904</v>
      </c>
      <c r="R14" s="125" t="s">
        <v>53</v>
      </c>
      <c r="S14" s="98">
        <f t="shared" si="0"/>
        <v>0.5</v>
      </c>
      <c r="T14" s="93">
        <f>+'[2]COSOLIDADO PLAN DE ACCIÓN'!D10</f>
        <v>100</v>
      </c>
      <c r="U14" s="110">
        <f>+'[2]COSOLIDADO PLAN DE ACCIÓN'!F10</f>
        <v>62.5</v>
      </c>
      <c r="V14" s="99">
        <f t="shared" ref="V14:V15" si="7">IF(U14/T14&gt;=100%,100%,U14/T14)</f>
        <v>0.625</v>
      </c>
      <c r="W14" s="99">
        <f>+Y14/Y13</f>
        <v>0.7481929661007003</v>
      </c>
      <c r="X14" s="99">
        <f t="shared" si="1"/>
        <v>0.7481929661007003</v>
      </c>
      <c r="Y14" s="93">
        <f>+'[2]COSOLIDADO PLAN DE ACCIÓN'!Q10</f>
        <v>320085086</v>
      </c>
      <c r="Z14" s="93">
        <v>268875163</v>
      </c>
      <c r="AA14" s="93">
        <f>+'[2]COSOLIDADO PLAN DE ACCIÓN'!S10</f>
        <v>209563485</v>
      </c>
      <c r="AB14" s="99">
        <f t="shared" si="2"/>
        <v>0.65471180684750807</v>
      </c>
      <c r="AC14" s="105">
        <f>+'[2]320102-2.3 '!S23</f>
        <v>91440930</v>
      </c>
      <c r="AD14" s="99">
        <f t="shared" si="3"/>
        <v>0.28567694653539716</v>
      </c>
      <c r="AE14" s="106">
        <f t="shared" si="6"/>
        <v>118122555</v>
      </c>
      <c r="AF14" s="107">
        <v>44510666</v>
      </c>
      <c r="AG14" s="108">
        <v>24430666</v>
      </c>
      <c r="AH14" s="109">
        <f t="shared" si="4"/>
        <v>0.5488721736942781</v>
      </c>
      <c r="AI14" s="110">
        <f>+'[2]COSOLIDADO PLAN DE ACCIÓN'!E10</f>
        <v>1293171426</v>
      </c>
      <c r="AJ14" s="93">
        <f>+'[2]COSOLIDADO PLAN DE ACCIÓN'!G10</f>
        <v>588997097</v>
      </c>
      <c r="AK14" s="109">
        <f t="shared" si="5"/>
        <v>0.45546714469393168</v>
      </c>
      <c r="AL14" s="111"/>
      <c r="AM14" s="112" t="s">
        <v>43</v>
      </c>
      <c r="AN14" s="112" t="s">
        <v>65</v>
      </c>
      <c r="AO14" s="112" t="s">
        <v>66</v>
      </c>
      <c r="AP14" s="113"/>
      <c r="AQ14" s="114"/>
    </row>
    <row r="15" spans="1:44" ht="40.5" customHeight="1" thickBot="1" x14ac:dyDescent="0.3">
      <c r="A15" s="115" t="s">
        <v>56</v>
      </c>
      <c r="B15" s="93" t="s">
        <v>57</v>
      </c>
      <c r="C15" s="93">
        <f>+'[2]COSOLIDADO PLAN DE ACCIÓN'!L11</f>
        <v>1</v>
      </c>
      <c r="D15" s="93">
        <f>+'[2]COSOLIDADO PLAN DE ACCIÓN'!P11</f>
        <v>1</v>
      </c>
      <c r="E15" s="123">
        <f>+'[2]COSOLIDADO PLAN DE ACCIÓN'!N11</f>
        <v>0.99</v>
      </c>
      <c r="F15" s="126">
        <f>+'[2]COSOLIDADO PLAN DE ACCIÓN'!R11</f>
        <v>0.5</v>
      </c>
      <c r="G15" s="97">
        <f>+C15-E15</f>
        <v>1.0000000000000009E-2</v>
      </c>
      <c r="H15" s="98">
        <f>+E15/C15</f>
        <v>0.99</v>
      </c>
      <c r="I15" s="99">
        <f>+F15/D15</f>
        <v>0.5</v>
      </c>
      <c r="J15" s="112"/>
      <c r="K15" s="101" t="s">
        <v>49</v>
      </c>
      <c r="L15" s="101" t="s">
        <v>59</v>
      </c>
      <c r="M15" s="117" t="s">
        <v>60</v>
      </c>
      <c r="N15" s="102" t="s">
        <v>51</v>
      </c>
      <c r="O15" s="118" t="s">
        <v>67</v>
      </c>
      <c r="P15" s="93">
        <v>60018189</v>
      </c>
      <c r="Q15" s="93">
        <v>40303731</v>
      </c>
      <c r="R15" s="125" t="s">
        <v>53</v>
      </c>
      <c r="S15" s="98">
        <f t="shared" si="0"/>
        <v>0.5</v>
      </c>
      <c r="T15" s="93">
        <f>+'[2]COSOLIDADO PLAN DE ACCIÓN'!D11</f>
        <v>1</v>
      </c>
      <c r="U15" s="213">
        <f>+'[2]COSOLIDADO PLAN DE ACCIÓN'!F11</f>
        <v>0.63</v>
      </c>
      <c r="V15" s="99">
        <f t="shared" si="7"/>
        <v>0.63</v>
      </c>
      <c r="W15" s="99">
        <f>+Y15/Y13</f>
        <v>0.2518070338992997</v>
      </c>
      <c r="X15" s="99">
        <f t="shared" si="1"/>
        <v>0.2518070338992997</v>
      </c>
      <c r="Y15" s="93">
        <f>+'[2]COSOLIDADO PLAN DE ACCIÓN'!Q11</f>
        <v>107725787</v>
      </c>
      <c r="Z15" s="93">
        <v>94007557</v>
      </c>
      <c r="AA15" s="93">
        <f>+'[2]COSOLIDADO PLAN DE ACCIÓN'!S11</f>
        <v>60018189</v>
      </c>
      <c r="AB15" s="99">
        <f t="shared" si="2"/>
        <v>0.55713855216485908</v>
      </c>
      <c r="AC15" s="105">
        <f>+'[2]320102-2.3 '!S37+'[2]320102-2.3 '!S50</f>
        <v>40305082</v>
      </c>
      <c r="AD15" s="99">
        <f t="shared" si="3"/>
        <v>0.37414516173365248</v>
      </c>
      <c r="AE15" s="106">
        <f t="shared" si="6"/>
        <v>19713107</v>
      </c>
      <c r="AF15" s="107">
        <v>0</v>
      </c>
      <c r="AG15" s="108">
        <v>0</v>
      </c>
      <c r="AH15" s="109"/>
      <c r="AI15" s="110">
        <f>+'[2]COSOLIDADO PLAN DE ACCIÓN'!E11</f>
        <v>249523552</v>
      </c>
      <c r="AJ15" s="93">
        <f>+'[2]COSOLIDADO PLAN DE ACCIÓN'!G11</f>
        <v>173423842</v>
      </c>
      <c r="AK15" s="109">
        <f t="shared" si="5"/>
        <v>0.69501993142515062</v>
      </c>
      <c r="AL15" s="111"/>
      <c r="AM15" s="112" t="s">
        <v>43</v>
      </c>
      <c r="AN15" s="120"/>
      <c r="AO15" s="112" t="s">
        <v>66</v>
      </c>
      <c r="AP15" s="113"/>
      <c r="AQ15" s="114"/>
    </row>
    <row r="16" spans="1:44" ht="40.5" customHeight="1" thickBot="1" x14ac:dyDescent="0.3">
      <c r="A16" s="71" t="s">
        <v>68</v>
      </c>
      <c r="B16" s="77"/>
      <c r="C16" s="73"/>
      <c r="D16" s="73"/>
      <c r="E16" s="73"/>
      <c r="F16" s="73"/>
      <c r="G16" s="74"/>
      <c r="H16" s="75">
        <f>AVERAGE(H17:H28)</f>
        <v>1</v>
      </c>
      <c r="I16" s="76">
        <f>AVERAGE(I17:I28)</f>
        <v>0.5936083333333334</v>
      </c>
      <c r="J16" s="89"/>
      <c r="K16" s="80"/>
      <c r="L16" s="80"/>
      <c r="M16" s="87"/>
      <c r="N16" s="87"/>
      <c r="O16" s="87"/>
      <c r="P16" s="80">
        <v>2364001539</v>
      </c>
      <c r="Q16" s="80">
        <f>SUM(Q17:Q28)</f>
        <v>1444954680</v>
      </c>
      <c r="R16" s="80"/>
      <c r="S16" s="75">
        <f t="shared" si="0"/>
        <v>0.5936083333333334</v>
      </c>
      <c r="T16" s="80"/>
      <c r="U16" s="85"/>
      <c r="V16" s="76">
        <f>+(V17*W17)+(V18*W18)+(V19*W19)+(V20*W20)+(V21*W21)+(V22*W22)+(V23*W23)+(V24*W24)+(V25*W25)+(V26*W26)+(V27*W27)+(V28*W28)</f>
        <v>0.69151151366602104</v>
      </c>
      <c r="W16" s="76">
        <f>+Y16/$Y$9</f>
        <v>0.85259365609097415</v>
      </c>
      <c r="X16" s="76">
        <f t="shared" si="1"/>
        <v>0.85259365609097415</v>
      </c>
      <c r="Y16" s="80">
        <f>SUM(Y17:Y28)</f>
        <v>4353814289.1053734</v>
      </c>
      <c r="Z16" s="80">
        <f>SUM(Z17:Z28)</f>
        <v>3670985509</v>
      </c>
      <c r="AA16" s="80">
        <f>SUM(AA17:AA28)</f>
        <v>2364001539</v>
      </c>
      <c r="AB16" s="76">
        <f t="shared" si="2"/>
        <v>0.54297252524424</v>
      </c>
      <c r="AC16" s="81">
        <f>SUM(AC17:AC28)</f>
        <v>1496275897</v>
      </c>
      <c r="AD16" s="76">
        <f t="shared" si="3"/>
        <v>0.343670124089619</v>
      </c>
      <c r="AE16" s="82">
        <f>SUM(AE17:AE28)</f>
        <v>867725642</v>
      </c>
      <c r="AF16" s="83">
        <f>SUM(AF17:AF28)</f>
        <v>233171844</v>
      </c>
      <c r="AG16" s="81">
        <f>SUM(AG17:AG28)</f>
        <v>191214365</v>
      </c>
      <c r="AH16" s="86">
        <f t="shared" si="4"/>
        <v>0.82005769530218242</v>
      </c>
      <c r="AI16" s="85">
        <f>SUM(AI17:AI28)</f>
        <v>10843124676.826717</v>
      </c>
      <c r="AJ16" s="80">
        <f>SUM(AJ17:AJ28)</f>
        <v>6934985318.6173325</v>
      </c>
      <c r="AK16" s="86">
        <f t="shared" si="5"/>
        <v>0.63957443313719076</v>
      </c>
      <c r="AL16" s="87"/>
      <c r="AM16" s="88" t="s">
        <v>43</v>
      </c>
      <c r="AN16" s="89"/>
      <c r="AO16" s="89"/>
      <c r="AP16" s="90"/>
      <c r="AQ16" s="91"/>
    </row>
    <row r="17" spans="1:43" ht="50.25" customHeight="1" thickBot="1" x14ac:dyDescent="0.3">
      <c r="A17" s="92" t="s">
        <v>69</v>
      </c>
      <c r="B17" s="93" t="s">
        <v>47</v>
      </c>
      <c r="C17" s="94">
        <f>+'[2]COSOLIDADO PLAN DE ACCIÓN'!L13</f>
        <v>100</v>
      </c>
      <c r="D17" s="93">
        <f>+'[2]COSOLIDADO PLAN DE ACCIÓN'!P13</f>
        <v>100</v>
      </c>
      <c r="E17" s="94">
        <f>+'[2]COSOLIDADO PLAN DE ACCIÓN'!N13</f>
        <v>100</v>
      </c>
      <c r="F17" s="93">
        <f>+'[2]COSOLIDADO PLAN DE ACCIÓN'!R13</f>
        <v>50</v>
      </c>
      <c r="G17" s="97"/>
      <c r="H17" s="98">
        <f>+E17/C17</f>
        <v>1</v>
      </c>
      <c r="I17" s="99">
        <f>+F17/D17</f>
        <v>0.5</v>
      </c>
      <c r="J17" s="112" t="s">
        <v>70</v>
      </c>
      <c r="K17" s="125" t="s">
        <v>49</v>
      </c>
      <c r="L17" s="125" t="s">
        <v>50</v>
      </c>
      <c r="M17" s="117"/>
      <c r="N17" s="102" t="s">
        <v>51</v>
      </c>
      <c r="O17" s="118" t="s">
        <v>71</v>
      </c>
      <c r="P17" s="93">
        <v>31025889</v>
      </c>
      <c r="Q17" s="93">
        <v>19830876</v>
      </c>
      <c r="R17" s="125" t="s">
        <v>53</v>
      </c>
      <c r="S17" s="98">
        <f t="shared" si="0"/>
        <v>0.5</v>
      </c>
      <c r="T17" s="93">
        <f>+'[2]COSOLIDADO PLAN DE ACCIÓN'!D13</f>
        <v>100</v>
      </c>
      <c r="U17" s="110">
        <f>+'[2]COSOLIDADO PLAN DE ACCIÓN'!F13</f>
        <v>62.5</v>
      </c>
      <c r="V17" s="99">
        <f t="shared" ref="V17:V28" si="8">IF(U17/T17&gt;=100%,100%,U17/T17)</f>
        <v>0.625</v>
      </c>
      <c r="W17" s="99">
        <f t="shared" ref="W17:W27" si="9">+Y17/$Y$16</f>
        <v>8.7178222311818446E-3</v>
      </c>
      <c r="X17" s="99">
        <f t="shared" si="1"/>
        <v>8.7178222311818446E-3</v>
      </c>
      <c r="Y17" s="93">
        <f>+'[2]COSOLIDADO PLAN DE ACCIÓN'!Q13</f>
        <v>37955779</v>
      </c>
      <c r="Z17" s="93">
        <v>35468481</v>
      </c>
      <c r="AA17" s="93">
        <f>+'[2]COSOLIDADO PLAN DE ACCIÓN'!S13</f>
        <v>31025889</v>
      </c>
      <c r="AB17" s="99">
        <f t="shared" si="2"/>
        <v>0.81742200575042867</v>
      </c>
      <c r="AC17" s="105">
        <f>+'[2]320103-4.1'!S16</f>
        <v>19844681</v>
      </c>
      <c r="AD17" s="99">
        <f t="shared" si="3"/>
        <v>0.52283687814706692</v>
      </c>
      <c r="AE17" s="106">
        <f t="shared" ref="AE17:AE51" si="10">+AA17-AC17</f>
        <v>11181208</v>
      </c>
      <c r="AF17" s="127">
        <v>0</v>
      </c>
      <c r="AG17" s="105">
        <v>0</v>
      </c>
      <c r="AH17" s="109"/>
      <c r="AI17" s="110">
        <f>+'[2]COSOLIDADO PLAN DE ACCIÓN'!E13</f>
        <v>138237792.30000001</v>
      </c>
      <c r="AJ17" s="93">
        <f>+'[2]COSOLIDADO PLAN DE ACCIÓN'!G13</f>
        <v>92894370</v>
      </c>
      <c r="AK17" s="109">
        <f t="shared" si="5"/>
        <v>0.67198968136298853</v>
      </c>
      <c r="AL17" s="111"/>
      <c r="AM17" s="112" t="s">
        <v>43</v>
      </c>
      <c r="AN17" s="112" t="s">
        <v>72</v>
      </c>
      <c r="AO17" s="112" t="s">
        <v>73</v>
      </c>
      <c r="AP17" s="113"/>
      <c r="AQ17" s="114"/>
    </row>
    <row r="18" spans="1:43" ht="53.25" customHeight="1" thickBot="1" x14ac:dyDescent="0.3">
      <c r="A18" s="115" t="s">
        <v>74</v>
      </c>
      <c r="B18" s="93" t="s">
        <v>47</v>
      </c>
      <c r="C18" s="94">
        <f>+'[2]COSOLIDADO PLAN DE ACCIÓN'!L14</f>
        <v>100</v>
      </c>
      <c r="D18" s="93">
        <f>+'[2]COSOLIDADO PLAN DE ACCIÓN'!P14</f>
        <v>100</v>
      </c>
      <c r="E18" s="94">
        <f>+'[2]COSOLIDADO PLAN DE ACCIÓN'!N14</f>
        <v>100</v>
      </c>
      <c r="F18" s="93">
        <f>+'[2]COSOLIDADO PLAN DE ACCIÓN'!R14</f>
        <v>35</v>
      </c>
      <c r="G18" s="128"/>
      <c r="H18" s="98">
        <f t="shared" ref="H18:I28" si="11">+E18/C18</f>
        <v>1</v>
      </c>
      <c r="I18" s="99">
        <f t="shared" si="11"/>
        <v>0.35</v>
      </c>
      <c r="J18" s="112" t="s">
        <v>75</v>
      </c>
      <c r="K18" s="125" t="s">
        <v>49</v>
      </c>
      <c r="L18" s="125" t="s">
        <v>50</v>
      </c>
      <c r="M18" s="117"/>
      <c r="N18" s="102" t="s">
        <v>51</v>
      </c>
      <c r="O18" s="118" t="s">
        <v>76</v>
      </c>
      <c r="P18" s="93">
        <v>51185778</v>
      </c>
      <c r="Q18" s="93">
        <v>27705755</v>
      </c>
      <c r="R18" s="125" t="s">
        <v>53</v>
      </c>
      <c r="S18" s="98">
        <f t="shared" si="0"/>
        <v>0.35</v>
      </c>
      <c r="T18" s="93">
        <f>+'[2]COSOLIDADO PLAN DE ACCIÓN'!D14</f>
        <v>100</v>
      </c>
      <c r="U18" s="110">
        <f>+'[2]COSOLIDADO PLAN DE ACCIÓN'!F14</f>
        <v>58.5</v>
      </c>
      <c r="V18" s="99">
        <f t="shared" si="8"/>
        <v>0.58499999999999996</v>
      </c>
      <c r="W18" s="99">
        <f t="shared" si="9"/>
        <v>1.2132752683590986E-2</v>
      </c>
      <c r="X18" s="99">
        <f t="shared" si="1"/>
        <v>1.2132752683590986E-2</v>
      </c>
      <c r="Y18" s="93">
        <f>+'[2]COSOLIDADO PLAN DE ACCIÓN'!Q14</f>
        <v>52823752</v>
      </c>
      <c r="Z18" s="93">
        <v>64918640</v>
      </c>
      <c r="AA18" s="93">
        <f>+'[2]COSOLIDADO PLAN DE ACCIÓN'!S14</f>
        <v>51185778</v>
      </c>
      <c r="AB18" s="99">
        <f t="shared" si="2"/>
        <v>0.96899171418190821</v>
      </c>
      <c r="AC18" s="105">
        <f>+'[2]320103-4.1'!S23</f>
        <v>27719560</v>
      </c>
      <c r="AD18" s="99">
        <f t="shared" si="3"/>
        <v>0.52475560615232331</v>
      </c>
      <c r="AE18" s="106">
        <f t="shared" si="10"/>
        <v>23466218</v>
      </c>
      <c r="AF18" s="127">
        <v>3736371</v>
      </c>
      <c r="AG18" s="105">
        <v>3137299</v>
      </c>
      <c r="AH18" s="109">
        <f t="shared" si="4"/>
        <v>0.8396647442130345</v>
      </c>
      <c r="AI18" s="110">
        <f>+'[2]COSOLIDADO PLAN DE ACCIÓN'!E14</f>
        <v>294098200.47000003</v>
      </c>
      <c r="AJ18" s="93">
        <f>+'[2]COSOLIDADO PLAN DE ACCIÓN'!G14</f>
        <v>184356194</v>
      </c>
      <c r="AK18" s="109">
        <f t="shared" si="5"/>
        <v>0.62685250608599208</v>
      </c>
      <c r="AL18" s="111"/>
      <c r="AM18" s="112" t="s">
        <v>43</v>
      </c>
      <c r="AN18" s="120"/>
      <c r="AO18" s="112" t="s">
        <v>73</v>
      </c>
      <c r="AP18" s="113"/>
      <c r="AQ18" s="114"/>
    </row>
    <row r="19" spans="1:43" ht="40.5" customHeight="1" thickBot="1" x14ac:dyDescent="0.3">
      <c r="A19" s="92" t="s">
        <v>77</v>
      </c>
      <c r="B19" s="93" t="s">
        <v>47</v>
      </c>
      <c r="C19" s="94">
        <f>+'[2]COSOLIDADO PLAN DE ACCIÓN'!L15</f>
        <v>80</v>
      </c>
      <c r="D19" s="93">
        <f>+'[2]COSOLIDADO PLAN DE ACCIÓN'!P15</f>
        <v>90</v>
      </c>
      <c r="E19" s="94">
        <f>+'[2]COSOLIDADO PLAN DE ACCIÓN'!N15</f>
        <v>80</v>
      </c>
      <c r="F19" s="93">
        <f>+'[2]COSOLIDADO PLAN DE ACCIÓN'!R15</f>
        <v>30</v>
      </c>
      <c r="G19" s="97"/>
      <c r="H19" s="98">
        <f t="shared" si="11"/>
        <v>1</v>
      </c>
      <c r="I19" s="99">
        <f t="shared" si="11"/>
        <v>0.33333333333333331</v>
      </c>
      <c r="J19" s="112" t="s">
        <v>78</v>
      </c>
      <c r="K19" s="125" t="s">
        <v>49</v>
      </c>
      <c r="L19" s="125" t="s">
        <v>50</v>
      </c>
      <c r="M19" s="117"/>
      <c r="N19" s="102" t="s">
        <v>51</v>
      </c>
      <c r="O19" s="118" t="s">
        <v>79</v>
      </c>
      <c r="P19" s="93">
        <v>498339641</v>
      </c>
      <c r="Q19" s="93">
        <v>120869095</v>
      </c>
      <c r="R19" s="125" t="s">
        <v>53</v>
      </c>
      <c r="S19" s="98">
        <f t="shared" si="0"/>
        <v>0.33333333333333331</v>
      </c>
      <c r="T19" s="93">
        <f>+'[2]COSOLIDADO PLAN DE ACCIÓN'!D15</f>
        <v>100</v>
      </c>
      <c r="U19" s="110">
        <f>+'[2]COSOLIDADO PLAN DE ACCIÓN'!F15</f>
        <v>57.5</v>
      </c>
      <c r="V19" s="99">
        <f t="shared" si="8"/>
        <v>0.57499999999999996</v>
      </c>
      <c r="W19" s="99">
        <f t="shared" si="9"/>
        <v>0.14861418426116521</v>
      </c>
      <c r="X19" s="99">
        <f t="shared" si="1"/>
        <v>0.14861418426116521</v>
      </c>
      <c r="Y19" s="93">
        <f>+'[2]COSOLIDADO PLAN DE ACCIÓN'!Q15</f>
        <v>647038559</v>
      </c>
      <c r="Z19" s="93">
        <v>664878471</v>
      </c>
      <c r="AA19" s="93">
        <f>+'[2]COSOLIDADO PLAN DE ACCIÓN'!S15</f>
        <v>498339641</v>
      </c>
      <c r="AB19" s="99">
        <f t="shared" si="2"/>
        <v>0.77018538395947433</v>
      </c>
      <c r="AC19" s="105">
        <f>+'[2]320103-4.1'!S84</f>
        <v>127159859</v>
      </c>
      <c r="AD19" s="99">
        <f t="shared" si="3"/>
        <v>0.19652593687233408</v>
      </c>
      <c r="AE19" s="106">
        <f t="shared" si="10"/>
        <v>371179782</v>
      </c>
      <c r="AF19" s="127">
        <v>98458194</v>
      </c>
      <c r="AG19" s="105">
        <f>84221474+2098360</f>
        <v>86319834</v>
      </c>
      <c r="AH19" s="109">
        <f t="shared" si="4"/>
        <v>0.87671559362545282</v>
      </c>
      <c r="AI19" s="110">
        <f>+'[2]COSOLIDADO PLAN DE ACCIÓN'!E15</f>
        <v>2629405604.516418</v>
      </c>
      <c r="AJ19" s="93">
        <f>+'[2]COSOLIDADO PLAN DE ACCIÓN'!G15</f>
        <v>1553347948.3483329</v>
      </c>
      <c r="AK19" s="109">
        <f t="shared" si="5"/>
        <v>0.59076011159336284</v>
      </c>
      <c r="AL19" s="111"/>
      <c r="AM19" s="112" t="s">
        <v>43</v>
      </c>
      <c r="AN19" s="112" t="s">
        <v>80</v>
      </c>
      <c r="AO19" s="112" t="s">
        <v>73</v>
      </c>
      <c r="AP19" s="113"/>
      <c r="AQ19" s="114"/>
    </row>
    <row r="20" spans="1:43" ht="52.5" customHeight="1" thickBot="1" x14ac:dyDescent="0.3">
      <c r="A20" s="92" t="s">
        <v>81</v>
      </c>
      <c r="B20" s="93" t="s">
        <v>82</v>
      </c>
      <c r="C20" s="93">
        <f>+'[2]COSOLIDADO PLAN DE ACCIÓN'!L16</f>
        <v>60</v>
      </c>
      <c r="D20" s="93">
        <f>+'[2]COSOLIDADO PLAN DE ACCIÓN'!P16</f>
        <v>60</v>
      </c>
      <c r="E20" s="94">
        <f>+'[2]COSOLIDADO PLAN DE ACCIÓN'!N16</f>
        <v>60</v>
      </c>
      <c r="F20" s="93">
        <f>+'[2]COSOLIDADO PLAN DE ACCIÓN'!R16</f>
        <v>60</v>
      </c>
      <c r="G20" s="97"/>
      <c r="H20" s="98">
        <f t="shared" si="11"/>
        <v>1</v>
      </c>
      <c r="I20" s="99">
        <f t="shared" si="11"/>
        <v>1</v>
      </c>
      <c r="J20" s="112" t="s">
        <v>83</v>
      </c>
      <c r="K20" s="125" t="s">
        <v>49</v>
      </c>
      <c r="L20" s="101" t="s">
        <v>50</v>
      </c>
      <c r="M20" s="117"/>
      <c r="N20" s="102" t="s">
        <v>51</v>
      </c>
      <c r="O20" s="118"/>
      <c r="P20" s="93">
        <v>0</v>
      </c>
      <c r="Q20" s="93"/>
      <c r="R20" s="125" t="s">
        <v>53</v>
      </c>
      <c r="S20" s="98">
        <f t="shared" si="0"/>
        <v>1</v>
      </c>
      <c r="T20" s="93">
        <f>+'[2]COSOLIDADO PLAN DE ACCIÓN'!D16</f>
        <v>60</v>
      </c>
      <c r="U20" s="104">
        <f>+'[2]COSOLIDADO PLAN DE ACCIÓN'!F16</f>
        <v>60</v>
      </c>
      <c r="V20" s="99">
        <f t="shared" si="8"/>
        <v>1</v>
      </c>
      <c r="W20" s="99">
        <f t="shared" si="9"/>
        <v>0</v>
      </c>
      <c r="X20" s="99">
        <f t="shared" si="1"/>
        <v>0</v>
      </c>
      <c r="Y20" s="93">
        <f>+'[2]COSOLIDADO PLAN DE ACCIÓN'!Q16</f>
        <v>0</v>
      </c>
      <c r="Z20" s="93">
        <v>0</v>
      </c>
      <c r="AA20" s="93">
        <f>+'[2]COSOLIDADO PLAN DE ACCIÓN'!S16</f>
        <v>0</v>
      </c>
      <c r="AB20" s="150"/>
      <c r="AC20" s="217">
        <f>+'[2]320103-4.1'!S89</f>
        <v>0</v>
      </c>
      <c r="AD20" s="150"/>
      <c r="AE20" s="106">
        <f t="shared" si="10"/>
        <v>0</v>
      </c>
      <c r="AF20" s="127">
        <v>0</v>
      </c>
      <c r="AG20" s="105">
        <v>0</v>
      </c>
      <c r="AH20" s="109"/>
      <c r="AI20" s="110">
        <f>+'[2]COSOLIDADO PLAN DE ACCIÓN'!E16</f>
        <v>0</v>
      </c>
      <c r="AJ20" s="93">
        <f>+'[2]COSOLIDADO PLAN DE ACCIÓN'!G16</f>
        <v>0</v>
      </c>
      <c r="AK20" s="109"/>
      <c r="AL20" s="111"/>
      <c r="AM20" s="112" t="s">
        <v>43</v>
      </c>
      <c r="AN20" s="112" t="s">
        <v>84</v>
      </c>
      <c r="AO20" s="112" t="s">
        <v>73</v>
      </c>
      <c r="AP20" s="113"/>
      <c r="AQ20" s="114"/>
    </row>
    <row r="21" spans="1:43" ht="40.5" customHeight="1" thickBot="1" x14ac:dyDescent="0.3">
      <c r="A21" s="115" t="s">
        <v>85</v>
      </c>
      <c r="B21" s="93" t="s">
        <v>47</v>
      </c>
      <c r="C21" s="93">
        <f>+'[2]COSOLIDADO PLAN DE ACCIÓN'!L17</f>
        <v>80</v>
      </c>
      <c r="D21" s="93">
        <f>+'[2]COSOLIDADO PLAN DE ACCIÓN'!P17</f>
        <v>80</v>
      </c>
      <c r="E21" s="94">
        <f>+'[2]COSOLIDADO PLAN DE ACCIÓN'!N17</f>
        <v>80</v>
      </c>
      <c r="F21" s="93">
        <f>+'[2]COSOLIDADO PLAN DE ACCIÓN'!R17</f>
        <v>40</v>
      </c>
      <c r="G21" s="97"/>
      <c r="H21" s="98">
        <f t="shared" si="11"/>
        <v>1</v>
      </c>
      <c r="I21" s="99">
        <f t="shared" si="11"/>
        <v>0.5</v>
      </c>
      <c r="J21" s="112" t="s">
        <v>86</v>
      </c>
      <c r="K21" s="125" t="s">
        <v>49</v>
      </c>
      <c r="L21" s="125" t="s">
        <v>50</v>
      </c>
      <c r="M21" s="117"/>
      <c r="N21" s="102" t="s">
        <v>51</v>
      </c>
      <c r="O21" s="118" t="s">
        <v>87</v>
      </c>
      <c r="P21" s="93">
        <v>435300371</v>
      </c>
      <c r="Q21" s="93">
        <v>215504442</v>
      </c>
      <c r="R21" s="125" t="s">
        <v>53</v>
      </c>
      <c r="S21" s="98">
        <f t="shared" si="0"/>
        <v>0.5</v>
      </c>
      <c r="T21" s="93">
        <f>+'[2]COSOLIDADO PLAN DE ACCIÓN'!D17</f>
        <v>80</v>
      </c>
      <c r="U21" s="110">
        <f>+'[2]COSOLIDADO PLAN DE ACCIÓN'!F17</f>
        <v>60</v>
      </c>
      <c r="V21" s="99">
        <f t="shared" si="8"/>
        <v>0.75</v>
      </c>
      <c r="W21" s="99">
        <f t="shared" si="9"/>
        <v>0.12447075507011458</v>
      </c>
      <c r="X21" s="99">
        <f t="shared" si="1"/>
        <v>0.12447075507011458</v>
      </c>
      <c r="Y21" s="93">
        <f>+'[2]COSOLIDADO PLAN DE ACCIÓN'!Q17</f>
        <v>541922552</v>
      </c>
      <c r="Z21" s="93">
        <v>346334354</v>
      </c>
      <c r="AA21" s="93">
        <f>+'[2]COSOLIDADO PLAN DE ACCIÓN'!S17</f>
        <v>435300371</v>
      </c>
      <c r="AB21" s="99">
        <f t="shared" si="2"/>
        <v>0.80325199494558031</v>
      </c>
      <c r="AC21" s="105">
        <f>+'[2]320103-4.1'!S155</f>
        <v>234114398</v>
      </c>
      <c r="AD21" s="99">
        <f t="shared" si="3"/>
        <v>0.4320071145516749</v>
      </c>
      <c r="AE21" s="106">
        <f t="shared" si="10"/>
        <v>201185973</v>
      </c>
      <c r="AF21" s="127">
        <v>17754382</v>
      </c>
      <c r="AG21" s="105">
        <v>10670356</v>
      </c>
      <c r="AH21" s="109">
        <f t="shared" si="4"/>
        <v>0.60099844646803247</v>
      </c>
      <c r="AI21" s="110">
        <f>+'[2]COSOLIDADO PLAN DE ACCIÓN'!E17</f>
        <v>1088629524.477114</v>
      </c>
      <c r="AJ21" s="93">
        <f>+'[2]COSOLIDADO PLAN DE ACCIÓN'!G17</f>
        <v>847056523</v>
      </c>
      <c r="AK21" s="109">
        <f t="shared" si="5"/>
        <v>0.77809438744264692</v>
      </c>
      <c r="AL21" s="111"/>
      <c r="AM21" s="112" t="s">
        <v>43</v>
      </c>
      <c r="AN21" s="120"/>
      <c r="AO21" s="112" t="s">
        <v>73</v>
      </c>
      <c r="AP21" s="113"/>
      <c r="AQ21" s="114"/>
    </row>
    <row r="22" spans="1:43" ht="40.5" customHeight="1" thickBot="1" x14ac:dyDescent="0.3">
      <c r="A22" s="92" t="s">
        <v>88</v>
      </c>
      <c r="B22" s="93" t="s">
        <v>47</v>
      </c>
      <c r="C22" s="93">
        <f>+'[2]COSOLIDADO PLAN DE ACCIÓN'!L18</f>
        <v>25</v>
      </c>
      <c r="D22" s="93">
        <f>+'[2]COSOLIDADO PLAN DE ACCIÓN'!P18</f>
        <v>30</v>
      </c>
      <c r="E22" s="94">
        <f>+'[2]COSOLIDADO PLAN DE ACCIÓN'!N18</f>
        <v>27</v>
      </c>
      <c r="F22" s="93">
        <f>+'[2]COSOLIDADO PLAN DE ACCIÓN'!R18</f>
        <v>36</v>
      </c>
      <c r="G22" s="97"/>
      <c r="H22" s="98">
        <v>1</v>
      </c>
      <c r="I22" s="99">
        <v>1</v>
      </c>
      <c r="J22" s="112" t="s">
        <v>89</v>
      </c>
      <c r="K22" s="125" t="s">
        <v>49</v>
      </c>
      <c r="L22" s="125" t="s">
        <v>50</v>
      </c>
      <c r="M22" s="117"/>
      <c r="N22" s="102" t="s">
        <v>51</v>
      </c>
      <c r="O22" s="118" t="s">
        <v>90</v>
      </c>
      <c r="P22" s="93">
        <v>425976468</v>
      </c>
      <c r="Q22" s="93">
        <v>201906873</v>
      </c>
      <c r="R22" s="125" t="s">
        <v>53</v>
      </c>
      <c r="S22" s="98">
        <f t="shared" si="0"/>
        <v>1</v>
      </c>
      <c r="T22" s="93">
        <f>+'[2]COSOLIDADO PLAN DE ACCIÓN'!D18</f>
        <v>35</v>
      </c>
      <c r="U22" s="110">
        <f>+'[2]COSOLIDADO PLAN DE ACCIÓN'!F18</f>
        <v>59</v>
      </c>
      <c r="V22" s="99">
        <f t="shared" si="8"/>
        <v>1</v>
      </c>
      <c r="W22" s="99">
        <f t="shared" si="9"/>
        <v>0.16606274107951538</v>
      </c>
      <c r="X22" s="99">
        <f t="shared" si="1"/>
        <v>0.16606274107951538</v>
      </c>
      <c r="Y22" s="93">
        <f>+'[2]COSOLIDADO PLAN DE ACCIÓN'!Q18</f>
        <v>723006335</v>
      </c>
      <c r="Z22" s="93">
        <v>591549293</v>
      </c>
      <c r="AA22" s="93">
        <f>+'[2]COSOLIDADO PLAN DE ACCIÓN'!S18</f>
        <v>425976468</v>
      </c>
      <c r="AB22" s="99">
        <f t="shared" si="2"/>
        <v>0.58917390813733328</v>
      </c>
      <c r="AC22" s="105">
        <f>+'[2]320103-4.1'!S182</f>
        <v>210876866</v>
      </c>
      <c r="AD22" s="99">
        <f t="shared" si="3"/>
        <v>0.29166669196612227</v>
      </c>
      <c r="AE22" s="106">
        <f t="shared" si="10"/>
        <v>215099602</v>
      </c>
      <c r="AF22" s="127">
        <v>49864912</v>
      </c>
      <c r="AG22" s="105">
        <v>28221684</v>
      </c>
      <c r="AH22" s="109">
        <f t="shared" si="4"/>
        <v>0.56596277558857422</v>
      </c>
      <c r="AI22" s="110">
        <f>+'[2]COSOLIDADO PLAN DE ACCIÓN'!E18</f>
        <v>1889234350.4000001</v>
      </c>
      <c r="AJ22" s="93">
        <f>+'[2]COSOLIDADO PLAN DE ACCIÓN'!G18</f>
        <v>1233219140</v>
      </c>
      <c r="AK22" s="109">
        <f t="shared" si="5"/>
        <v>0.65276133674940617</v>
      </c>
      <c r="AL22" s="111"/>
      <c r="AM22" s="112" t="s">
        <v>43</v>
      </c>
      <c r="AN22" s="112" t="s">
        <v>91</v>
      </c>
      <c r="AO22" s="112" t="s">
        <v>73</v>
      </c>
      <c r="AP22" s="113"/>
      <c r="AQ22" s="114"/>
    </row>
    <row r="23" spans="1:43" ht="68.25" customHeight="1" thickBot="1" x14ac:dyDescent="0.3">
      <c r="A23" s="115" t="s">
        <v>92</v>
      </c>
      <c r="B23" s="93" t="s">
        <v>93</v>
      </c>
      <c r="C23" s="93">
        <f>+'[2]COSOLIDADO PLAN DE ACCIÓN'!L19</f>
        <v>120</v>
      </c>
      <c r="D23" s="93">
        <f>+'[2]COSOLIDADO PLAN DE ACCIÓN'!P19</f>
        <v>120</v>
      </c>
      <c r="E23" s="94">
        <f>+'[2]COSOLIDADO PLAN DE ACCIÓN'!N19</f>
        <v>270</v>
      </c>
      <c r="F23" s="93">
        <f>+'[2]COSOLIDADO PLAN DE ACCIÓN'!R19</f>
        <v>98</v>
      </c>
      <c r="G23" s="97"/>
      <c r="H23" s="98">
        <v>1</v>
      </c>
      <c r="I23" s="99">
        <f t="shared" si="11"/>
        <v>0.81666666666666665</v>
      </c>
      <c r="J23" s="112" t="s">
        <v>94</v>
      </c>
      <c r="K23" s="125" t="s">
        <v>49</v>
      </c>
      <c r="L23" s="101" t="s">
        <v>50</v>
      </c>
      <c r="M23" s="117"/>
      <c r="N23" s="102" t="s">
        <v>51</v>
      </c>
      <c r="O23" s="118"/>
      <c r="P23" s="93">
        <v>0</v>
      </c>
      <c r="Q23" s="93"/>
      <c r="R23" s="125" t="s">
        <v>53</v>
      </c>
      <c r="S23" s="98">
        <f t="shared" si="0"/>
        <v>0.81666666666666665</v>
      </c>
      <c r="T23" s="93">
        <f>+'[2]COSOLIDADO PLAN DE ACCIÓN'!D19</f>
        <v>420</v>
      </c>
      <c r="U23" s="104">
        <f>+'[2]COSOLIDADO PLAN DE ACCIÓN'!F19</f>
        <v>428</v>
      </c>
      <c r="V23" s="99">
        <f t="shared" si="8"/>
        <v>1</v>
      </c>
      <c r="W23" s="99">
        <f t="shared" si="9"/>
        <v>5.3401149925431041E-3</v>
      </c>
      <c r="X23" s="99">
        <f t="shared" si="1"/>
        <v>5.3401149925431041E-3</v>
      </c>
      <c r="Y23" s="93">
        <f>+'[2]COSOLIDADO PLAN DE ACCIÓN'!Q19</f>
        <v>23249868.960000001</v>
      </c>
      <c r="Z23" s="93">
        <v>23192400</v>
      </c>
      <c r="AA23" s="93">
        <f>+'[2]COSOLIDADO PLAN DE ACCIÓN'!S19</f>
        <v>0</v>
      </c>
      <c r="AB23" s="99">
        <f t="shared" si="2"/>
        <v>0</v>
      </c>
      <c r="AC23" s="105">
        <f>+'[2]320103-4.1'!S188</f>
        <v>0</v>
      </c>
      <c r="AD23" s="99">
        <f t="shared" si="3"/>
        <v>0</v>
      </c>
      <c r="AE23" s="106">
        <f t="shared" si="10"/>
        <v>0</v>
      </c>
      <c r="AF23" s="127">
        <v>6515960</v>
      </c>
      <c r="AG23" s="105">
        <v>6515960</v>
      </c>
      <c r="AH23" s="109">
        <f t="shared" si="4"/>
        <v>1</v>
      </c>
      <c r="AI23" s="110">
        <f>+'[2]COSOLIDADO PLAN DE ACCIÓN'!E19</f>
        <v>96865937.429071516</v>
      </c>
      <c r="AJ23" s="93">
        <f>+'[2]COSOLIDADO PLAN DE ACCIÓN'!G19</f>
        <v>43731086</v>
      </c>
      <c r="AK23" s="109">
        <f t="shared" si="5"/>
        <v>0.45145989561110028</v>
      </c>
      <c r="AL23" s="111"/>
      <c r="AM23" s="112" t="s">
        <v>43</v>
      </c>
      <c r="AN23" s="112" t="s">
        <v>95</v>
      </c>
      <c r="AO23" s="112" t="s">
        <v>73</v>
      </c>
      <c r="AP23" s="113"/>
      <c r="AQ23" s="114"/>
    </row>
    <row r="24" spans="1:43" ht="40.5" customHeight="1" thickBot="1" x14ac:dyDescent="0.3">
      <c r="A24" s="115" t="s">
        <v>96</v>
      </c>
      <c r="B24" s="93" t="s">
        <v>93</v>
      </c>
      <c r="C24" s="93">
        <f>+'[2]COSOLIDADO PLAN DE ACCIÓN'!L20</f>
        <v>1</v>
      </c>
      <c r="D24" s="93">
        <f>+'[2]COSOLIDADO PLAN DE ACCIÓN'!P20</f>
        <v>1</v>
      </c>
      <c r="E24" s="94">
        <f>+'[2]COSOLIDADO PLAN DE ACCIÓN'!N20</f>
        <v>1</v>
      </c>
      <c r="F24" s="93">
        <f>+'[2]COSOLIDADO PLAN DE ACCIÓN'!R20</f>
        <v>1</v>
      </c>
      <c r="G24" s="129"/>
      <c r="H24" s="98">
        <f t="shared" si="11"/>
        <v>1</v>
      </c>
      <c r="I24" s="99">
        <f t="shared" si="11"/>
        <v>1</v>
      </c>
      <c r="J24" s="112" t="s">
        <v>97</v>
      </c>
      <c r="K24" s="125" t="s">
        <v>49</v>
      </c>
      <c r="L24" s="101" t="s">
        <v>50</v>
      </c>
      <c r="M24" s="117"/>
      <c r="N24" s="102" t="s">
        <v>51</v>
      </c>
      <c r="O24" s="118"/>
      <c r="P24" s="93">
        <v>0</v>
      </c>
      <c r="Q24" s="93"/>
      <c r="R24" s="125" t="s">
        <v>53</v>
      </c>
      <c r="S24" s="98">
        <f t="shared" si="0"/>
        <v>1</v>
      </c>
      <c r="T24" s="93">
        <f>+'[2]COSOLIDADO PLAN DE ACCIÓN'!D20</f>
        <v>1</v>
      </c>
      <c r="U24" s="214">
        <f>+'[2]COSOLIDADO PLAN DE ACCIÓN'!F20</f>
        <v>0.63</v>
      </c>
      <c r="V24" s="99">
        <f t="shared" si="8"/>
        <v>0.63</v>
      </c>
      <c r="W24" s="99">
        <f t="shared" si="9"/>
        <v>2.9517106487885313E-3</v>
      </c>
      <c r="X24" s="99">
        <f t="shared" si="1"/>
        <v>2.9517106487885313E-3</v>
      </c>
      <c r="Y24" s="93">
        <f>+'[2]COSOLIDADO PLAN DE ACCIÓN'!Q20</f>
        <v>12851200</v>
      </c>
      <c r="Z24" s="93">
        <v>0</v>
      </c>
      <c r="AA24" s="93">
        <f>+'[2]COSOLIDADO PLAN DE ACCIÓN'!S20</f>
        <v>0</v>
      </c>
      <c r="AB24" s="99">
        <f t="shared" si="2"/>
        <v>0</v>
      </c>
      <c r="AC24" s="105">
        <f>+'[2]320103-4.1'!S194</f>
        <v>0</v>
      </c>
      <c r="AD24" s="99">
        <f t="shared" si="3"/>
        <v>0</v>
      </c>
      <c r="AE24" s="106">
        <f t="shared" si="10"/>
        <v>0</v>
      </c>
      <c r="AF24" s="127">
        <v>0</v>
      </c>
      <c r="AG24" s="105">
        <v>0</v>
      </c>
      <c r="AH24" s="109"/>
      <c r="AI24" s="110">
        <f>+'[2]COSOLIDADO PLAN DE ACCIÓN'!E20</f>
        <v>53415355.541071512</v>
      </c>
      <c r="AJ24" s="93">
        <f>+'[2]COSOLIDADO PLAN DE ACCIÓN'!G20</f>
        <v>16522686.436000001</v>
      </c>
      <c r="AK24" s="109">
        <f t="shared" si="5"/>
        <v>0.30932465521633701</v>
      </c>
      <c r="AL24" s="111"/>
      <c r="AM24" s="112" t="s">
        <v>43</v>
      </c>
      <c r="AN24" s="112" t="s">
        <v>95</v>
      </c>
      <c r="AO24" s="112" t="s">
        <v>73</v>
      </c>
      <c r="AP24" s="113"/>
      <c r="AQ24" s="114"/>
    </row>
    <row r="25" spans="1:43" ht="40.5" customHeight="1" thickBot="1" x14ac:dyDescent="0.3">
      <c r="A25" s="115" t="s">
        <v>98</v>
      </c>
      <c r="B25" s="93" t="s">
        <v>93</v>
      </c>
      <c r="C25" s="93">
        <f>+'[2]COSOLIDADO PLAN DE ACCIÓN'!L21</f>
        <v>1</v>
      </c>
      <c r="D25" s="93">
        <f>+'[2]COSOLIDADO PLAN DE ACCIÓN'!P21</f>
        <v>1</v>
      </c>
      <c r="E25" s="94">
        <f>+'[2]COSOLIDADO PLAN DE ACCIÓN'!N21</f>
        <v>1</v>
      </c>
      <c r="F25" s="93">
        <f>+'[2]COSOLIDADO PLAN DE ACCIÓN'!R21</f>
        <v>0</v>
      </c>
      <c r="G25" s="97"/>
      <c r="H25" s="98">
        <f t="shared" si="11"/>
        <v>1</v>
      </c>
      <c r="I25" s="99">
        <f t="shared" si="11"/>
        <v>0</v>
      </c>
      <c r="J25" s="112" t="s">
        <v>99</v>
      </c>
      <c r="K25" s="125" t="s">
        <v>49</v>
      </c>
      <c r="L25" s="101" t="s">
        <v>50</v>
      </c>
      <c r="M25" s="117"/>
      <c r="N25" s="102" t="s">
        <v>51</v>
      </c>
      <c r="O25" s="118"/>
      <c r="P25" s="93">
        <v>0</v>
      </c>
      <c r="Q25" s="93"/>
      <c r="R25" s="125" t="s">
        <v>53</v>
      </c>
      <c r="S25" s="98">
        <f t="shared" si="0"/>
        <v>0</v>
      </c>
      <c r="T25" s="93">
        <f>+'[2]COSOLIDADO PLAN DE ACCIÓN'!D21</f>
        <v>3</v>
      </c>
      <c r="U25" s="110">
        <f>+'[2]COSOLIDADO PLAN DE ACCIÓN'!F21</f>
        <v>1</v>
      </c>
      <c r="V25" s="99">
        <f t="shared" si="8"/>
        <v>0.33333333333333331</v>
      </c>
      <c r="W25" s="99">
        <f t="shared" si="9"/>
        <v>1.8800775467347663E-2</v>
      </c>
      <c r="X25" s="99">
        <f t="shared" si="1"/>
        <v>1.8800775467347663E-2</v>
      </c>
      <c r="Y25" s="93">
        <f>+'[2]COSOLIDADO PLAN DE ACCIÓN'!Q21</f>
        <v>81855084.876000002</v>
      </c>
      <c r="Z25" s="93">
        <v>91999532</v>
      </c>
      <c r="AA25" s="93">
        <f>+'[2]COSOLIDADO PLAN DE ACCIÓN'!S21</f>
        <v>0</v>
      </c>
      <c r="AB25" s="99">
        <f t="shared" si="2"/>
        <v>0</v>
      </c>
      <c r="AC25" s="105">
        <f>+'[2]320103-4.1'!S198</f>
        <v>0</v>
      </c>
      <c r="AD25" s="99">
        <f t="shared" si="3"/>
        <v>0</v>
      </c>
      <c r="AE25" s="106">
        <f t="shared" si="10"/>
        <v>0</v>
      </c>
      <c r="AF25" s="127">
        <v>45999766</v>
      </c>
      <c r="AG25" s="105">
        <v>45999766</v>
      </c>
      <c r="AH25" s="109">
        <f t="shared" si="4"/>
        <v>1</v>
      </c>
      <c r="AI25" s="110">
        <f>+'[2]COSOLIDADO PLAN DE ACCIÓN'!E21</f>
        <v>173854616.87599999</v>
      </c>
      <c r="AJ25" s="93">
        <f>+'[2]COSOLIDADO PLAN DE ACCIÓN'!G21</f>
        <v>91999532</v>
      </c>
      <c r="AK25" s="109">
        <f t="shared" si="5"/>
        <v>0.52917508693840276</v>
      </c>
      <c r="AL25" s="111"/>
      <c r="AM25" s="112" t="s">
        <v>43</v>
      </c>
      <c r="AN25" s="120"/>
      <c r="AO25" s="112" t="s">
        <v>73</v>
      </c>
      <c r="AP25" s="113"/>
      <c r="AQ25" s="114"/>
    </row>
    <row r="26" spans="1:43" ht="40.5" customHeight="1" thickBot="1" x14ac:dyDescent="0.3">
      <c r="A26" s="115" t="s">
        <v>100</v>
      </c>
      <c r="B26" s="93" t="s">
        <v>47</v>
      </c>
      <c r="C26" s="93">
        <f>+'[2]COSOLIDADO PLAN DE ACCIÓN'!L22</f>
        <v>100</v>
      </c>
      <c r="D26" s="93">
        <f>+'[2]COSOLIDADO PLAN DE ACCIÓN'!P22</f>
        <v>100</v>
      </c>
      <c r="E26" s="94">
        <f>+'[2]COSOLIDADO PLAN DE ACCIÓN'!N22</f>
        <v>100</v>
      </c>
      <c r="F26" s="130">
        <f>+'[2]COSOLIDADO PLAN DE ACCIÓN'!R22</f>
        <v>43.33</v>
      </c>
      <c r="G26" s="97"/>
      <c r="H26" s="98">
        <f t="shared" si="11"/>
        <v>1</v>
      </c>
      <c r="I26" s="99">
        <f t="shared" si="11"/>
        <v>0.43329999999999996</v>
      </c>
      <c r="J26" s="112" t="s">
        <v>101</v>
      </c>
      <c r="K26" s="125" t="s">
        <v>49</v>
      </c>
      <c r="L26" s="125" t="s">
        <v>50</v>
      </c>
      <c r="M26" s="117"/>
      <c r="N26" s="102" t="s">
        <v>51</v>
      </c>
      <c r="O26" s="118" t="s">
        <v>102</v>
      </c>
      <c r="P26" s="93">
        <v>24254612</v>
      </c>
      <c r="Q26" s="93"/>
      <c r="R26" s="125" t="s">
        <v>53</v>
      </c>
      <c r="S26" s="98">
        <f t="shared" si="0"/>
        <v>0.43329999999999996</v>
      </c>
      <c r="T26" s="93">
        <f>+'[2]COSOLIDADO PLAN DE ACCIÓN'!D22</f>
        <v>100</v>
      </c>
      <c r="U26" s="110">
        <f>+'[2]COSOLIDADO PLAN DE ACCIÓN'!F22</f>
        <v>60.75</v>
      </c>
      <c r="V26" s="99">
        <f t="shared" si="8"/>
        <v>0.60750000000000004</v>
      </c>
      <c r="W26" s="99">
        <f>+Y26/$Y$16</f>
        <v>9.5500938393363963E-3</v>
      </c>
      <c r="X26" s="99">
        <f t="shared" si="1"/>
        <v>9.5500938393363963E-3</v>
      </c>
      <c r="Y26" s="93">
        <f>+'[2]COSOLIDADO PLAN DE ACCIÓN'!Q22</f>
        <v>41579335.019999996</v>
      </c>
      <c r="Z26" s="93">
        <v>48041400</v>
      </c>
      <c r="AA26" s="93">
        <f>+'[2]COSOLIDADO PLAN DE ACCIÓN'!S22</f>
        <v>24254612</v>
      </c>
      <c r="AB26" s="99">
        <f t="shared" si="2"/>
        <v>0.58333333104854457</v>
      </c>
      <c r="AC26" s="105">
        <f>+'[2]320103-4.1'!S206</f>
        <v>0</v>
      </c>
      <c r="AD26" s="99">
        <f t="shared" si="3"/>
        <v>0</v>
      </c>
      <c r="AE26" s="106">
        <f t="shared" si="10"/>
        <v>24254612</v>
      </c>
      <c r="AF26" s="127">
        <v>0</v>
      </c>
      <c r="AG26" s="105"/>
      <c r="AH26" s="109"/>
      <c r="AI26" s="110">
        <f>+'[2]COSOLIDADO PLAN DE ACCIÓN'!E22</f>
        <v>261474795.01999998</v>
      </c>
      <c r="AJ26" s="93">
        <f>+'[2]COSOLIDADO PLAN DE ACCIÓN'!G22</f>
        <v>138078574.833</v>
      </c>
      <c r="AK26" s="109">
        <f t="shared" si="5"/>
        <v>0.52807604198499702</v>
      </c>
      <c r="AL26" s="111"/>
      <c r="AM26" s="112" t="s">
        <v>43</v>
      </c>
      <c r="AN26" s="120"/>
      <c r="AO26" s="112" t="s">
        <v>73</v>
      </c>
      <c r="AP26" s="113"/>
      <c r="AQ26" s="114"/>
    </row>
    <row r="27" spans="1:43" ht="40.5" customHeight="1" thickBot="1" x14ac:dyDescent="0.3">
      <c r="A27" s="115" t="s">
        <v>103</v>
      </c>
      <c r="B27" s="93" t="s">
        <v>47</v>
      </c>
      <c r="C27" s="93">
        <f>+'[2]COSOLIDADO PLAN DE ACCIÓN'!L23</f>
        <v>100</v>
      </c>
      <c r="D27" s="93">
        <f>+'[2]COSOLIDADO PLAN DE ACCIÓN'!P23</f>
        <v>100</v>
      </c>
      <c r="E27" s="94">
        <f>+'[2]COSOLIDADO PLAN DE ACCIÓN'!N23</f>
        <v>100</v>
      </c>
      <c r="F27" s="93">
        <f>+'[2]COSOLIDADO PLAN DE ACCIÓN'!R23</f>
        <v>69</v>
      </c>
      <c r="G27" s="97"/>
      <c r="H27" s="98">
        <f t="shared" si="11"/>
        <v>1</v>
      </c>
      <c r="I27" s="99">
        <f t="shared" si="11"/>
        <v>0.69</v>
      </c>
      <c r="J27" s="112" t="s">
        <v>104</v>
      </c>
      <c r="K27" s="125" t="s">
        <v>49</v>
      </c>
      <c r="L27" s="125" t="s">
        <v>50</v>
      </c>
      <c r="M27" s="117"/>
      <c r="N27" s="102" t="s">
        <v>51</v>
      </c>
      <c r="O27" s="118" t="s">
        <v>105</v>
      </c>
      <c r="P27" s="93">
        <v>20948279</v>
      </c>
      <c r="Q27" s="93"/>
      <c r="R27" s="125" t="s">
        <v>53</v>
      </c>
      <c r="S27" s="98">
        <f t="shared" si="0"/>
        <v>0.69</v>
      </c>
      <c r="T27" s="93">
        <f>+'[2]COSOLIDADO PLAN DE ACCIÓN'!D23</f>
        <v>100</v>
      </c>
      <c r="U27" s="110">
        <f>+'[2]COSOLIDADO PLAN DE ACCIÓN'!F23</f>
        <v>67.25</v>
      </c>
      <c r="V27" s="99">
        <f t="shared" si="8"/>
        <v>0.67249999999999999</v>
      </c>
      <c r="W27" s="99">
        <f t="shared" si="9"/>
        <v>4.8114773871773195E-3</v>
      </c>
      <c r="X27" s="99">
        <f t="shared" si="1"/>
        <v>4.8114773871773195E-3</v>
      </c>
      <c r="Y27" s="93">
        <f>+'[2]COSOLIDADO PLAN DE ACCIÓN'!Q23</f>
        <v>20948279</v>
      </c>
      <c r="Z27" s="93">
        <v>25404964</v>
      </c>
      <c r="AA27" s="93">
        <f>+'[2]COSOLIDADO PLAN DE ACCIÓN'!S23</f>
        <v>20948279</v>
      </c>
      <c r="AB27" s="99">
        <f t="shared" si="2"/>
        <v>1</v>
      </c>
      <c r="AC27" s="105">
        <f>+'[2]320103-4.1'!S211</f>
        <v>0</v>
      </c>
      <c r="AD27" s="99">
        <f t="shared" si="3"/>
        <v>0</v>
      </c>
      <c r="AE27" s="106">
        <f t="shared" si="10"/>
        <v>20948279</v>
      </c>
      <c r="AF27" s="127">
        <v>0</v>
      </c>
      <c r="AG27" s="105">
        <v>0</v>
      </c>
      <c r="AH27" s="109"/>
      <c r="AI27" s="110">
        <f>+'[2]COSOLIDADO PLAN DE ACCIÓN'!E23</f>
        <v>76997061</v>
      </c>
      <c r="AJ27" s="93">
        <f>+'[2]COSOLIDADO PLAN DE ACCIÓN'!G23</f>
        <v>56393243</v>
      </c>
      <c r="AK27" s="109">
        <f t="shared" si="5"/>
        <v>0.73240773436793905</v>
      </c>
      <c r="AL27" s="111"/>
      <c r="AM27" s="112" t="s">
        <v>43</v>
      </c>
      <c r="AN27" s="120"/>
      <c r="AO27" s="112" t="s">
        <v>73</v>
      </c>
      <c r="AP27" s="113"/>
      <c r="AQ27" s="114"/>
    </row>
    <row r="28" spans="1:43" ht="40.5" customHeight="1" thickBot="1" x14ac:dyDescent="0.3">
      <c r="A28" s="115" t="s">
        <v>106</v>
      </c>
      <c r="B28" s="93" t="s">
        <v>57</v>
      </c>
      <c r="C28" s="93">
        <f>+'[2]COSOLIDADO PLAN DE ACCIÓN'!L24</f>
        <v>1</v>
      </c>
      <c r="D28" s="93">
        <f>+'[2]COSOLIDADO PLAN DE ACCIÓN'!P24</f>
        <v>1</v>
      </c>
      <c r="E28" s="94">
        <f>+'[2]COSOLIDADO PLAN DE ACCIÓN'!N24</f>
        <v>1</v>
      </c>
      <c r="F28" s="126">
        <f>+'[2]COSOLIDADO PLAN DE ACCIÓN'!R24</f>
        <v>0.5</v>
      </c>
      <c r="G28" s="97"/>
      <c r="H28" s="98">
        <f t="shared" si="11"/>
        <v>1</v>
      </c>
      <c r="I28" s="99">
        <f t="shared" si="11"/>
        <v>0.5</v>
      </c>
      <c r="J28" s="112" t="s">
        <v>107</v>
      </c>
      <c r="K28" s="125" t="s">
        <v>49</v>
      </c>
      <c r="L28" s="101" t="s">
        <v>59</v>
      </c>
      <c r="M28" s="117" t="s">
        <v>60</v>
      </c>
      <c r="N28" s="102" t="s">
        <v>51</v>
      </c>
      <c r="O28" s="118" t="s">
        <v>60</v>
      </c>
      <c r="P28" s="93">
        <v>876970501</v>
      </c>
      <c r="Q28" s="93">
        <v>859137639</v>
      </c>
      <c r="R28" s="125" t="s">
        <v>53</v>
      </c>
      <c r="S28" s="98">
        <f t="shared" si="0"/>
        <v>0.5</v>
      </c>
      <c r="T28" s="93">
        <f>+'[2]COSOLIDADO PLAN DE ACCIÓN'!D24</f>
        <v>1</v>
      </c>
      <c r="U28" s="215">
        <f>+'[2]COSOLIDADO PLAN DE ACCIÓN'!F24</f>
        <v>0.625</v>
      </c>
      <c r="V28" s="99">
        <f t="shared" si="8"/>
        <v>0.625</v>
      </c>
      <c r="W28" s="99">
        <f>+Y28/$Y$16</f>
        <v>0.49854757233923885</v>
      </c>
      <c r="X28" s="99">
        <f t="shared" si="1"/>
        <v>0.49854757233923885</v>
      </c>
      <c r="Y28" s="93">
        <f>+'[2]COSOLIDADO PLAN DE ACCIÓN'!Q24</f>
        <v>2170583544.249373</v>
      </c>
      <c r="Z28" s="93">
        <v>1779197974</v>
      </c>
      <c r="AA28" s="93">
        <f>+'[2]COSOLIDADO PLAN DE ACCIÓN'!S24</f>
        <v>876970501</v>
      </c>
      <c r="AB28" s="99">
        <f t="shared" si="2"/>
        <v>0.40402522322782664</v>
      </c>
      <c r="AC28" s="105">
        <f>+'[2]320103-4.1'!S220+'[2]320103-4.1'!S235</f>
        <v>876560533</v>
      </c>
      <c r="AD28" s="99">
        <f t="shared" si="3"/>
        <v>0.40383634867329216</v>
      </c>
      <c r="AE28" s="106">
        <f t="shared" si="10"/>
        <v>409968</v>
      </c>
      <c r="AF28" s="127">
        <v>10842259</v>
      </c>
      <c r="AG28" s="105">
        <v>10349466</v>
      </c>
      <c r="AH28" s="109">
        <f t="shared" si="4"/>
        <v>0.95454886292607477</v>
      </c>
      <c r="AI28" s="110">
        <f>+'[2]COSOLIDADO PLAN DE ACCIÓN'!E24</f>
        <v>4140911438.7970409</v>
      </c>
      <c r="AJ28" s="93">
        <f>+'[2]COSOLIDADO PLAN DE ACCIÓN'!G24</f>
        <v>2677386021</v>
      </c>
      <c r="AK28" s="109">
        <f t="shared" si="5"/>
        <v>0.64656925427456047</v>
      </c>
      <c r="AL28" s="111"/>
      <c r="AM28" s="112" t="s">
        <v>43</v>
      </c>
      <c r="AN28" s="120"/>
      <c r="AO28" s="112" t="s">
        <v>73</v>
      </c>
      <c r="AP28" s="113"/>
      <c r="AQ28" s="114"/>
    </row>
    <row r="29" spans="1:43" ht="49.5" customHeight="1" thickBot="1" x14ac:dyDescent="0.3">
      <c r="A29" s="30" t="s">
        <v>108</v>
      </c>
      <c r="B29" s="41"/>
      <c r="C29" s="32"/>
      <c r="D29" s="32"/>
      <c r="E29" s="32"/>
      <c r="F29" s="32"/>
      <c r="G29" s="33"/>
      <c r="H29" s="34">
        <f>AVERAGE(H30,H52)</f>
        <v>0.95455000000000001</v>
      </c>
      <c r="I29" s="35">
        <f>AVERAGE(I30,I52)</f>
        <v>0.35608768406961178</v>
      </c>
      <c r="J29" s="131"/>
      <c r="K29" s="34"/>
      <c r="L29" s="34"/>
      <c r="M29" s="34"/>
      <c r="N29" s="34"/>
      <c r="O29" s="34"/>
      <c r="P29" s="37">
        <f>+P30+P52</f>
        <v>1632075984</v>
      </c>
      <c r="Q29" s="37">
        <f>+Q30+Q52</f>
        <v>547018093</v>
      </c>
      <c r="R29" s="34"/>
      <c r="S29" s="34">
        <f>+I29</f>
        <v>0.35608768406961178</v>
      </c>
      <c r="T29" s="34"/>
      <c r="U29" s="35"/>
      <c r="V29" s="35">
        <f>+(V30*W30)+(V52*W52)</f>
        <v>0.12311628858637531</v>
      </c>
      <c r="W29" s="35">
        <f>+Y29/$Y$99</f>
        <v>0.19360031825414079</v>
      </c>
      <c r="X29" s="35">
        <f>+W29</f>
        <v>0.19360031825414079</v>
      </c>
      <c r="Y29" s="41">
        <f>+Y30+Y52</f>
        <v>6764044976.5952797</v>
      </c>
      <c r="Z29" s="41">
        <f>+Z30+Z52</f>
        <v>5782871759</v>
      </c>
      <c r="AA29" s="41">
        <f>+AA30+AA52</f>
        <v>1632075984</v>
      </c>
      <c r="AB29" s="35">
        <f t="shared" si="2"/>
        <v>0.24128697985410422</v>
      </c>
      <c r="AC29" s="42">
        <f>+AC30+AC52</f>
        <v>589186158</v>
      </c>
      <c r="AD29" s="35">
        <f t="shared" si="3"/>
        <v>8.7105594365306863E-2</v>
      </c>
      <c r="AE29" s="43">
        <f>+AE30+AE52</f>
        <v>1042889826</v>
      </c>
      <c r="AF29" s="44">
        <f>+AF30+AF52</f>
        <v>3228460596</v>
      </c>
      <c r="AG29" s="42">
        <f>+AG30+AG52</f>
        <v>1229718034.4000001</v>
      </c>
      <c r="AH29" s="45">
        <f t="shared" si="4"/>
        <v>0.38089919261322158</v>
      </c>
      <c r="AI29" s="46">
        <f>+AI30+AI52</f>
        <v>28374481314.15839</v>
      </c>
      <c r="AJ29" s="41">
        <f>+AJ30+AJ52</f>
        <v>14437036670.783997</v>
      </c>
      <c r="AK29" s="45">
        <f>+AJ29/AI29</f>
        <v>0.50880354466885558</v>
      </c>
      <c r="AL29" s="31"/>
      <c r="AM29" s="47" t="s">
        <v>109</v>
      </c>
      <c r="AN29" s="48"/>
      <c r="AO29" s="48"/>
      <c r="AP29" s="49"/>
      <c r="AQ29" s="50"/>
    </row>
    <row r="30" spans="1:43" ht="40.5" customHeight="1" thickBot="1" x14ac:dyDescent="0.3">
      <c r="A30" s="51" t="s">
        <v>110</v>
      </c>
      <c r="B30" s="57"/>
      <c r="C30" s="53"/>
      <c r="D30" s="53"/>
      <c r="E30" s="53"/>
      <c r="F30" s="53"/>
      <c r="G30" s="54"/>
      <c r="H30" s="55">
        <f>+AVERAGE(H31,H42,H46)</f>
        <v>0.90910000000000002</v>
      </c>
      <c r="I30" s="56">
        <f>+AVERAGE(I31,I42,I46)</f>
        <v>0.36217536813922363</v>
      </c>
      <c r="J30" s="68"/>
      <c r="K30" s="60"/>
      <c r="L30" s="60"/>
      <c r="M30" s="66"/>
      <c r="N30" s="66"/>
      <c r="O30" s="66"/>
      <c r="P30" s="60">
        <f>+P31+P42+P46</f>
        <v>1532359708</v>
      </c>
      <c r="Q30" s="60">
        <f>+Q31+Q42+Q46</f>
        <v>514572829</v>
      </c>
      <c r="R30" s="60"/>
      <c r="S30" s="55">
        <f>+I30</f>
        <v>0.36217536813922363</v>
      </c>
      <c r="T30" s="60"/>
      <c r="U30" s="65"/>
      <c r="V30" s="56">
        <f>+(V31*W31)+(V42*W42)+(V46*W46)</f>
        <v>0.64553375180737693</v>
      </c>
      <c r="W30" s="56">
        <f>+Y30/$Y$99</f>
        <v>0.18565056502494889</v>
      </c>
      <c r="X30" s="56">
        <f>+W30</f>
        <v>0.18565056502494889</v>
      </c>
      <c r="Y30" s="60">
        <f>+Y31+Y42+Y46</f>
        <v>6486294976.5952797</v>
      </c>
      <c r="Z30" s="60">
        <f>+Z31+Z42+Z46</f>
        <v>5357771581</v>
      </c>
      <c r="AA30" s="60">
        <f>+AA31+AA42+AA46</f>
        <v>1532359708</v>
      </c>
      <c r="AB30" s="56">
        <f t="shared" si="2"/>
        <v>0.23624576334090047</v>
      </c>
      <c r="AC30" s="61">
        <f>+AC31+AC42+AC46</f>
        <v>547675778</v>
      </c>
      <c r="AD30" s="56">
        <f t="shared" si="3"/>
        <v>8.4435842029416994E-2</v>
      </c>
      <c r="AE30" s="62">
        <f>+AE31+AE42+AE46</f>
        <v>984683930</v>
      </c>
      <c r="AF30" s="63">
        <f>+AF31+AF42+AF46</f>
        <v>3041827340</v>
      </c>
      <c r="AG30" s="61">
        <f>+AG31+AG42+AG46</f>
        <v>1109570488.4000001</v>
      </c>
      <c r="AH30" s="64">
        <f t="shared" si="4"/>
        <v>0.36477102885136148</v>
      </c>
      <c r="AI30" s="65">
        <f>+AI31+AI42+AI46</f>
        <v>27280943514.15839</v>
      </c>
      <c r="AJ30" s="60">
        <f>+AJ31+AJ42+AJ46</f>
        <v>13768954452.783997</v>
      </c>
      <c r="AK30" s="64">
        <f>+AJ30/AI30</f>
        <v>0.50470961334743136</v>
      </c>
      <c r="AL30" s="66"/>
      <c r="AM30" s="67" t="s">
        <v>109</v>
      </c>
      <c r="AN30" s="68"/>
      <c r="AO30" s="68"/>
      <c r="AP30" s="69"/>
      <c r="AQ30" s="70"/>
    </row>
    <row r="31" spans="1:43" ht="40.5" customHeight="1" thickBot="1" x14ac:dyDescent="0.3">
      <c r="A31" s="71" t="s">
        <v>111</v>
      </c>
      <c r="B31" s="77"/>
      <c r="C31" s="73"/>
      <c r="D31" s="73"/>
      <c r="E31" s="73"/>
      <c r="F31" s="73"/>
      <c r="G31" s="74"/>
      <c r="H31" s="75">
        <f>AVERAGE(H32:H41)</f>
        <v>1</v>
      </c>
      <c r="I31" s="76">
        <f>AVERAGE(I32:I41)</f>
        <v>0.51652610441767066</v>
      </c>
      <c r="J31" s="89"/>
      <c r="K31" s="80"/>
      <c r="L31" s="80"/>
      <c r="M31" s="87"/>
      <c r="N31" s="87"/>
      <c r="O31" s="87"/>
      <c r="P31" s="80">
        <v>840646484</v>
      </c>
      <c r="Q31" s="80">
        <f>SUM(Q32:Q41)</f>
        <v>281388050</v>
      </c>
      <c r="R31" s="80"/>
      <c r="S31" s="75">
        <f>+I31</f>
        <v>0.51652610441767066</v>
      </c>
      <c r="T31" s="80"/>
      <c r="U31" s="85"/>
      <c r="V31" s="76">
        <f>+(V32*W32)+(V33*W33)+(V34*W34)+(V35*W35)+(V36*W36)+(V37*W37)+(V38*W38)+(V39*W39)+(V40*W40)+(V41*W41)</f>
        <v>0.73254176244390767</v>
      </c>
      <c r="W31" s="76">
        <f>+Y31/$Y$30</f>
        <v>0.61605152916754391</v>
      </c>
      <c r="X31" s="76">
        <f>+W31</f>
        <v>0.61605152916754391</v>
      </c>
      <c r="Y31" s="80">
        <f>SUM(Y32:Y41)</f>
        <v>3995891938.9632802</v>
      </c>
      <c r="Z31" s="80">
        <f>SUM(Z32:Z41)</f>
        <v>4052381172</v>
      </c>
      <c r="AA31" s="80">
        <f>SUM(AA32:AA41)</f>
        <v>840646484</v>
      </c>
      <c r="AB31" s="76">
        <f>+AA31/Y31</f>
        <v>0.21037768208969704</v>
      </c>
      <c r="AC31" s="81">
        <f>SUM(AC32:AC41)</f>
        <v>302194910</v>
      </c>
      <c r="AD31" s="76">
        <f t="shared" si="3"/>
        <v>7.5626396963678497E-2</v>
      </c>
      <c r="AE31" s="82">
        <f>SUM(AE32:AE41)</f>
        <v>538451574</v>
      </c>
      <c r="AF31" s="83">
        <f>SUM(AF32:AF41)</f>
        <v>2671932606</v>
      </c>
      <c r="AG31" s="81">
        <f>SUM(AG32:AG41)</f>
        <v>898325712.39999998</v>
      </c>
      <c r="AH31" s="86">
        <f t="shared" si="4"/>
        <v>0.3362082226111357</v>
      </c>
      <c r="AI31" s="85">
        <f>SUM(AI32:AI41)</f>
        <v>16606190985.00128</v>
      </c>
      <c r="AJ31" s="80">
        <f>SUM(AJ32:AJ41)</f>
        <v>8772965214.8919964</v>
      </c>
      <c r="AK31" s="86">
        <f>+AJ31/AI31</f>
        <v>0.52829485237257257</v>
      </c>
      <c r="AL31" s="87"/>
      <c r="AM31" s="88" t="s">
        <v>109</v>
      </c>
      <c r="AN31" s="89"/>
      <c r="AO31" s="89"/>
      <c r="AP31" s="90"/>
      <c r="AQ31" s="91"/>
    </row>
    <row r="32" spans="1:43" ht="50.25" customHeight="1" thickBot="1" x14ac:dyDescent="0.3">
      <c r="A32" s="115" t="s">
        <v>112</v>
      </c>
      <c r="B32" s="93" t="s">
        <v>93</v>
      </c>
      <c r="C32" s="93">
        <f>+'[2]COSOLIDADO PLAN DE ACCIÓN'!L27</f>
        <v>30</v>
      </c>
      <c r="D32" s="93">
        <f>+'[2]COSOLIDADO PLAN DE ACCIÓN'!P27</f>
        <v>30</v>
      </c>
      <c r="E32" s="93">
        <f>+'[2]COSOLIDADO PLAN DE ACCIÓN'!N27</f>
        <v>57</v>
      </c>
      <c r="F32" s="93">
        <f>+'[2]COSOLIDADO PLAN DE ACCIÓN'!R27</f>
        <v>115</v>
      </c>
      <c r="G32" s="97"/>
      <c r="H32" s="98">
        <v>1</v>
      </c>
      <c r="I32" s="99">
        <v>1</v>
      </c>
      <c r="J32" s="112" t="s">
        <v>113</v>
      </c>
      <c r="K32" s="125" t="s">
        <v>49</v>
      </c>
      <c r="L32" s="125" t="s">
        <v>50</v>
      </c>
      <c r="M32" s="117"/>
      <c r="N32" s="102" t="s">
        <v>51</v>
      </c>
      <c r="O32" s="118" t="s">
        <v>114</v>
      </c>
      <c r="P32" s="93">
        <v>88079638</v>
      </c>
      <c r="Q32" s="93">
        <v>30568592</v>
      </c>
      <c r="R32" s="125" t="s">
        <v>53</v>
      </c>
      <c r="S32" s="98">
        <f>+I32</f>
        <v>1</v>
      </c>
      <c r="T32" s="93">
        <f>+'[2]COSOLIDADO PLAN DE ACCIÓN'!D27</f>
        <v>120</v>
      </c>
      <c r="U32" s="104">
        <f>+'[2]COSOLIDADO PLAN DE ACCIÓN'!F27</f>
        <v>202</v>
      </c>
      <c r="V32" s="99">
        <f t="shared" ref="V32:V41" si="12">IF(U32/T32&gt;=100%,100%,U32/T32)</f>
        <v>1</v>
      </c>
      <c r="W32" s="99">
        <f t="shared" ref="W32:W40" si="13">+Y32/$Y$31</f>
        <v>5.4304424083174402E-2</v>
      </c>
      <c r="X32" s="99">
        <f>+W32</f>
        <v>5.4304424083174402E-2</v>
      </c>
      <c r="Y32" s="93">
        <f>+'[2]COSOLIDADO PLAN DE ACCIÓN'!Q27</f>
        <v>216994610.44400001</v>
      </c>
      <c r="Z32" s="93">
        <v>66789527</v>
      </c>
      <c r="AA32" s="93">
        <f>+'[2]COSOLIDADO PLAN DE ACCIÓN'!S27</f>
        <v>88079638</v>
      </c>
      <c r="AB32" s="99">
        <f t="shared" si="2"/>
        <v>0.40590703068512751</v>
      </c>
      <c r="AC32" s="105">
        <f>+'[2]320201-1.1'!S15</f>
        <v>30568592</v>
      </c>
      <c r="AD32" s="99">
        <f t="shared" si="3"/>
        <v>0.14087258636264086</v>
      </c>
      <c r="AE32" s="106">
        <f t="shared" si="10"/>
        <v>57511046</v>
      </c>
      <c r="AF32" s="127">
        <v>38280971</v>
      </c>
      <c r="AG32" s="106">
        <v>3000000</v>
      </c>
      <c r="AH32" s="109">
        <f t="shared" si="4"/>
        <v>7.8367918096957367E-2</v>
      </c>
      <c r="AI32" s="110">
        <f>+'[2]COSOLIDADO PLAN DE ACCIÓN'!E27</f>
        <v>525585697.972</v>
      </c>
      <c r="AJ32" s="93">
        <f>+'[2]COSOLIDADO PLAN DE ACCIÓN'!G27</f>
        <v>281763066.28258121</v>
      </c>
      <c r="AK32" s="109">
        <f>+AJ32/AI32</f>
        <v>0.5360934807963359</v>
      </c>
      <c r="AL32" s="111"/>
      <c r="AM32" s="112" t="s">
        <v>109</v>
      </c>
      <c r="AN32" s="120"/>
      <c r="AO32" s="112" t="s">
        <v>115</v>
      </c>
      <c r="AP32" s="113"/>
      <c r="AQ32" s="114"/>
    </row>
    <row r="33" spans="1:43" ht="50.25" customHeight="1" thickBot="1" x14ac:dyDescent="0.3">
      <c r="A33" s="115" t="s">
        <v>116</v>
      </c>
      <c r="B33" s="93" t="s">
        <v>93</v>
      </c>
      <c r="C33" s="93">
        <f>+'[2]COSOLIDADO PLAN DE ACCIÓN'!L28</f>
        <v>3</v>
      </c>
      <c r="D33" s="93">
        <f>+'[2]COSOLIDADO PLAN DE ACCIÓN'!P28</f>
        <v>3</v>
      </c>
      <c r="E33" s="93">
        <f>+'[2]COSOLIDADO PLAN DE ACCIÓN'!N28</f>
        <v>3</v>
      </c>
      <c r="F33" s="93">
        <f>+'[2]COSOLIDADO PLAN DE ACCIÓN'!R28</f>
        <v>1</v>
      </c>
      <c r="G33" s="97"/>
      <c r="H33" s="98">
        <f>+E33/C33</f>
        <v>1</v>
      </c>
      <c r="I33" s="99">
        <f t="shared" ref="I33:I41" si="14">+F33/D33</f>
        <v>0.33333333333333331</v>
      </c>
      <c r="J33" s="112" t="s">
        <v>117</v>
      </c>
      <c r="K33" s="125" t="s">
        <v>49</v>
      </c>
      <c r="L33" s="125" t="s">
        <v>50</v>
      </c>
      <c r="M33" s="117"/>
      <c r="N33" s="102" t="s">
        <v>51</v>
      </c>
      <c r="O33" s="118" t="s">
        <v>118</v>
      </c>
      <c r="P33" s="93">
        <v>6024000</v>
      </c>
      <c r="Q33" s="93"/>
      <c r="R33" s="125" t="s">
        <v>53</v>
      </c>
      <c r="S33" s="98">
        <f t="shared" ref="S33:S41" si="15">+I33</f>
        <v>0.33333333333333331</v>
      </c>
      <c r="T33" s="93">
        <f>+'[2]COSOLIDADO PLAN DE ACCIÓN'!D28</f>
        <v>3</v>
      </c>
      <c r="U33" s="104">
        <f>+'[2]COSOLIDADO PLAN DE ACCIÓN'!F28</f>
        <v>3</v>
      </c>
      <c r="V33" s="99">
        <f t="shared" si="12"/>
        <v>1</v>
      </c>
      <c r="W33" s="99">
        <f t="shared" si="13"/>
        <v>0.14209712334387975</v>
      </c>
      <c r="X33" s="99">
        <f t="shared" ref="X33:X41" si="16">+W33</f>
        <v>0.14209712334387975</v>
      </c>
      <c r="Y33" s="93">
        <f>+'[2]COSOLIDADO PLAN DE ACCIÓN'!Q28</f>
        <v>567804749.71968007</v>
      </c>
      <c r="Z33" s="93">
        <v>23330450</v>
      </c>
      <c r="AA33" s="93">
        <f>+'[2]COSOLIDADO PLAN DE ACCIÓN'!S28</f>
        <v>6024000</v>
      </c>
      <c r="AB33" s="99">
        <f t="shared" si="2"/>
        <v>1.0609280748310036E-2</v>
      </c>
      <c r="AC33" s="105">
        <f>+'[2]320201-1.1'!S22</f>
        <v>0</v>
      </c>
      <c r="AD33" s="99">
        <f t="shared" si="3"/>
        <v>0</v>
      </c>
      <c r="AE33" s="106">
        <f t="shared" si="10"/>
        <v>6024000</v>
      </c>
      <c r="AF33" s="127">
        <v>23330450</v>
      </c>
      <c r="AG33" s="106"/>
      <c r="AH33" s="109">
        <f t="shared" si="4"/>
        <v>0</v>
      </c>
      <c r="AI33" s="110">
        <f>+'[2]COSOLIDADO PLAN DE ACCIÓN'!E28</f>
        <v>802537525.96368003</v>
      </c>
      <c r="AJ33" s="93">
        <f>+'[2]COSOLIDADO PLAN DE ACCIÓN'!G28</f>
        <v>134354449.692</v>
      </c>
      <c r="AK33" s="109">
        <f t="shared" ref="AK33:AK41" si="17">+AJ33/AI33</f>
        <v>0.16741204659641098</v>
      </c>
      <c r="AL33" s="111"/>
      <c r="AM33" s="112" t="s">
        <v>109</v>
      </c>
      <c r="AN33" s="120"/>
      <c r="AO33" s="112" t="s">
        <v>115</v>
      </c>
      <c r="AP33" s="113"/>
      <c r="AQ33" s="114"/>
    </row>
    <row r="34" spans="1:43" ht="63" customHeight="1" thickBot="1" x14ac:dyDescent="0.3">
      <c r="A34" s="115" t="s">
        <v>119</v>
      </c>
      <c r="B34" s="93" t="s">
        <v>93</v>
      </c>
      <c r="C34" s="93">
        <f>+'[2]COSOLIDADO PLAN DE ACCIÓN'!L29</f>
        <v>2</v>
      </c>
      <c r="D34" s="93">
        <f>+'[2]COSOLIDADO PLAN DE ACCIÓN'!P29</f>
        <v>2</v>
      </c>
      <c r="E34" s="93">
        <f>+'[2]COSOLIDADO PLAN DE ACCIÓN'!N29</f>
        <v>5</v>
      </c>
      <c r="F34" s="93">
        <f>+'[2]COSOLIDADO PLAN DE ACCIÓN'!R29</f>
        <v>0</v>
      </c>
      <c r="G34" s="97"/>
      <c r="H34" s="98">
        <v>1</v>
      </c>
      <c r="I34" s="99">
        <f t="shared" si="14"/>
        <v>0</v>
      </c>
      <c r="J34" s="112" t="s">
        <v>120</v>
      </c>
      <c r="K34" s="125" t="s">
        <v>49</v>
      </c>
      <c r="L34" s="125" t="s">
        <v>50</v>
      </c>
      <c r="M34" s="117"/>
      <c r="N34" s="102" t="s">
        <v>51</v>
      </c>
      <c r="O34" s="118"/>
      <c r="P34" s="93">
        <v>0</v>
      </c>
      <c r="Q34" s="93"/>
      <c r="R34" s="125" t="s">
        <v>53</v>
      </c>
      <c r="S34" s="98">
        <f t="shared" si="15"/>
        <v>0</v>
      </c>
      <c r="T34" s="93">
        <f>+'[2]COSOLIDADO PLAN DE ACCIÓN'!D29</f>
        <v>7</v>
      </c>
      <c r="U34" s="110">
        <f>+'[2]COSOLIDADO PLAN DE ACCIÓN'!F29</f>
        <v>7</v>
      </c>
      <c r="V34" s="99">
        <f t="shared" si="12"/>
        <v>1</v>
      </c>
      <c r="W34" s="99">
        <f t="shared" si="13"/>
        <v>2.3774416688717416E-2</v>
      </c>
      <c r="X34" s="99">
        <f t="shared" si="16"/>
        <v>2.3774416688717416E-2</v>
      </c>
      <c r="Y34" s="93">
        <f>+'[2]COSOLIDADO PLAN DE ACCIÓN'!Q29</f>
        <v>95000000</v>
      </c>
      <c r="Z34" s="93">
        <v>91576527</v>
      </c>
      <c r="AA34" s="93">
        <f>+'[2]COSOLIDADO PLAN DE ACCIÓN'!S29</f>
        <v>0</v>
      </c>
      <c r="AB34" s="99">
        <f t="shared" si="2"/>
        <v>0</v>
      </c>
      <c r="AC34" s="105">
        <f>+'[2]320201-1.1'!S30</f>
        <v>0</v>
      </c>
      <c r="AD34" s="99">
        <f t="shared" si="3"/>
        <v>0</v>
      </c>
      <c r="AE34" s="106">
        <f t="shared" si="10"/>
        <v>0</v>
      </c>
      <c r="AF34" s="127">
        <v>91576527</v>
      </c>
      <c r="AG34" s="106"/>
      <c r="AH34" s="109">
        <f t="shared" si="4"/>
        <v>0</v>
      </c>
      <c r="AI34" s="110">
        <f>+'[2]COSOLIDADO PLAN DE ACCIÓN'!E29</f>
        <v>618956285.07599998</v>
      </c>
      <c r="AJ34" s="93">
        <f>+'[2]COSOLIDADO PLAN DE ACCIÓN'!G29</f>
        <v>409507672</v>
      </c>
      <c r="AK34" s="109">
        <f t="shared" si="17"/>
        <v>0.66161000683548699</v>
      </c>
      <c r="AL34" s="111"/>
      <c r="AM34" s="112" t="s">
        <v>109</v>
      </c>
      <c r="AN34" s="120"/>
      <c r="AO34" s="112" t="s">
        <v>115</v>
      </c>
      <c r="AP34" s="113"/>
      <c r="AQ34" s="114"/>
    </row>
    <row r="35" spans="1:43" ht="40.5" customHeight="1" thickBot="1" x14ac:dyDescent="0.3">
      <c r="A35" s="115" t="s">
        <v>121</v>
      </c>
      <c r="B35" s="93" t="s">
        <v>93</v>
      </c>
      <c r="C35" s="93">
        <f>+'[2]COSOLIDADO PLAN DE ACCIÓN'!L30</f>
        <v>2</v>
      </c>
      <c r="D35" s="93">
        <f>+'[2]COSOLIDADO PLAN DE ACCIÓN'!P30</f>
        <v>1</v>
      </c>
      <c r="E35" s="93">
        <f>+'[2]COSOLIDADO PLAN DE ACCIÓN'!N30</f>
        <v>2</v>
      </c>
      <c r="F35" s="93">
        <f>+'[2]COSOLIDADO PLAN DE ACCIÓN'!R30</f>
        <v>0</v>
      </c>
      <c r="G35" s="97"/>
      <c r="H35" s="98">
        <f t="shared" ref="H35:H41" si="18">+E35/C35</f>
        <v>1</v>
      </c>
      <c r="I35" s="99">
        <f t="shared" si="14"/>
        <v>0</v>
      </c>
      <c r="J35" s="112" t="s">
        <v>122</v>
      </c>
      <c r="K35" s="125" t="s">
        <v>49</v>
      </c>
      <c r="L35" s="125" t="s">
        <v>50</v>
      </c>
      <c r="M35" s="117"/>
      <c r="N35" s="102" t="s">
        <v>51</v>
      </c>
      <c r="O35" s="118"/>
      <c r="P35" s="93">
        <v>0</v>
      </c>
      <c r="Q35" s="93"/>
      <c r="R35" s="125" t="s">
        <v>53</v>
      </c>
      <c r="S35" s="98">
        <f t="shared" si="15"/>
        <v>0</v>
      </c>
      <c r="T35" s="93">
        <f>+'[2]COSOLIDADO PLAN DE ACCIÓN'!D30</f>
        <v>7</v>
      </c>
      <c r="U35" s="110">
        <f>+'[2]COSOLIDADO PLAN DE ACCIÓN'!F30</f>
        <v>5</v>
      </c>
      <c r="V35" s="99">
        <f t="shared" si="12"/>
        <v>0.7142857142857143</v>
      </c>
      <c r="W35" s="99">
        <f t="shared" si="13"/>
        <v>0.13506161236492822</v>
      </c>
      <c r="X35" s="99">
        <f t="shared" si="16"/>
        <v>0.13506161236492822</v>
      </c>
      <c r="Y35" s="93">
        <f>+'[2]COSOLIDADO PLAN DE ACCIÓN'!Q30</f>
        <v>539691608.11239994</v>
      </c>
      <c r="Z35" s="93">
        <v>483458593</v>
      </c>
      <c r="AA35" s="93">
        <f>+'[2]COSOLIDADO PLAN DE ACCIÓN'!S30</f>
        <v>0</v>
      </c>
      <c r="AB35" s="99">
        <f t="shared" si="2"/>
        <v>0</v>
      </c>
      <c r="AC35" s="105">
        <f>+'[2]320201-1.1'!S37</f>
        <v>0</v>
      </c>
      <c r="AD35" s="99">
        <f t="shared" si="3"/>
        <v>0</v>
      </c>
      <c r="AE35" s="106">
        <f t="shared" si="10"/>
        <v>0</v>
      </c>
      <c r="AF35" s="127">
        <v>233697298</v>
      </c>
      <c r="AG35" s="106">
        <v>163588107</v>
      </c>
      <c r="AH35" s="109">
        <f t="shared" si="4"/>
        <v>0.69999999315353656</v>
      </c>
      <c r="AI35" s="110">
        <f>+'[2]COSOLIDADO PLAN DE ACCIÓN'!E30</f>
        <v>1523150200.9643998</v>
      </c>
      <c r="AJ35" s="93">
        <f>+'[2]COSOLIDADO PLAN DE ACCIÓN'!G30</f>
        <v>923985982.42073214</v>
      </c>
      <c r="AK35" s="109">
        <f t="shared" si="17"/>
        <v>0.60662827726096868</v>
      </c>
      <c r="AL35" s="111"/>
      <c r="AM35" s="112" t="s">
        <v>109</v>
      </c>
      <c r="AN35" s="120"/>
      <c r="AO35" s="112" t="s">
        <v>115</v>
      </c>
      <c r="AP35" s="113"/>
      <c r="AQ35" s="114"/>
    </row>
    <row r="36" spans="1:43" ht="40.5" customHeight="1" thickBot="1" x14ac:dyDescent="0.3">
      <c r="A36" s="115" t="s">
        <v>123</v>
      </c>
      <c r="B36" s="93" t="s">
        <v>47</v>
      </c>
      <c r="C36" s="93">
        <f>+'[2]COSOLIDADO PLAN DE ACCIÓN'!L31</f>
        <v>67</v>
      </c>
      <c r="D36" s="93">
        <f>+'[2]COSOLIDADO PLAN DE ACCIÓN'!P31</f>
        <v>83</v>
      </c>
      <c r="E36" s="93">
        <f>+'[2]COSOLIDADO PLAN DE ACCIÓN'!N31</f>
        <v>67</v>
      </c>
      <c r="F36" s="93">
        <f>+'[2]COSOLIDADO PLAN DE ACCIÓN'!R31</f>
        <v>40</v>
      </c>
      <c r="G36" s="128"/>
      <c r="H36" s="98">
        <f t="shared" si="18"/>
        <v>1</v>
      </c>
      <c r="I36" s="99">
        <f t="shared" si="14"/>
        <v>0.48192771084337349</v>
      </c>
      <c r="J36" s="112" t="s">
        <v>124</v>
      </c>
      <c r="K36" s="125" t="s">
        <v>49</v>
      </c>
      <c r="L36" s="125" t="s">
        <v>50</v>
      </c>
      <c r="M36" s="117"/>
      <c r="N36" s="102" t="s">
        <v>51</v>
      </c>
      <c r="O36" s="118"/>
      <c r="P36" s="93">
        <v>0</v>
      </c>
      <c r="Q36" s="93"/>
      <c r="R36" s="125" t="s">
        <v>53</v>
      </c>
      <c r="S36" s="98">
        <f t="shared" si="15"/>
        <v>0.48192771084337349</v>
      </c>
      <c r="T36" s="93">
        <f>+'[2]COSOLIDADO PLAN DE ACCIÓN'!D31</f>
        <v>100</v>
      </c>
      <c r="U36" s="110">
        <f>+'[2]COSOLIDADO PLAN DE ACCIÓN'!F31</f>
        <v>57</v>
      </c>
      <c r="V36" s="99">
        <f t="shared" si="12"/>
        <v>0.56999999999999995</v>
      </c>
      <c r="W36" s="99">
        <f t="shared" si="13"/>
        <v>2.0854417805307366E-2</v>
      </c>
      <c r="X36" s="99">
        <f t="shared" si="16"/>
        <v>2.0854417805307366E-2</v>
      </c>
      <c r="Y36" s="93">
        <f>+'[2]COSOLIDADO PLAN DE ACCIÓN'!Q31</f>
        <v>83332000</v>
      </c>
      <c r="Z36" s="93">
        <v>54989844</v>
      </c>
      <c r="AA36" s="93">
        <f>+'[2]COSOLIDADO PLAN DE ACCIÓN'!S31</f>
        <v>0</v>
      </c>
      <c r="AB36" s="99">
        <f t="shared" si="2"/>
        <v>0</v>
      </c>
      <c r="AC36" s="105">
        <f>+'[2]320201-1.1'!S44</f>
        <v>0</v>
      </c>
      <c r="AD36" s="99">
        <f t="shared" si="3"/>
        <v>0</v>
      </c>
      <c r="AE36" s="106">
        <f t="shared" si="10"/>
        <v>0</v>
      </c>
      <c r="AF36" s="127">
        <v>42993669</v>
      </c>
      <c r="AG36" s="106">
        <v>34964603</v>
      </c>
      <c r="AH36" s="109">
        <f t="shared" si="4"/>
        <v>0.8132500392092612</v>
      </c>
      <c r="AI36" s="110">
        <f>+'[2]COSOLIDADO PLAN DE ACCIÓN'!E31</f>
        <v>265607219.86399999</v>
      </c>
      <c r="AJ36" s="93">
        <f>+'[2]COSOLIDADO PLAN DE ACCIÓN'!G31</f>
        <v>166329541</v>
      </c>
      <c r="AK36" s="109">
        <f t="shared" si="17"/>
        <v>0.6262237189379356</v>
      </c>
      <c r="AL36" s="111"/>
      <c r="AM36" s="112" t="s">
        <v>109</v>
      </c>
      <c r="AN36" s="120"/>
      <c r="AO36" s="112" t="s">
        <v>115</v>
      </c>
      <c r="AP36" s="113"/>
      <c r="AQ36" s="114"/>
    </row>
    <row r="37" spans="1:43" ht="40.5" customHeight="1" thickBot="1" x14ac:dyDescent="0.3">
      <c r="A37" s="92" t="s">
        <v>125</v>
      </c>
      <c r="B37" s="93" t="s">
        <v>47</v>
      </c>
      <c r="C37" s="93">
        <f>+'[2]COSOLIDADO PLAN DE ACCIÓN'!L32</f>
        <v>100</v>
      </c>
      <c r="D37" s="93">
        <f>+'[2]COSOLIDADO PLAN DE ACCIÓN'!P32</f>
        <v>100</v>
      </c>
      <c r="E37" s="93">
        <f>+'[2]COSOLIDADO PLAN DE ACCIÓN'!N32</f>
        <v>100</v>
      </c>
      <c r="F37" s="93">
        <f>+'[2]COSOLIDADO PLAN DE ACCIÓN'!R32</f>
        <v>50</v>
      </c>
      <c r="G37" s="97"/>
      <c r="H37" s="98">
        <f t="shared" si="18"/>
        <v>1</v>
      </c>
      <c r="I37" s="99">
        <f t="shared" si="14"/>
        <v>0.5</v>
      </c>
      <c r="J37" s="112" t="s">
        <v>126</v>
      </c>
      <c r="K37" s="125" t="s">
        <v>49</v>
      </c>
      <c r="L37" s="125" t="s">
        <v>50</v>
      </c>
      <c r="M37" s="117"/>
      <c r="N37" s="102" t="s">
        <v>51</v>
      </c>
      <c r="O37" s="118"/>
      <c r="P37" s="93">
        <v>0</v>
      </c>
      <c r="Q37" s="93"/>
      <c r="R37" s="125" t="s">
        <v>53</v>
      </c>
      <c r="S37" s="98">
        <f t="shared" si="15"/>
        <v>0.5</v>
      </c>
      <c r="T37" s="93">
        <f>+'[2]COSOLIDADO PLAN DE ACCIÓN'!D32</f>
        <v>100</v>
      </c>
      <c r="U37" s="110">
        <f>+'[2]COSOLIDADO PLAN DE ACCIÓN'!F32</f>
        <v>62.5</v>
      </c>
      <c r="V37" s="99">
        <f t="shared" si="12"/>
        <v>0.625</v>
      </c>
      <c r="W37" s="99">
        <f t="shared" si="13"/>
        <v>4.6361958739070492E-3</v>
      </c>
      <c r="X37" s="99">
        <f t="shared" si="16"/>
        <v>4.6361958739070492E-3</v>
      </c>
      <c r="Y37" s="93">
        <f>+'[2]COSOLIDADO PLAN DE ACCIÓN'!Q32</f>
        <v>18525737.719999999</v>
      </c>
      <c r="Z37" s="93">
        <v>9950428</v>
      </c>
      <c r="AA37" s="93">
        <f>+'[2]COSOLIDADO PLAN DE ACCIÓN'!S32</f>
        <v>0</v>
      </c>
      <c r="AB37" s="99">
        <f t="shared" si="2"/>
        <v>0</v>
      </c>
      <c r="AC37" s="105">
        <f>+'[2]320201-1.1'!S52</f>
        <v>0</v>
      </c>
      <c r="AD37" s="99">
        <f t="shared" si="3"/>
        <v>0</v>
      </c>
      <c r="AE37" s="106">
        <f t="shared" si="10"/>
        <v>0</v>
      </c>
      <c r="AF37" s="127">
        <v>9950428</v>
      </c>
      <c r="AG37" s="106">
        <v>7631779</v>
      </c>
      <c r="AH37" s="109">
        <f t="shared" si="4"/>
        <v>0.76697997312276411</v>
      </c>
      <c r="AI37" s="110">
        <f>+'[2]COSOLIDADO PLAN DE ACCIÓN'!E32</f>
        <v>38904415.031999998</v>
      </c>
      <c r="AJ37" s="93">
        <f>+'[2]COSOLIDADO PLAN DE ACCIÓN'!G32</f>
        <v>14848944</v>
      </c>
      <c r="AK37" s="109">
        <f t="shared" si="17"/>
        <v>0.38167760619935598</v>
      </c>
      <c r="AL37" s="111"/>
      <c r="AM37" s="112" t="s">
        <v>109</v>
      </c>
      <c r="AN37" s="112" t="s">
        <v>127</v>
      </c>
      <c r="AO37" s="112" t="s">
        <v>115</v>
      </c>
      <c r="AP37" s="113"/>
      <c r="AQ37" s="114"/>
    </row>
    <row r="38" spans="1:43" ht="40.5" customHeight="1" thickBot="1" x14ac:dyDescent="0.3">
      <c r="A38" s="92" t="s">
        <v>128</v>
      </c>
      <c r="B38" s="93" t="s">
        <v>47</v>
      </c>
      <c r="C38" s="93">
        <f>+'[2]COSOLIDADO PLAN DE ACCIÓN'!L33</f>
        <v>100</v>
      </c>
      <c r="D38" s="93">
        <f>+'[2]COSOLIDADO PLAN DE ACCIÓN'!P33</f>
        <v>100</v>
      </c>
      <c r="E38" s="93">
        <f>+'[2]COSOLIDADO PLAN DE ACCIÓN'!N33</f>
        <v>100</v>
      </c>
      <c r="F38" s="93">
        <f>+'[2]COSOLIDADO PLAN DE ACCIÓN'!R33</f>
        <v>35</v>
      </c>
      <c r="G38" s="97"/>
      <c r="H38" s="98">
        <f t="shared" si="18"/>
        <v>1</v>
      </c>
      <c r="I38" s="99">
        <f t="shared" si="14"/>
        <v>0.35</v>
      </c>
      <c r="J38" s="112" t="s">
        <v>129</v>
      </c>
      <c r="K38" s="125" t="s">
        <v>49</v>
      </c>
      <c r="L38" s="125" t="s">
        <v>50</v>
      </c>
      <c r="M38" s="117"/>
      <c r="N38" s="102" t="s">
        <v>51</v>
      </c>
      <c r="O38" s="118" t="s">
        <v>130</v>
      </c>
      <c r="P38" s="93">
        <v>372333137</v>
      </c>
      <c r="Q38" s="93">
        <v>90068082</v>
      </c>
      <c r="R38" s="125" t="s">
        <v>53</v>
      </c>
      <c r="S38" s="98">
        <f t="shared" si="15"/>
        <v>0.35</v>
      </c>
      <c r="T38" s="93">
        <f>+'[2]COSOLIDADO PLAN DE ACCIÓN'!D33</f>
        <v>100</v>
      </c>
      <c r="U38" s="110">
        <f>+'[2]COSOLIDADO PLAN DE ACCIÓN'!F33</f>
        <v>58.75</v>
      </c>
      <c r="V38" s="99">
        <f t="shared" si="12"/>
        <v>0.58750000000000002</v>
      </c>
      <c r="W38" s="99">
        <f t="shared" si="13"/>
        <v>0.42864363925904947</v>
      </c>
      <c r="X38" s="99">
        <f t="shared" si="16"/>
        <v>0.42864363925904947</v>
      </c>
      <c r="Y38" s="93">
        <f>+'[2]COSOLIDADO PLAN DE ACCIÓN'!Q33</f>
        <v>1712813662.8031199</v>
      </c>
      <c r="Z38" s="93">
        <v>2362965621</v>
      </c>
      <c r="AA38" s="93">
        <f>+'[2]COSOLIDADO PLAN DE ACCIÓN'!S33</f>
        <v>372333137</v>
      </c>
      <c r="AB38" s="99">
        <f t="shared" si="2"/>
        <v>0.21738099425868371</v>
      </c>
      <c r="AC38" s="105">
        <f>+'[2]320201-1.1'!S77</f>
        <v>103307880</v>
      </c>
      <c r="AD38" s="99">
        <f t="shared" si="3"/>
        <v>6.031472205267828E-2</v>
      </c>
      <c r="AE38" s="106">
        <f t="shared" si="10"/>
        <v>269025257</v>
      </c>
      <c r="AF38" s="127">
        <v>1707840473</v>
      </c>
      <c r="AG38" s="106">
        <v>381412515.39999998</v>
      </c>
      <c r="AH38" s="109">
        <f t="shared" si="4"/>
        <v>0.22333029426923529</v>
      </c>
      <c r="AI38" s="110">
        <f>+'[2]COSOLIDADO PLAN DE ACCIÓN'!E33</f>
        <v>9316929884.5711193</v>
      </c>
      <c r="AJ38" s="93">
        <f>+'[2]COSOLIDADO PLAN DE ACCIÓN'!G33</f>
        <v>4896376994.1290102</v>
      </c>
      <c r="AK38" s="109">
        <f t="shared" si="17"/>
        <v>0.52553545586271222</v>
      </c>
      <c r="AL38" s="111"/>
      <c r="AM38" s="112" t="s">
        <v>109</v>
      </c>
      <c r="AN38" s="112" t="s">
        <v>131</v>
      </c>
      <c r="AO38" s="112" t="s">
        <v>115</v>
      </c>
      <c r="AP38" s="113"/>
      <c r="AQ38" s="114"/>
    </row>
    <row r="39" spans="1:43" ht="40.5" customHeight="1" thickBot="1" x14ac:dyDescent="0.3">
      <c r="A39" s="92" t="s">
        <v>132</v>
      </c>
      <c r="B39" s="93" t="s">
        <v>47</v>
      </c>
      <c r="C39" s="93">
        <f>+'[2]COSOLIDADO PLAN DE ACCIÓN'!L34</f>
        <v>25</v>
      </c>
      <c r="D39" s="93">
        <f>+'[2]COSOLIDADO PLAN DE ACCIÓN'!P34</f>
        <v>25</v>
      </c>
      <c r="E39" s="93">
        <f>+'[2]COSOLIDADO PLAN DE ACCIÓN'!N34</f>
        <v>25</v>
      </c>
      <c r="F39" s="93">
        <f>+'[2]COSOLIDADO PLAN DE ACCIÓN'!R34</f>
        <v>25</v>
      </c>
      <c r="G39" s="97"/>
      <c r="H39" s="98">
        <f t="shared" si="18"/>
        <v>1</v>
      </c>
      <c r="I39" s="99">
        <f t="shared" si="14"/>
        <v>1</v>
      </c>
      <c r="J39" s="112" t="s">
        <v>133</v>
      </c>
      <c r="K39" s="125" t="s">
        <v>49</v>
      </c>
      <c r="L39" s="125" t="s">
        <v>50</v>
      </c>
      <c r="M39" s="117"/>
      <c r="N39" s="117" t="s">
        <v>51</v>
      </c>
      <c r="O39" s="118" t="s">
        <v>134</v>
      </c>
      <c r="P39" s="93">
        <v>166775146</v>
      </c>
      <c r="Q39" s="93">
        <v>47806381</v>
      </c>
      <c r="R39" s="125" t="s">
        <v>53</v>
      </c>
      <c r="S39" s="98">
        <f t="shared" si="15"/>
        <v>1</v>
      </c>
      <c r="T39" s="93">
        <f>+'[2]COSOLIDADO PLAN DE ACCIÓN'!D34</f>
        <v>25</v>
      </c>
      <c r="U39" s="104">
        <f>+'[2]COSOLIDADO PLAN DE ACCIÓN'!F34</f>
        <v>25</v>
      </c>
      <c r="V39" s="99">
        <f t="shared" si="12"/>
        <v>1</v>
      </c>
      <c r="W39" s="99">
        <f>+Y39/$Y$31</f>
        <v>8.0367554185111073E-2</v>
      </c>
      <c r="X39" s="99">
        <f t="shared" si="16"/>
        <v>8.0367554185111073E-2</v>
      </c>
      <c r="Y39" s="93">
        <f>+'[2]COSOLIDADO PLAN DE ACCIÓN'!Q34</f>
        <v>321140061.92247999</v>
      </c>
      <c r="Z39" s="93">
        <v>499341786</v>
      </c>
      <c r="AA39" s="93">
        <f>+'[2]COSOLIDADO PLAN DE ACCIÓN'!S34</f>
        <v>166775146</v>
      </c>
      <c r="AB39" s="99">
        <f t="shared" si="2"/>
        <v>0.51932214561339241</v>
      </c>
      <c r="AC39" s="105">
        <f>+'[2]320201-1.1'!S92</f>
        <v>50965099</v>
      </c>
      <c r="AD39" s="99">
        <f t="shared" si="3"/>
        <v>0.15870053301634621</v>
      </c>
      <c r="AE39" s="106">
        <f t="shared" si="10"/>
        <v>115810047</v>
      </c>
      <c r="AF39" s="127">
        <v>360886855</v>
      </c>
      <c r="AG39" s="106">
        <v>204921805</v>
      </c>
      <c r="AH39" s="109">
        <f t="shared" si="4"/>
        <v>0.56782839873732727</v>
      </c>
      <c r="AI39" s="110">
        <f>+'[2]COSOLIDADO PLAN DE ACCIÓN'!E34</f>
        <v>2147568538.2764802</v>
      </c>
      <c r="AJ39" s="93">
        <f>+'[2]COSOLIDADO PLAN DE ACCIÓN'!G34</f>
        <v>1113407785.7379303</v>
      </c>
      <c r="AK39" s="109">
        <f t="shared" si="17"/>
        <v>0.51845040840069756</v>
      </c>
      <c r="AL39" s="111"/>
      <c r="AM39" s="112" t="s">
        <v>109</v>
      </c>
      <c r="AN39" s="112" t="s">
        <v>135</v>
      </c>
      <c r="AO39" s="112" t="s">
        <v>115</v>
      </c>
      <c r="AP39" s="113"/>
      <c r="AQ39" s="114"/>
    </row>
    <row r="40" spans="1:43" ht="51.75" customHeight="1" thickBot="1" x14ac:dyDescent="0.3">
      <c r="A40" s="92" t="s">
        <v>136</v>
      </c>
      <c r="B40" s="93" t="s">
        <v>47</v>
      </c>
      <c r="C40" s="93">
        <f>+'[2]COSOLIDADO PLAN DE ACCIÓN'!L35</f>
        <v>100</v>
      </c>
      <c r="D40" s="93">
        <f>+'[2]COSOLIDADO PLAN DE ACCIÓN'!P35</f>
        <v>100</v>
      </c>
      <c r="E40" s="93">
        <f>+'[2]COSOLIDADO PLAN DE ACCIÓN'!N35</f>
        <v>100</v>
      </c>
      <c r="F40" s="93">
        <f>+'[2]COSOLIDADO PLAN DE ACCIÓN'!R35</f>
        <v>100</v>
      </c>
      <c r="G40" s="97"/>
      <c r="H40" s="98">
        <f t="shared" si="18"/>
        <v>1</v>
      </c>
      <c r="I40" s="99">
        <f t="shared" si="14"/>
        <v>1</v>
      </c>
      <c r="J40" s="112" t="s">
        <v>137</v>
      </c>
      <c r="K40" s="125" t="s">
        <v>49</v>
      </c>
      <c r="L40" s="125" t="s">
        <v>50</v>
      </c>
      <c r="M40" s="117"/>
      <c r="N40" s="117" t="s">
        <v>51</v>
      </c>
      <c r="O40" s="118" t="s">
        <v>138</v>
      </c>
      <c r="P40" s="93">
        <v>96963096</v>
      </c>
      <c r="Q40" s="93">
        <v>35259304</v>
      </c>
      <c r="R40" s="125" t="s">
        <v>53</v>
      </c>
      <c r="S40" s="98">
        <f t="shared" si="15"/>
        <v>1</v>
      </c>
      <c r="T40" s="93">
        <f>+'[2]COSOLIDADO PLAN DE ACCIÓN'!D35</f>
        <v>100</v>
      </c>
      <c r="U40" s="216">
        <f>+'[2]COSOLIDADO PLAN DE ACCIÓN'!F35</f>
        <v>62.5</v>
      </c>
      <c r="V40" s="99">
        <f t="shared" si="12"/>
        <v>0.625</v>
      </c>
      <c r="W40" s="99">
        <f t="shared" si="13"/>
        <v>6.3491513063144267E-2</v>
      </c>
      <c r="X40" s="99">
        <f t="shared" si="16"/>
        <v>6.3491513063144267E-2</v>
      </c>
      <c r="Y40" s="93">
        <f>+'[2]COSOLIDADO PLAN DE ACCIÓN'!Q35</f>
        <v>253705225.24159998</v>
      </c>
      <c r="Z40" s="93">
        <v>300425466</v>
      </c>
      <c r="AA40" s="93">
        <f>+'[2]COSOLIDADO PLAN DE ACCIÓN'!S35</f>
        <v>96963096</v>
      </c>
      <c r="AB40" s="99">
        <f t="shared" si="2"/>
        <v>0.38218801330427227</v>
      </c>
      <c r="AC40" s="105">
        <f>+'[2]320201-1.1'!S105</f>
        <v>39666717</v>
      </c>
      <c r="AD40" s="99">
        <f t="shared" si="3"/>
        <v>0.15634962568163874</v>
      </c>
      <c r="AE40" s="106">
        <f t="shared" si="10"/>
        <v>57296379</v>
      </c>
      <c r="AF40" s="127">
        <v>140000411</v>
      </c>
      <c r="AG40" s="106">
        <v>79437558</v>
      </c>
      <c r="AH40" s="109">
        <f t="shared" si="4"/>
        <v>0.56740946281936278</v>
      </c>
      <c r="AI40" s="110">
        <f>+'[2]COSOLIDADO PLAN DE ACCIÓN'!E35</f>
        <v>904991251.79359996</v>
      </c>
      <c r="AJ40" s="93">
        <f>+'[2]COSOLIDADO PLAN DE ACCIÓN'!G35</f>
        <v>514839079.62974238</v>
      </c>
      <c r="AK40" s="109">
        <f t="shared" si="17"/>
        <v>0.56888846009216565</v>
      </c>
      <c r="AL40" s="111"/>
      <c r="AM40" s="112" t="s">
        <v>109</v>
      </c>
      <c r="AN40" s="112" t="s">
        <v>139</v>
      </c>
      <c r="AO40" s="112" t="s">
        <v>115</v>
      </c>
      <c r="AP40" s="113"/>
      <c r="AQ40" s="114"/>
    </row>
    <row r="41" spans="1:43" ht="40.5" customHeight="1" thickBot="1" x14ac:dyDescent="0.3">
      <c r="A41" s="115" t="s">
        <v>106</v>
      </c>
      <c r="B41" s="93" t="s">
        <v>57</v>
      </c>
      <c r="C41" s="93">
        <f>+'[2]COSOLIDADO PLAN DE ACCIÓN'!L36</f>
        <v>1</v>
      </c>
      <c r="D41" s="93">
        <f>+'[2]COSOLIDADO PLAN DE ACCIÓN'!P36</f>
        <v>1</v>
      </c>
      <c r="E41" s="93">
        <f>+'[2]COSOLIDADO PLAN DE ACCIÓN'!N36</f>
        <v>1</v>
      </c>
      <c r="F41" s="116">
        <f>+'[2]COSOLIDADO PLAN DE ACCIÓN'!R36</f>
        <v>0.5</v>
      </c>
      <c r="G41" s="97"/>
      <c r="H41" s="98">
        <f t="shared" si="18"/>
        <v>1</v>
      </c>
      <c r="I41" s="99">
        <f t="shared" si="14"/>
        <v>0.5</v>
      </c>
      <c r="J41" s="112"/>
      <c r="K41" s="125" t="s">
        <v>49</v>
      </c>
      <c r="L41" s="125" t="s">
        <v>59</v>
      </c>
      <c r="M41" s="117" t="s">
        <v>60</v>
      </c>
      <c r="N41" s="117" t="s">
        <v>51</v>
      </c>
      <c r="O41" s="118" t="s">
        <v>140</v>
      </c>
      <c r="P41" s="93">
        <v>110471467</v>
      </c>
      <c r="Q41" s="93">
        <v>77685691</v>
      </c>
      <c r="R41" s="125" t="s">
        <v>53</v>
      </c>
      <c r="S41" s="98">
        <f t="shared" si="15"/>
        <v>0.5</v>
      </c>
      <c r="T41" s="93">
        <f>+'[2]COSOLIDADO PLAN DE ACCIÓN'!D36</f>
        <v>1</v>
      </c>
      <c r="U41" s="110">
        <f>+'[2]COSOLIDADO PLAN DE ACCIÓN'!F36</f>
        <v>0.625</v>
      </c>
      <c r="V41" s="99">
        <f t="shared" si="12"/>
        <v>0.625</v>
      </c>
      <c r="W41" s="99">
        <f>+Y41/$Y$31</f>
        <v>4.6769103332780927E-2</v>
      </c>
      <c r="X41" s="99">
        <f t="shared" si="16"/>
        <v>4.6769103332780927E-2</v>
      </c>
      <c r="Y41" s="93">
        <f>+'[2]COSOLIDADO PLAN DE ACCIÓN'!Q36</f>
        <v>186884283</v>
      </c>
      <c r="Z41" s="93">
        <v>159552930</v>
      </c>
      <c r="AA41" s="93">
        <f>+'[2]COSOLIDADO PLAN DE ACCIÓN'!S36</f>
        <v>110471467</v>
      </c>
      <c r="AB41" s="99">
        <f t="shared" si="2"/>
        <v>0.59112229892547996</v>
      </c>
      <c r="AC41" s="105">
        <f>+'[2]320201-1.1'!S111+'[2]320201-1.1'!S124</f>
        <v>77686622</v>
      </c>
      <c r="AD41" s="99">
        <f t="shared" si="3"/>
        <v>0.41569371566682256</v>
      </c>
      <c r="AE41" s="106">
        <f t="shared" si="10"/>
        <v>32784845</v>
      </c>
      <c r="AF41" s="127">
        <v>23375524</v>
      </c>
      <c r="AG41" s="106">
        <v>23369345</v>
      </c>
      <c r="AH41" s="109">
        <f t="shared" si="4"/>
        <v>0.99973566367966771</v>
      </c>
      <c r="AI41" s="110">
        <f>+'[2]COSOLIDADO PLAN DE ACCIÓN'!E36</f>
        <v>461959965.48799998</v>
      </c>
      <c r="AJ41" s="93">
        <f>+'[2]COSOLIDADO PLAN DE ACCIÓN'!G36</f>
        <v>317551700</v>
      </c>
      <c r="AK41" s="109">
        <f t="shared" si="17"/>
        <v>0.6874009085712619</v>
      </c>
      <c r="AL41" s="111"/>
      <c r="AM41" s="112" t="s">
        <v>109</v>
      </c>
      <c r="AN41" s="120"/>
      <c r="AO41" s="112" t="s">
        <v>115</v>
      </c>
      <c r="AP41" s="113"/>
      <c r="AQ41" s="114"/>
    </row>
    <row r="42" spans="1:43" ht="40.5" customHeight="1" thickBot="1" x14ac:dyDescent="0.3">
      <c r="A42" s="71" t="s">
        <v>141</v>
      </c>
      <c r="B42" s="80"/>
      <c r="C42" s="121"/>
      <c r="D42" s="121"/>
      <c r="E42" s="121"/>
      <c r="F42" s="121"/>
      <c r="G42" s="122"/>
      <c r="H42" s="75">
        <f>AVERAGE(H43:H45)</f>
        <v>1</v>
      </c>
      <c r="I42" s="76">
        <f>AVERAGE(I43:I45)</f>
        <v>0.5</v>
      </c>
      <c r="J42" s="89"/>
      <c r="K42" s="80"/>
      <c r="L42" s="80"/>
      <c r="M42" s="87"/>
      <c r="N42" s="87"/>
      <c r="O42" s="87"/>
      <c r="P42" s="80">
        <v>668148850</v>
      </c>
      <c r="Q42" s="80">
        <f>SUM(Q43:Q45)</f>
        <v>224238324</v>
      </c>
      <c r="R42" s="80"/>
      <c r="S42" s="75">
        <f>+I42</f>
        <v>0.5</v>
      </c>
      <c r="T42" s="80"/>
      <c r="U42" s="85"/>
      <c r="V42" s="76">
        <f>+(V43*W43)+(V44*W44)+(V45*W45)</f>
        <v>0.625</v>
      </c>
      <c r="W42" s="76">
        <f>+Y42/$Y$30</f>
        <v>0.20569077531104199</v>
      </c>
      <c r="X42" s="76">
        <f>+W42</f>
        <v>0.20569077531104199</v>
      </c>
      <c r="Y42" s="80">
        <f>SUM(Y43:Y45)</f>
        <v>1334171042.632</v>
      </c>
      <c r="Z42" s="80">
        <f>SUM(Z43:Z45)</f>
        <v>975817451</v>
      </c>
      <c r="AA42" s="80">
        <f>SUM(AA43:AA45)</f>
        <v>668148850</v>
      </c>
      <c r="AB42" s="76">
        <f t="shared" si="2"/>
        <v>0.50079699577492132</v>
      </c>
      <c r="AC42" s="81">
        <f>SUM(AC43:AC45)</f>
        <v>236534413</v>
      </c>
      <c r="AD42" s="76">
        <f t="shared" si="3"/>
        <v>0.17728942200197528</v>
      </c>
      <c r="AE42" s="82">
        <f>SUM(AE43:AE45)</f>
        <v>431614437</v>
      </c>
      <c r="AF42" s="83">
        <f>SUM(AF43:AF45)</f>
        <v>152769776</v>
      </c>
      <c r="AG42" s="81">
        <f>SUM(AG43:AG45)</f>
        <v>119161687</v>
      </c>
      <c r="AH42" s="86">
        <f t="shared" si="4"/>
        <v>0.78000825896347459</v>
      </c>
      <c r="AI42" s="85">
        <f>SUM(AI43:AI45)</f>
        <v>4983494184.6571102</v>
      </c>
      <c r="AJ42" s="80">
        <f>SUM(AJ43:AJ45)</f>
        <v>2831279307.0560002</v>
      </c>
      <c r="AK42" s="86">
        <f>+AJ42/AI42</f>
        <v>0.56813135566060802</v>
      </c>
      <c r="AL42" s="87"/>
      <c r="AM42" s="88" t="s">
        <v>109</v>
      </c>
      <c r="AN42" s="89"/>
      <c r="AO42" s="89"/>
      <c r="AP42" s="90"/>
      <c r="AQ42" s="91"/>
    </row>
    <row r="43" spans="1:43" ht="55.5" customHeight="1" thickBot="1" x14ac:dyDescent="0.3">
      <c r="A43" s="115" t="s">
        <v>142</v>
      </c>
      <c r="B43" s="93" t="s">
        <v>93</v>
      </c>
      <c r="C43" s="93">
        <f>+'[2]COSOLIDADO PLAN DE ACCIÓN'!L38</f>
        <v>1</v>
      </c>
      <c r="D43" s="93">
        <f>+'[2]COSOLIDADO PLAN DE ACCIÓN'!P38</f>
        <v>1</v>
      </c>
      <c r="E43" s="93">
        <f>+'[2]COSOLIDADO PLAN DE ACCIÓN'!N38</f>
        <v>1</v>
      </c>
      <c r="F43" s="93">
        <f>+'[2]COSOLIDADO PLAN DE ACCIÓN'!R38</f>
        <v>0.5</v>
      </c>
      <c r="G43" s="97"/>
      <c r="H43" s="98">
        <f>+E43/C43</f>
        <v>1</v>
      </c>
      <c r="I43" s="99">
        <f>+F43/D43</f>
        <v>0.5</v>
      </c>
      <c r="J43" s="112" t="s">
        <v>143</v>
      </c>
      <c r="K43" s="125" t="s">
        <v>49</v>
      </c>
      <c r="L43" s="125" t="s">
        <v>50</v>
      </c>
      <c r="M43" s="117"/>
      <c r="N43" s="117" t="s">
        <v>51</v>
      </c>
      <c r="O43" s="118" t="s">
        <v>144</v>
      </c>
      <c r="P43" s="93">
        <v>439523341</v>
      </c>
      <c r="Q43" s="93">
        <v>158370870</v>
      </c>
      <c r="R43" s="125" t="s">
        <v>53</v>
      </c>
      <c r="S43" s="98">
        <f>+I43</f>
        <v>0.5</v>
      </c>
      <c r="T43" s="93">
        <f>+'[2]COSOLIDADO PLAN DE ACCIÓN'!D38</f>
        <v>1</v>
      </c>
      <c r="U43" s="132">
        <f>+'[2]COSOLIDADO PLAN DE ACCIÓN'!F38</f>
        <v>0.625</v>
      </c>
      <c r="V43" s="99">
        <f t="shared" ref="V43:V45" si="19">IF(U43/T43&gt;=100%,100%,U43/T43)</f>
        <v>0.625</v>
      </c>
      <c r="W43" s="99">
        <f t="shared" ref="W43:W44" si="20">+Y43/$Y$42</f>
        <v>0.58836805887333254</v>
      </c>
      <c r="X43" s="99">
        <f>+W43</f>
        <v>0.58836805887333254</v>
      </c>
      <c r="Y43" s="93">
        <f>+'[2]COSOLIDADO PLAN DE ACCIÓN'!Q38</f>
        <v>784983626.55840003</v>
      </c>
      <c r="Z43" s="93">
        <v>619747396</v>
      </c>
      <c r="AA43" s="93">
        <f>+'[2]COSOLIDADO PLAN DE ACCIÓN'!S38</f>
        <v>439523341</v>
      </c>
      <c r="AB43" s="99">
        <f t="shared" si="2"/>
        <v>0.55991402384658662</v>
      </c>
      <c r="AC43" s="105">
        <f>+'[2]320202-4.2'!S55</f>
        <v>170666959</v>
      </c>
      <c r="AD43" s="99">
        <f t="shared" si="3"/>
        <v>0.21741467366428308</v>
      </c>
      <c r="AE43" s="106">
        <f t="shared" ref="AE43:AE45" si="21">+AA43-AC43</f>
        <v>268856382</v>
      </c>
      <c r="AF43" s="127">
        <v>71983919</v>
      </c>
      <c r="AG43" s="105">
        <v>61467830</v>
      </c>
      <c r="AH43" s="109">
        <f t="shared" si="4"/>
        <v>0.85391057966710593</v>
      </c>
      <c r="AI43" s="110">
        <f>+'[2]COSOLIDADO PLAN DE ACCIÓN'!E38</f>
        <v>3329189905.6031342</v>
      </c>
      <c r="AJ43" s="93">
        <f>+'[2]COSOLIDADO PLAN DE ACCIÓN'!G38</f>
        <v>1948024587.0560002</v>
      </c>
      <c r="AK43" s="109">
        <f>+AJ43/AI43</f>
        <v>0.58513471513818183</v>
      </c>
      <c r="AL43" s="111"/>
      <c r="AM43" s="112" t="s">
        <v>109</v>
      </c>
      <c r="AN43" s="120"/>
      <c r="AO43" s="112" t="s">
        <v>73</v>
      </c>
      <c r="AP43" s="113"/>
      <c r="AQ43" s="114"/>
    </row>
    <row r="44" spans="1:43" ht="51.75" customHeight="1" thickBot="1" x14ac:dyDescent="0.3">
      <c r="A44" s="115" t="s">
        <v>145</v>
      </c>
      <c r="B44" s="93" t="s">
        <v>93</v>
      </c>
      <c r="C44" s="93">
        <f>+'[2]COSOLIDADO PLAN DE ACCIÓN'!L39</f>
        <v>1</v>
      </c>
      <c r="D44" s="93">
        <f>+'[2]COSOLIDADO PLAN DE ACCIÓN'!P39</f>
        <v>1</v>
      </c>
      <c r="E44" s="93">
        <f>+'[2]COSOLIDADO PLAN DE ACCIÓN'!N39</f>
        <v>1</v>
      </c>
      <c r="F44" s="93">
        <f>+'[2]COSOLIDADO PLAN DE ACCIÓN'!R39</f>
        <v>0.5</v>
      </c>
      <c r="G44" s="97"/>
      <c r="H44" s="98">
        <f t="shared" ref="H44:I45" si="22">+E44/C44</f>
        <v>1</v>
      </c>
      <c r="I44" s="99">
        <f t="shared" si="22"/>
        <v>0.5</v>
      </c>
      <c r="J44" s="112" t="s">
        <v>146</v>
      </c>
      <c r="K44" s="125" t="s">
        <v>49</v>
      </c>
      <c r="L44" s="125" t="s">
        <v>50</v>
      </c>
      <c r="M44" s="117"/>
      <c r="N44" s="117" t="s">
        <v>51</v>
      </c>
      <c r="O44" s="118" t="s">
        <v>147</v>
      </c>
      <c r="P44" s="93">
        <v>50888944</v>
      </c>
      <c r="Q44" s="93">
        <v>23006136</v>
      </c>
      <c r="R44" s="125" t="s">
        <v>53</v>
      </c>
      <c r="S44" s="98">
        <f t="shared" ref="S44:S45" si="23">+I44</f>
        <v>0.5</v>
      </c>
      <c r="T44" s="93">
        <f>+'[2]COSOLIDADO PLAN DE ACCIÓN'!D39</f>
        <v>1</v>
      </c>
      <c r="U44" s="132">
        <f>+'[2]COSOLIDADO PLAN DE ACCIÓN'!F39</f>
        <v>0.625</v>
      </c>
      <c r="V44" s="99">
        <f t="shared" si="19"/>
        <v>0.625</v>
      </c>
      <c r="W44" s="99">
        <f t="shared" si="20"/>
        <v>6.9855391806541239E-2</v>
      </c>
      <c r="X44" s="99">
        <f t="shared" ref="X44:X45" si="24">+W44</f>
        <v>6.9855391806541239E-2</v>
      </c>
      <c r="Y44" s="93">
        <f>+'[2]COSOLIDADO PLAN DE ACCIÓN'!Q39</f>
        <v>93199040.920000002</v>
      </c>
      <c r="Z44" s="93">
        <v>55551320</v>
      </c>
      <c r="AA44" s="93">
        <f>+'[2]COSOLIDADO PLAN DE ACCIÓN'!S39</f>
        <v>50888944</v>
      </c>
      <c r="AB44" s="99">
        <f t="shared" si="2"/>
        <v>0.54602433134137018</v>
      </c>
      <c r="AC44" s="105">
        <f>+'[2]320202-4.2'!S62</f>
        <v>23006136</v>
      </c>
      <c r="AD44" s="99">
        <f t="shared" si="3"/>
        <v>0.24684949300870981</v>
      </c>
      <c r="AE44" s="106">
        <f t="shared" si="21"/>
        <v>27882808</v>
      </c>
      <c r="AF44" s="127">
        <v>15019840</v>
      </c>
      <c r="AG44" s="105">
        <v>15019840</v>
      </c>
      <c r="AH44" s="109">
        <f t="shared" si="4"/>
        <v>1</v>
      </c>
      <c r="AI44" s="110">
        <f>+'[2]COSOLIDADO PLAN DE ACCIÓN'!E39</f>
        <v>216075153.18400002</v>
      </c>
      <c r="AJ44" s="93">
        <f>+'[2]COSOLIDADO PLAN DE ACCIÓN'!G39</f>
        <v>131439864</v>
      </c>
      <c r="AK44" s="109">
        <f t="shared" ref="AK44:AK45" si="25">+AJ44/AI44</f>
        <v>0.6083062400426561</v>
      </c>
      <c r="AL44" s="111"/>
      <c r="AM44" s="112" t="s">
        <v>109</v>
      </c>
      <c r="AN44" s="120"/>
      <c r="AO44" s="112" t="s">
        <v>73</v>
      </c>
      <c r="AP44" s="113"/>
      <c r="AQ44" s="114"/>
    </row>
    <row r="45" spans="1:43" ht="68.25" customHeight="1" thickBot="1" x14ac:dyDescent="0.3">
      <c r="A45" s="115" t="s">
        <v>148</v>
      </c>
      <c r="B45" s="93" t="s">
        <v>93</v>
      </c>
      <c r="C45" s="93">
        <f>+'[2]COSOLIDADO PLAN DE ACCIÓN'!L40</f>
        <v>1</v>
      </c>
      <c r="D45" s="93">
        <f>+'[2]COSOLIDADO PLAN DE ACCIÓN'!P40</f>
        <v>1</v>
      </c>
      <c r="E45" s="93">
        <f>+'[2]COSOLIDADO PLAN DE ACCIÓN'!N40</f>
        <v>1</v>
      </c>
      <c r="F45" s="93">
        <f>+'[2]COSOLIDADO PLAN DE ACCIÓN'!R40</f>
        <v>0.5</v>
      </c>
      <c r="G45" s="97"/>
      <c r="H45" s="98">
        <f t="shared" si="22"/>
        <v>1</v>
      </c>
      <c r="I45" s="99">
        <f t="shared" si="22"/>
        <v>0.5</v>
      </c>
      <c r="J45" s="112" t="s">
        <v>149</v>
      </c>
      <c r="K45" s="125" t="s">
        <v>49</v>
      </c>
      <c r="L45" s="125" t="s">
        <v>50</v>
      </c>
      <c r="M45" s="117"/>
      <c r="N45" s="117" t="s">
        <v>51</v>
      </c>
      <c r="O45" s="118" t="s">
        <v>150</v>
      </c>
      <c r="P45" s="93">
        <v>177736565</v>
      </c>
      <c r="Q45" s="93">
        <v>42861318</v>
      </c>
      <c r="R45" s="125" t="s">
        <v>53</v>
      </c>
      <c r="S45" s="98">
        <f t="shared" si="23"/>
        <v>0.5</v>
      </c>
      <c r="T45" s="93">
        <f>+'[2]COSOLIDADO PLAN DE ACCIÓN'!D40</f>
        <v>1</v>
      </c>
      <c r="U45" s="132">
        <f>+'[2]COSOLIDADO PLAN DE ACCIÓN'!F40</f>
        <v>0.625</v>
      </c>
      <c r="V45" s="99">
        <f t="shared" si="19"/>
        <v>0.625</v>
      </c>
      <c r="W45" s="99">
        <f>+Y45/$Y$42</f>
        <v>0.3417765493201263</v>
      </c>
      <c r="X45" s="99">
        <f t="shared" si="24"/>
        <v>0.3417765493201263</v>
      </c>
      <c r="Y45" s="93">
        <f>+'[2]COSOLIDADO PLAN DE ACCIÓN'!Q40</f>
        <v>455988375.1536001</v>
      </c>
      <c r="Z45" s="93">
        <v>300518735</v>
      </c>
      <c r="AA45" s="93">
        <f>+'[2]COSOLIDADO PLAN DE ACCIÓN'!S40</f>
        <v>177736565</v>
      </c>
      <c r="AB45" s="99">
        <f t="shared" si="2"/>
        <v>0.3897831056331848</v>
      </c>
      <c r="AC45" s="105">
        <f>+'[2]320202-4.2'!S83</f>
        <v>42861318</v>
      </c>
      <c r="AD45" s="99">
        <f t="shared" si="3"/>
        <v>9.3996514682116894E-2</v>
      </c>
      <c r="AE45" s="106">
        <f t="shared" si="21"/>
        <v>134875247</v>
      </c>
      <c r="AF45" s="127">
        <v>65766017</v>
      </c>
      <c r="AG45" s="105">
        <v>42674017</v>
      </c>
      <c r="AH45" s="109">
        <f t="shared" si="4"/>
        <v>0.64887640983336425</v>
      </c>
      <c r="AI45" s="110">
        <f>+'[2]COSOLIDADO PLAN DE ACCIÓN'!E40</f>
        <v>1438229125.869976</v>
      </c>
      <c r="AJ45" s="93">
        <f>+'[2]COSOLIDADO PLAN DE ACCIÓN'!G40</f>
        <v>751814856</v>
      </c>
      <c r="AK45" s="109">
        <f t="shared" si="25"/>
        <v>0.52273649759751029</v>
      </c>
      <c r="AL45" s="111"/>
      <c r="AM45" s="112" t="s">
        <v>109</v>
      </c>
      <c r="AN45" s="120"/>
      <c r="AO45" s="112" t="s">
        <v>73</v>
      </c>
      <c r="AP45" s="113"/>
      <c r="AQ45" s="114"/>
    </row>
    <row r="46" spans="1:43" ht="58.5" customHeight="1" thickBot="1" x14ac:dyDescent="0.3">
      <c r="A46" s="71" t="s">
        <v>151</v>
      </c>
      <c r="B46" s="80"/>
      <c r="C46" s="121"/>
      <c r="D46" s="121"/>
      <c r="E46" s="121"/>
      <c r="F46" s="121"/>
      <c r="G46" s="122"/>
      <c r="H46" s="75">
        <f>AVERAGE(H47:H51)</f>
        <v>0.72729999999999995</v>
      </c>
      <c r="I46" s="76">
        <f>AVERAGE(I47:I51)</f>
        <v>6.9999999999999993E-2</v>
      </c>
      <c r="J46" s="89"/>
      <c r="K46" s="80"/>
      <c r="L46" s="80"/>
      <c r="M46" s="87"/>
      <c r="N46" s="87"/>
      <c r="O46" s="87"/>
      <c r="P46" s="80">
        <v>23564374</v>
      </c>
      <c r="Q46" s="80">
        <f>SUM(Q47:Q51)</f>
        <v>8946455</v>
      </c>
      <c r="R46" s="80"/>
      <c r="S46" s="75">
        <f>+I46</f>
        <v>6.9999999999999993E-2</v>
      </c>
      <c r="T46" s="80"/>
      <c r="U46" s="85"/>
      <c r="V46" s="76">
        <f>+(V47*W47)+(V48*W48)+(V49*W49)*(V50*W50)+(V51*W51)</f>
        <v>0.36853132266273891</v>
      </c>
      <c r="W46" s="76">
        <f>+Y46/$Y$30</f>
        <v>0.17825769552141424</v>
      </c>
      <c r="X46" s="76">
        <f>+W46</f>
        <v>0.17825769552141424</v>
      </c>
      <c r="Y46" s="80">
        <f>SUM(Y47:Y51)</f>
        <v>1156231995</v>
      </c>
      <c r="Z46" s="80">
        <f>SUM(Z47:Z51)</f>
        <v>329572958</v>
      </c>
      <c r="AA46" s="80">
        <f>SUM(AA47:AA51)</f>
        <v>23564374</v>
      </c>
      <c r="AB46" s="76">
        <f t="shared" si="2"/>
        <v>2.0380316495220322E-2</v>
      </c>
      <c r="AC46" s="81">
        <f>SUM(AC47:AC51)</f>
        <v>8946455</v>
      </c>
      <c r="AD46" s="76">
        <f t="shared" si="3"/>
        <v>7.7375950835887391E-3</v>
      </c>
      <c r="AE46" s="82">
        <f>SUM(AE47:AE51)</f>
        <v>14617919</v>
      </c>
      <c r="AF46" s="83">
        <f>SUM(AF47:AF51)</f>
        <v>217124958</v>
      </c>
      <c r="AG46" s="81">
        <f>SUM(AG47:AG51)</f>
        <v>92083089</v>
      </c>
      <c r="AH46" s="86">
        <f t="shared" si="4"/>
        <v>0.42410181606114578</v>
      </c>
      <c r="AI46" s="85">
        <f>SUM(AI47:AI51)</f>
        <v>5691258344.5</v>
      </c>
      <c r="AJ46" s="80">
        <f>SUM(AJ47:AJ51)</f>
        <v>2164709930.8360004</v>
      </c>
      <c r="AK46" s="86">
        <f>+AJ46/AI46</f>
        <v>0.38035699660830963</v>
      </c>
      <c r="AL46" s="87"/>
      <c r="AM46" s="88" t="s">
        <v>109</v>
      </c>
      <c r="AN46" s="89"/>
      <c r="AO46" s="89"/>
      <c r="AP46" s="90"/>
      <c r="AQ46" s="91"/>
    </row>
    <row r="47" spans="1:43" ht="40.5" customHeight="1" thickBot="1" x14ac:dyDescent="0.3">
      <c r="A47" s="92" t="s">
        <v>152</v>
      </c>
      <c r="B47" s="93" t="s">
        <v>47</v>
      </c>
      <c r="C47" s="123">
        <f>+'[2]COSOLIDADO PLAN DE ACCIÓN'!L42</f>
        <v>100</v>
      </c>
      <c r="D47" s="95">
        <f>+'[2]COSOLIDADO PLAN DE ACCIÓN'!P42</f>
        <v>100</v>
      </c>
      <c r="E47" s="123">
        <f>+'[2]COSOLIDADO PLAN DE ACCIÓN'!N42</f>
        <v>30</v>
      </c>
      <c r="F47" s="133">
        <f>+'[2]COSOLIDADO PLAN DE ACCIÓN'!R42</f>
        <v>5</v>
      </c>
      <c r="G47" s="97">
        <v>70</v>
      </c>
      <c r="H47" s="98">
        <f>+(E47/C47)</f>
        <v>0.3</v>
      </c>
      <c r="I47" s="99">
        <f>+(F47/D47)</f>
        <v>0.05</v>
      </c>
      <c r="J47" s="112" t="s">
        <v>153</v>
      </c>
      <c r="K47" s="125" t="s">
        <v>49</v>
      </c>
      <c r="L47" s="125" t="s">
        <v>50</v>
      </c>
      <c r="M47" s="117"/>
      <c r="N47" s="117" t="s">
        <v>51</v>
      </c>
      <c r="O47" s="118"/>
      <c r="P47" s="93">
        <v>0</v>
      </c>
      <c r="Q47" s="93"/>
      <c r="R47" s="125" t="s">
        <v>53</v>
      </c>
      <c r="S47" s="98">
        <f>+I47</f>
        <v>0.05</v>
      </c>
      <c r="T47" s="93">
        <f>+'[2]COSOLIDADO PLAN DE ACCIÓN'!D42</f>
        <v>100</v>
      </c>
      <c r="U47" s="110">
        <f>+'[2]COSOLIDADO PLAN DE ACCIÓN'!F42</f>
        <v>34.25</v>
      </c>
      <c r="V47" s="99">
        <f t="shared" ref="V47:V51" si="26">IF(U47/T47&gt;=100%,100%,U47/T47)</f>
        <v>0.34250000000000003</v>
      </c>
      <c r="W47" s="99">
        <f t="shared" ref="W47:W50" si="27">+Y47/$Y$46</f>
        <v>9.6888921500567882E-2</v>
      </c>
      <c r="X47" s="99">
        <f>+W47</f>
        <v>9.6888921500567882E-2</v>
      </c>
      <c r="Y47" s="93">
        <f>+'[2]COSOLIDADO PLAN DE ACCIÓN'!Q42</f>
        <v>112026071</v>
      </c>
      <c r="Z47" s="93">
        <v>80000000</v>
      </c>
      <c r="AA47" s="93">
        <f>+'[2]COSOLIDADO PLAN DE ACCIÓN'!S42</f>
        <v>0</v>
      </c>
      <c r="AB47" s="99">
        <f t="shared" si="2"/>
        <v>0</v>
      </c>
      <c r="AC47" s="105">
        <f>+'[2]320203-1.2'!S14</f>
        <v>0</v>
      </c>
      <c r="AD47" s="99">
        <f t="shared" si="3"/>
        <v>0</v>
      </c>
      <c r="AE47" s="106">
        <f t="shared" si="10"/>
        <v>0</v>
      </c>
      <c r="AF47" s="127">
        <v>80000000</v>
      </c>
      <c r="AG47" s="105">
        <v>33063250</v>
      </c>
      <c r="AH47" s="109">
        <f t="shared" si="4"/>
        <v>0.41329062500000002</v>
      </c>
      <c r="AI47" s="110">
        <f>+'[2]COSOLIDADO PLAN DE ACCIÓN'!E42</f>
        <v>472320385</v>
      </c>
      <c r="AJ47" s="93">
        <f>+'[2]COSOLIDADO PLAN DE ACCIÓN'!G42</f>
        <v>241220069.81999999</v>
      </c>
      <c r="AK47" s="109">
        <f>+AJ47/AI47</f>
        <v>0.51071280740931813</v>
      </c>
      <c r="AL47" s="111"/>
      <c r="AM47" s="112" t="s">
        <v>109</v>
      </c>
      <c r="AN47" s="112" t="s">
        <v>154</v>
      </c>
      <c r="AO47" s="112" t="s">
        <v>73</v>
      </c>
      <c r="AP47" s="113"/>
      <c r="AQ47" s="114"/>
    </row>
    <row r="48" spans="1:43" ht="48.75" customHeight="1" thickBot="1" x14ac:dyDescent="0.3">
      <c r="A48" s="115" t="s">
        <v>155</v>
      </c>
      <c r="B48" s="93" t="s">
        <v>47</v>
      </c>
      <c r="C48" s="123">
        <f>+'[2]COSOLIDADO PLAN DE ACCIÓN'!L43</f>
        <v>100</v>
      </c>
      <c r="D48" s="95">
        <f>+'[2]COSOLIDADO PLAN DE ACCIÓN'!P43</f>
        <v>100</v>
      </c>
      <c r="E48" s="123">
        <f>+'[2]COSOLIDADO PLAN DE ACCIÓN'!N43</f>
        <v>100</v>
      </c>
      <c r="F48" s="133">
        <f>+'[2]COSOLIDADO PLAN DE ACCIÓN'!R43</f>
        <v>15</v>
      </c>
      <c r="G48" s="97"/>
      <c r="H48" s="98">
        <f t="shared" ref="H48:I51" si="28">+(E48/C48)</f>
        <v>1</v>
      </c>
      <c r="I48" s="99">
        <f t="shared" si="28"/>
        <v>0.15</v>
      </c>
      <c r="J48" s="112" t="s">
        <v>156</v>
      </c>
      <c r="K48" s="125" t="s">
        <v>49</v>
      </c>
      <c r="L48" s="125" t="s">
        <v>50</v>
      </c>
      <c r="M48" s="117"/>
      <c r="N48" s="117" t="s">
        <v>51</v>
      </c>
      <c r="O48" s="118" t="s">
        <v>157</v>
      </c>
      <c r="P48" s="93">
        <v>23564374</v>
      </c>
      <c r="Q48" s="93">
        <v>8946455</v>
      </c>
      <c r="R48" s="125" t="s">
        <v>53</v>
      </c>
      <c r="S48" s="98">
        <f t="shared" ref="S48:S61" si="29">+I48</f>
        <v>0.15</v>
      </c>
      <c r="T48" s="93">
        <f>+'[2]COSOLIDADO PLAN DE ACCIÓN'!D43</f>
        <v>100</v>
      </c>
      <c r="U48" s="110">
        <f>+'[2]COSOLIDADO PLAN DE ACCIÓN'!F43</f>
        <v>53.75</v>
      </c>
      <c r="V48" s="99">
        <f t="shared" si="26"/>
        <v>0.53749999999999998</v>
      </c>
      <c r="W48" s="99">
        <f>+Y48/$Y$46</f>
        <v>0.30622200867223015</v>
      </c>
      <c r="X48" s="99">
        <f t="shared" ref="X48:X51" si="30">+W48</f>
        <v>0.30622200867223015</v>
      </c>
      <c r="Y48" s="93">
        <f>+'[2]COSOLIDADO PLAN DE ACCIÓN'!Q43</f>
        <v>354063684</v>
      </c>
      <c r="Z48" s="133">
        <v>169184696</v>
      </c>
      <c r="AA48" s="93">
        <f>+'[2]COSOLIDADO PLAN DE ACCIÓN'!S43</f>
        <v>23564374</v>
      </c>
      <c r="AB48" s="99">
        <f t="shared" si="2"/>
        <v>6.6554055286844951E-2</v>
      </c>
      <c r="AC48" s="105">
        <f>+'[2]320203-1.2'!S21</f>
        <v>8946455</v>
      </c>
      <c r="AD48" s="99">
        <f t="shared" si="3"/>
        <v>2.5267926094335053E-2</v>
      </c>
      <c r="AE48" s="106">
        <f t="shared" si="10"/>
        <v>14617919</v>
      </c>
      <c r="AF48" s="127">
        <v>56736696</v>
      </c>
      <c r="AG48" s="105">
        <v>56736696</v>
      </c>
      <c r="AH48" s="109">
        <f t="shared" si="4"/>
        <v>1</v>
      </c>
      <c r="AI48" s="110">
        <f>+'[2]COSOLIDADO PLAN DE ACCIÓN'!E43</f>
        <v>1329929782.4000001</v>
      </c>
      <c r="AJ48" s="93">
        <f>+'[2]COSOLIDADO PLAN DE ACCIÓN'!G43</f>
        <v>497000649.764</v>
      </c>
      <c r="AK48" s="109">
        <f t="shared" ref="AK48:AK61" si="31">+AJ48/AI48</f>
        <v>0.37370442886624383</v>
      </c>
      <c r="AL48" s="111"/>
      <c r="AM48" s="112" t="s">
        <v>109</v>
      </c>
      <c r="AN48" s="112" t="s">
        <v>158</v>
      </c>
      <c r="AO48" s="112" t="s">
        <v>73</v>
      </c>
      <c r="AP48" s="113"/>
      <c r="AQ48" s="114"/>
    </row>
    <row r="49" spans="1:44" ht="40.5" customHeight="1" thickBot="1" x14ac:dyDescent="0.3">
      <c r="A49" s="115" t="s">
        <v>159</v>
      </c>
      <c r="B49" s="93" t="s">
        <v>160</v>
      </c>
      <c r="C49" s="123">
        <f>+'[2]COSOLIDADO PLAN DE ACCIÓN'!L44</f>
        <v>300</v>
      </c>
      <c r="D49" s="95">
        <f>+'[2]COSOLIDADO PLAN DE ACCIÓN'!P44</f>
        <v>300</v>
      </c>
      <c r="E49" s="123">
        <f>+'[2]COSOLIDADO PLAN DE ACCIÓN'!N44</f>
        <v>300</v>
      </c>
      <c r="F49" s="133">
        <v>0</v>
      </c>
      <c r="G49" s="97"/>
      <c r="H49" s="98">
        <f t="shared" si="28"/>
        <v>1</v>
      </c>
      <c r="I49" s="99">
        <f t="shared" si="28"/>
        <v>0</v>
      </c>
      <c r="J49" s="112" t="s">
        <v>156</v>
      </c>
      <c r="K49" s="125" t="s">
        <v>49</v>
      </c>
      <c r="L49" s="125" t="s">
        <v>50</v>
      </c>
      <c r="M49" s="117"/>
      <c r="N49" s="117" t="s">
        <v>51</v>
      </c>
      <c r="O49" s="118"/>
      <c r="P49" s="93">
        <v>0</v>
      </c>
      <c r="Q49" s="93"/>
      <c r="R49" s="125" t="s">
        <v>53</v>
      </c>
      <c r="S49" s="98">
        <f t="shared" si="29"/>
        <v>0</v>
      </c>
      <c r="T49" s="93">
        <f>+'[2]COSOLIDADO PLAN DE ACCIÓN'!D44</f>
        <v>1400</v>
      </c>
      <c r="U49" s="110">
        <f>+'[2]COSOLIDADO PLAN DE ACCIÓN'!F44</f>
        <v>815</v>
      </c>
      <c r="V49" s="99">
        <f t="shared" si="26"/>
        <v>0.58214285714285718</v>
      </c>
      <c r="W49" s="99">
        <f t="shared" si="27"/>
        <v>0.18297329421332956</v>
      </c>
      <c r="X49" s="99">
        <f t="shared" si="30"/>
        <v>0.18297329421332956</v>
      </c>
      <c r="Y49" s="93">
        <f>+'[2]COSOLIDADO PLAN DE ACCIÓN'!Q44</f>
        <v>211559577</v>
      </c>
      <c r="Z49" s="133">
        <v>78380262</v>
      </c>
      <c r="AA49" s="93">
        <f>+'[2]COSOLIDADO PLAN DE ACCIÓN'!S44</f>
        <v>0</v>
      </c>
      <c r="AB49" s="99">
        <f t="shared" si="2"/>
        <v>0</v>
      </c>
      <c r="AC49" s="105">
        <f>+'[2]320203-1.2'!S29</f>
        <v>0</v>
      </c>
      <c r="AD49" s="99">
        <f t="shared" si="3"/>
        <v>0</v>
      </c>
      <c r="AE49" s="106">
        <f t="shared" si="10"/>
        <v>0</v>
      </c>
      <c r="AF49" s="127">
        <v>78380262</v>
      </c>
      <c r="AG49" s="105">
        <v>2283143</v>
      </c>
      <c r="AH49" s="109">
        <f t="shared" si="4"/>
        <v>2.9129055475726785E-2</v>
      </c>
      <c r="AI49" s="110">
        <f>+'[2]COSOLIDADO PLAN DE ACCIÓN'!E44</f>
        <v>1509233764.0999999</v>
      </c>
      <c r="AJ49" s="93">
        <f>+'[2]COSOLIDADO PLAN DE ACCIÓN'!G44</f>
        <v>752012098.14400005</v>
      </c>
      <c r="AK49" s="109">
        <f t="shared" si="31"/>
        <v>0.49827410175417508</v>
      </c>
      <c r="AL49" s="111"/>
      <c r="AM49" s="112" t="s">
        <v>109</v>
      </c>
      <c r="AN49" s="112" t="s">
        <v>158</v>
      </c>
      <c r="AO49" s="112" t="s">
        <v>73</v>
      </c>
      <c r="AP49" s="113"/>
      <c r="AQ49" s="114"/>
    </row>
    <row r="50" spans="1:44" ht="56.25" customHeight="1" thickBot="1" x14ac:dyDescent="0.3">
      <c r="A50" s="115" t="s">
        <v>161</v>
      </c>
      <c r="B50" s="93" t="s">
        <v>47</v>
      </c>
      <c r="C50" s="123">
        <f>+'[2]COSOLIDADO PLAN DE ACCIÓN'!L45</f>
        <v>100</v>
      </c>
      <c r="D50" s="95">
        <f>+'[2]COSOLIDADO PLAN DE ACCIÓN'!P45</f>
        <v>100</v>
      </c>
      <c r="E50" s="123">
        <f>+'[2]COSOLIDADO PLAN DE ACCIÓN'!N45</f>
        <v>100</v>
      </c>
      <c r="F50" s="133">
        <f>+'[2]COSOLIDADO PLAN DE ACCIÓN'!R45</f>
        <v>15</v>
      </c>
      <c r="G50" s="97"/>
      <c r="H50" s="98">
        <f t="shared" si="28"/>
        <v>1</v>
      </c>
      <c r="I50" s="99">
        <f t="shared" si="28"/>
        <v>0.15</v>
      </c>
      <c r="J50" s="112" t="s">
        <v>156</v>
      </c>
      <c r="K50" s="125" t="s">
        <v>49</v>
      </c>
      <c r="L50" s="125" t="s">
        <v>50</v>
      </c>
      <c r="M50" s="117"/>
      <c r="N50" s="117" t="s">
        <v>51</v>
      </c>
      <c r="O50" s="118"/>
      <c r="P50" s="93">
        <v>0</v>
      </c>
      <c r="Q50" s="93"/>
      <c r="R50" s="125" t="s">
        <v>53</v>
      </c>
      <c r="S50" s="98">
        <f t="shared" si="29"/>
        <v>0.15</v>
      </c>
      <c r="T50" s="93">
        <f>+'[2]COSOLIDADO PLAN DE ACCIÓN'!D45</f>
        <v>100</v>
      </c>
      <c r="U50" s="110">
        <f>+'[2]COSOLIDADO PLAN DE ACCIÓN'!F45</f>
        <v>53.75</v>
      </c>
      <c r="V50" s="99">
        <f t="shared" si="26"/>
        <v>0.53749999999999998</v>
      </c>
      <c r="W50" s="99">
        <f t="shared" si="27"/>
        <v>0.25793044500554579</v>
      </c>
      <c r="X50" s="99">
        <f t="shared" si="30"/>
        <v>0.25793044500554579</v>
      </c>
      <c r="Y50" s="93">
        <f>+'[2]COSOLIDADO PLAN DE ACCIÓN'!Q45</f>
        <v>298227433</v>
      </c>
      <c r="Z50" s="133">
        <v>0</v>
      </c>
      <c r="AA50" s="93">
        <f>+'[2]COSOLIDADO PLAN DE ACCIÓN'!S45</f>
        <v>0</v>
      </c>
      <c r="AB50" s="99">
        <f t="shared" si="2"/>
        <v>0</v>
      </c>
      <c r="AC50" s="105">
        <f>+'[2]320203-1.2'!S38</f>
        <v>0</v>
      </c>
      <c r="AD50" s="99">
        <f t="shared" si="3"/>
        <v>0</v>
      </c>
      <c r="AE50" s="106">
        <f t="shared" si="10"/>
        <v>0</v>
      </c>
      <c r="AF50" s="127">
        <v>0</v>
      </c>
      <c r="AG50" s="105"/>
      <c r="AH50" s="109"/>
      <c r="AI50" s="110">
        <f>+'[2]COSOLIDADO PLAN DE ACCIÓN'!E45</f>
        <v>1434550198</v>
      </c>
      <c r="AJ50" s="93">
        <f>+'[2]COSOLIDADO PLAN DE ACCIÓN'!G45</f>
        <v>334870711.10799998</v>
      </c>
      <c r="AK50" s="109">
        <f t="shared" si="31"/>
        <v>0.23343255019926459</v>
      </c>
      <c r="AL50" s="111"/>
      <c r="AM50" s="112" t="s">
        <v>109</v>
      </c>
      <c r="AN50" s="120"/>
      <c r="AO50" s="112" t="s">
        <v>73</v>
      </c>
      <c r="AP50" s="113"/>
      <c r="AQ50" s="114"/>
    </row>
    <row r="51" spans="1:44" ht="51" customHeight="1" thickBot="1" x14ac:dyDescent="0.3">
      <c r="A51" s="115" t="s">
        <v>162</v>
      </c>
      <c r="B51" s="93" t="s">
        <v>160</v>
      </c>
      <c r="C51" s="123">
        <f>+'[2]COSOLIDADO PLAN DE ACCIÓN'!L46</f>
        <v>50</v>
      </c>
      <c r="D51" s="95">
        <f>+'[2]COSOLIDADO PLAN DE ACCIÓN'!P46</f>
        <v>110</v>
      </c>
      <c r="E51" s="134">
        <f>+'[2]COSOLIDADO PLAN DE ACCIÓN'!N46</f>
        <v>16.824999999999999</v>
      </c>
      <c r="F51" s="133">
        <v>0</v>
      </c>
      <c r="G51" s="97">
        <f>+C51-E51</f>
        <v>33.174999999999997</v>
      </c>
      <c r="H51" s="98">
        <f t="shared" si="28"/>
        <v>0.33649999999999997</v>
      </c>
      <c r="I51" s="99">
        <f t="shared" si="28"/>
        <v>0</v>
      </c>
      <c r="J51" s="112" t="s">
        <v>156</v>
      </c>
      <c r="K51" s="125" t="s">
        <v>49</v>
      </c>
      <c r="L51" s="125" t="s">
        <v>50</v>
      </c>
      <c r="M51" s="117"/>
      <c r="N51" s="117" t="s">
        <v>51</v>
      </c>
      <c r="O51" s="118"/>
      <c r="P51" s="93">
        <v>0</v>
      </c>
      <c r="Q51" s="93"/>
      <c r="R51" s="125" t="s">
        <v>53</v>
      </c>
      <c r="S51" s="98">
        <f t="shared" si="29"/>
        <v>0</v>
      </c>
      <c r="T51" s="93">
        <f>+'[2]COSOLIDADO PLAN DE ACCIÓN'!D46</f>
        <v>610</v>
      </c>
      <c r="U51" s="110">
        <f>+'[2]COSOLIDADO PLAN DE ACCIÓN'!F46</f>
        <v>1592.7393</v>
      </c>
      <c r="V51" s="99">
        <f t="shared" si="26"/>
        <v>1</v>
      </c>
      <c r="W51" s="99">
        <f>+Y51/$Y$46</f>
        <v>0.15598533060832659</v>
      </c>
      <c r="X51" s="99">
        <f t="shared" si="30"/>
        <v>0.15598533060832659</v>
      </c>
      <c r="Y51" s="93">
        <f>+'[2]COSOLIDADO PLAN DE ACCIÓN'!Q46</f>
        <v>180355230</v>
      </c>
      <c r="Z51" s="133">
        <v>2008000</v>
      </c>
      <c r="AA51" s="93">
        <f>+'[2]COSOLIDADO PLAN DE ACCIÓN'!S46</f>
        <v>0</v>
      </c>
      <c r="AB51" s="99">
        <f t="shared" si="2"/>
        <v>0</v>
      </c>
      <c r="AC51" s="105">
        <f>+'[2]320203-1.2'!S47</f>
        <v>0</v>
      </c>
      <c r="AD51" s="99">
        <f t="shared" si="3"/>
        <v>0</v>
      </c>
      <c r="AE51" s="106">
        <f t="shared" si="10"/>
        <v>0</v>
      </c>
      <c r="AF51" s="127">
        <v>2008000</v>
      </c>
      <c r="AG51" s="105"/>
      <c r="AH51" s="109">
        <f t="shared" si="4"/>
        <v>0</v>
      </c>
      <c r="AI51" s="110">
        <f>+'[2]COSOLIDADO PLAN DE ACCIÓN'!E46</f>
        <v>945224215</v>
      </c>
      <c r="AJ51" s="93">
        <f>+'[2]COSOLIDADO PLAN DE ACCIÓN'!G46</f>
        <v>339606402</v>
      </c>
      <c r="AK51" s="109">
        <f t="shared" si="31"/>
        <v>0.35928660799279249</v>
      </c>
      <c r="AL51" s="111"/>
      <c r="AM51" s="112" t="s">
        <v>109</v>
      </c>
      <c r="AN51" s="120"/>
      <c r="AO51" s="112" t="s">
        <v>73</v>
      </c>
      <c r="AP51" s="113"/>
      <c r="AQ51" s="114"/>
    </row>
    <row r="52" spans="1:44" ht="40.5" customHeight="1" thickBot="1" x14ac:dyDescent="0.3">
      <c r="A52" s="51" t="s">
        <v>163</v>
      </c>
      <c r="B52" s="60"/>
      <c r="C52" s="135"/>
      <c r="D52" s="135"/>
      <c r="E52" s="135"/>
      <c r="F52" s="135"/>
      <c r="G52" s="136"/>
      <c r="H52" s="55">
        <f>AVERAGE(H53)</f>
        <v>1</v>
      </c>
      <c r="I52" s="56">
        <f>AVERAGE(I53)</f>
        <v>0.35</v>
      </c>
      <c r="J52" s="68"/>
      <c r="K52" s="60"/>
      <c r="L52" s="60"/>
      <c r="M52" s="66"/>
      <c r="N52" s="66"/>
      <c r="O52" s="66"/>
      <c r="P52" s="60">
        <f>+P53</f>
        <v>99716276</v>
      </c>
      <c r="Q52" s="60">
        <f>+Q53</f>
        <v>32445264</v>
      </c>
      <c r="R52" s="60"/>
      <c r="S52" s="55">
        <f t="shared" si="29"/>
        <v>0.35</v>
      </c>
      <c r="T52" s="60"/>
      <c r="U52" s="65"/>
      <c r="V52" s="56">
        <f>+(V53*W53)</f>
        <v>0.41165841584158414</v>
      </c>
      <c r="W52" s="56">
        <f>+Y52/$Y$99</f>
        <v>7.9497532291919054E-3</v>
      </c>
      <c r="X52" s="56">
        <f>+W52</f>
        <v>7.9497532291919054E-3</v>
      </c>
      <c r="Y52" s="60">
        <f>+Y53</f>
        <v>277750000</v>
      </c>
      <c r="Z52" s="60">
        <f>+Z53</f>
        <v>425100178</v>
      </c>
      <c r="AA52" s="60">
        <f>+AA53</f>
        <v>99716276</v>
      </c>
      <c r="AB52" s="56">
        <f t="shared" si="2"/>
        <v>0.35901449504950494</v>
      </c>
      <c r="AC52" s="61">
        <f>+AC53</f>
        <v>41510380</v>
      </c>
      <c r="AD52" s="56">
        <f t="shared" si="3"/>
        <v>0.14945231323132313</v>
      </c>
      <c r="AE52" s="62">
        <f>+AE53</f>
        <v>58205896</v>
      </c>
      <c r="AF52" s="63">
        <f>+AF53</f>
        <v>186633256</v>
      </c>
      <c r="AG52" s="61">
        <f>+AG53</f>
        <v>120147546</v>
      </c>
      <c r="AH52" s="64">
        <f t="shared" si="4"/>
        <v>0.64376279220033539</v>
      </c>
      <c r="AI52" s="65">
        <f>+AI53</f>
        <v>1093537800</v>
      </c>
      <c r="AJ52" s="60">
        <f>+AJ53</f>
        <v>668082218</v>
      </c>
      <c r="AK52" s="64">
        <f t="shared" si="31"/>
        <v>0.61093655655981893</v>
      </c>
      <c r="AL52" s="66"/>
      <c r="AM52" s="67" t="s">
        <v>164</v>
      </c>
      <c r="AN52" s="68"/>
      <c r="AO52" s="68"/>
      <c r="AP52" s="69"/>
      <c r="AQ52" s="70"/>
    </row>
    <row r="53" spans="1:44" ht="40.5" customHeight="1" thickBot="1" x14ac:dyDescent="0.3">
      <c r="A53" s="71" t="s">
        <v>165</v>
      </c>
      <c r="B53" s="80"/>
      <c r="C53" s="121"/>
      <c r="D53" s="121"/>
      <c r="E53" s="121"/>
      <c r="F53" s="121"/>
      <c r="G53" s="122"/>
      <c r="H53" s="75">
        <f>AVERAGE(H54:H55)</f>
        <v>1</v>
      </c>
      <c r="I53" s="76">
        <f>AVERAGE(I54:I55)</f>
        <v>0.35</v>
      </c>
      <c r="J53" s="89"/>
      <c r="K53" s="80"/>
      <c r="L53" s="80"/>
      <c r="M53" s="87"/>
      <c r="N53" s="87"/>
      <c r="O53" s="87"/>
      <c r="P53" s="80">
        <v>99716276</v>
      </c>
      <c r="Q53" s="80">
        <f>SUM(Q54:Q55)</f>
        <v>32445264</v>
      </c>
      <c r="R53" s="80"/>
      <c r="S53" s="75">
        <f t="shared" si="29"/>
        <v>0.35</v>
      </c>
      <c r="T53" s="80"/>
      <c r="U53" s="85"/>
      <c r="V53" s="76">
        <f>+(V54*W54)+(V55*W55)</f>
        <v>0.41165841584158414</v>
      </c>
      <c r="W53" s="76">
        <v>1</v>
      </c>
      <c r="X53" s="76">
        <v>1</v>
      </c>
      <c r="Y53" s="80">
        <f>SUM(Y54:Y55)</f>
        <v>277750000</v>
      </c>
      <c r="Z53" s="80">
        <f>SUM(Z54:Z55)</f>
        <v>425100178</v>
      </c>
      <c r="AA53" s="80">
        <f>SUM(AA54:AA55)</f>
        <v>99716276</v>
      </c>
      <c r="AB53" s="76">
        <f t="shared" si="2"/>
        <v>0.35901449504950494</v>
      </c>
      <c r="AC53" s="81">
        <f>SUM(AC54:AC55)</f>
        <v>41510380</v>
      </c>
      <c r="AD53" s="76">
        <f t="shared" si="3"/>
        <v>0.14945231323132313</v>
      </c>
      <c r="AE53" s="82">
        <f>SUM(AE54:AE55)</f>
        <v>58205896</v>
      </c>
      <c r="AF53" s="83">
        <f>SUM(AF54:AF55)</f>
        <v>186633256</v>
      </c>
      <c r="AG53" s="81">
        <f>SUM(AG54:AG55)</f>
        <v>120147546</v>
      </c>
      <c r="AH53" s="86">
        <f t="shared" si="4"/>
        <v>0.64376279220033539</v>
      </c>
      <c r="AI53" s="85">
        <f>SUM(AI54:AI55)</f>
        <v>1093537800</v>
      </c>
      <c r="AJ53" s="80">
        <f>SUM(AJ54:AJ55)</f>
        <v>668082218</v>
      </c>
      <c r="AK53" s="86">
        <f t="shared" si="31"/>
        <v>0.61093655655981893</v>
      </c>
      <c r="AL53" s="87"/>
      <c r="AM53" s="88" t="s">
        <v>164</v>
      </c>
      <c r="AN53" s="89"/>
      <c r="AO53" s="89"/>
      <c r="AP53" s="90"/>
      <c r="AQ53" s="91"/>
    </row>
    <row r="54" spans="1:44" ht="49.5" customHeight="1" thickBot="1" x14ac:dyDescent="0.3">
      <c r="A54" s="115" t="s">
        <v>166</v>
      </c>
      <c r="B54" s="93" t="s">
        <v>47</v>
      </c>
      <c r="C54" s="94">
        <f>+'[2]COSOLIDADO PLAN DE ACCIÓN'!L78</f>
        <v>100</v>
      </c>
      <c r="D54" s="93">
        <f>+'[2]COSOLIDADO PLAN DE ACCIÓN'!P78</f>
        <v>100</v>
      </c>
      <c r="E54" s="94">
        <f>+'[2]COSOLIDADO PLAN DE ACCIÓN'!N78</f>
        <v>100</v>
      </c>
      <c r="F54" s="93">
        <f>+'[2]COSOLIDADO PLAN DE ACCIÓN'!R78</f>
        <v>19</v>
      </c>
      <c r="G54" s="128"/>
      <c r="H54" s="98">
        <f>+E54/C54</f>
        <v>1</v>
      </c>
      <c r="I54" s="99">
        <f>+F54/D54</f>
        <v>0.19</v>
      </c>
      <c r="J54" s="112" t="s">
        <v>48</v>
      </c>
      <c r="K54" s="125" t="s">
        <v>49</v>
      </c>
      <c r="L54" s="125" t="s">
        <v>50</v>
      </c>
      <c r="M54" s="117"/>
      <c r="N54" s="117" t="s">
        <v>51</v>
      </c>
      <c r="O54" s="118" t="s">
        <v>167</v>
      </c>
      <c r="P54" s="93">
        <v>41967200</v>
      </c>
      <c r="Q54" s="93">
        <v>11445600</v>
      </c>
      <c r="R54" s="125" t="s">
        <v>53</v>
      </c>
      <c r="S54" s="98">
        <f t="shared" si="29"/>
        <v>0.19</v>
      </c>
      <c r="T54" s="93">
        <f>+'[2]COSOLIDADO PLAN DE ACCIÓN'!D78</f>
        <v>100</v>
      </c>
      <c r="U54" s="110">
        <f>+'[2]COSOLIDADO PLAN DE ACCIÓN'!F78</f>
        <v>35.5</v>
      </c>
      <c r="V54" s="99">
        <f t="shared" ref="V54:V55" si="32">IF(U54/T54&gt;=100%,100%,U54/T54)</f>
        <v>0.35499999999999998</v>
      </c>
      <c r="W54" s="99">
        <f>+Y54/Y53</f>
        <v>0.79207920792079212</v>
      </c>
      <c r="X54" s="99">
        <f t="shared" ref="X54:X61" si="33">+W54</f>
        <v>0.79207920792079212</v>
      </c>
      <c r="Y54" s="93">
        <f>+'[2]COSOLIDADO PLAN DE ACCIÓN'!Q78</f>
        <v>220000000</v>
      </c>
      <c r="Z54" s="93">
        <v>363669021</v>
      </c>
      <c r="AA54" s="93">
        <f>+'[2]COSOLIDADO PLAN DE ACCIÓN'!S78</f>
        <v>41967200</v>
      </c>
      <c r="AB54" s="99">
        <f t="shared" si="2"/>
        <v>0.19076000000000001</v>
      </c>
      <c r="AC54" s="105">
        <f>+'[2]320601-'!S17</f>
        <v>15260800</v>
      </c>
      <c r="AD54" s="99">
        <f t="shared" si="3"/>
        <v>6.9367272727272722E-2</v>
      </c>
      <c r="AE54" s="106">
        <f t="shared" ref="AE54:AE55" si="34">+AA54-AC54</f>
        <v>26706400</v>
      </c>
      <c r="AF54" s="127">
        <v>186633256</v>
      </c>
      <c r="AG54" s="105">
        <v>120147546</v>
      </c>
      <c r="AH54" s="109">
        <f t="shared" si="4"/>
        <v>0.64376279220033539</v>
      </c>
      <c r="AI54" s="110">
        <f>+'[2]COSOLIDADO PLAN DE ACCIÓN'!E78</f>
        <v>867022796</v>
      </c>
      <c r="AJ54" s="93">
        <f>+'[2]COSOLIDADO PLAN DE ACCIÓN'!G78</f>
        <v>502804999</v>
      </c>
      <c r="AK54" s="109">
        <f t="shared" si="31"/>
        <v>0.5799213138566659</v>
      </c>
      <c r="AL54" s="111"/>
      <c r="AM54" s="112" t="s">
        <v>164</v>
      </c>
      <c r="AN54" s="120"/>
      <c r="AO54" s="112" t="s">
        <v>168</v>
      </c>
      <c r="AP54" s="113"/>
      <c r="AQ54" s="114"/>
    </row>
    <row r="55" spans="1:44" ht="63" customHeight="1" thickBot="1" x14ac:dyDescent="0.3">
      <c r="A55" s="92" t="s">
        <v>169</v>
      </c>
      <c r="B55" s="93" t="s">
        <v>47</v>
      </c>
      <c r="C55" s="94">
        <f>+'[2]COSOLIDADO PLAN DE ACCIÓN'!L79</f>
        <v>100</v>
      </c>
      <c r="D55" s="93">
        <f>+'[2]COSOLIDADO PLAN DE ACCIÓN'!P79</f>
        <v>100</v>
      </c>
      <c r="E55" s="94">
        <f>+'[2]COSOLIDADO PLAN DE ACCIÓN'!N79</f>
        <v>100</v>
      </c>
      <c r="F55" s="93">
        <f>+'[2]COSOLIDADO PLAN DE ACCIÓN'!R79</f>
        <v>51</v>
      </c>
      <c r="G55" s="97"/>
      <c r="H55" s="98">
        <f>+E55/C55</f>
        <v>1</v>
      </c>
      <c r="I55" s="99">
        <f>+F55/D55</f>
        <v>0.51</v>
      </c>
      <c r="J55" s="112"/>
      <c r="K55" s="125" t="s">
        <v>49</v>
      </c>
      <c r="L55" s="125" t="s">
        <v>50</v>
      </c>
      <c r="M55" s="117"/>
      <c r="N55" s="117" t="s">
        <v>51</v>
      </c>
      <c r="O55" s="118" t="s">
        <v>170</v>
      </c>
      <c r="P55" s="93">
        <v>57749076</v>
      </c>
      <c r="Q55" s="93">
        <v>20999664</v>
      </c>
      <c r="R55" s="125" t="s">
        <v>53</v>
      </c>
      <c r="S55" s="98">
        <f t="shared" si="29"/>
        <v>0.51</v>
      </c>
      <c r="T55" s="93">
        <f>+'[2]COSOLIDADO PLAN DE ACCIÓN'!D79</f>
        <v>100</v>
      </c>
      <c r="U55" s="110">
        <f>+'[2]COSOLIDADO PLAN DE ACCIÓN'!F79</f>
        <v>62.75</v>
      </c>
      <c r="V55" s="99">
        <f t="shared" si="32"/>
        <v>0.62749999999999995</v>
      </c>
      <c r="W55" s="99">
        <f>+Y55/Y53</f>
        <v>0.20792079207920791</v>
      </c>
      <c r="X55" s="99">
        <f t="shared" si="33"/>
        <v>0.20792079207920791</v>
      </c>
      <c r="Y55" s="93">
        <f>+'[2]COSOLIDADO PLAN DE ACCIÓN'!Q79</f>
        <v>57750000</v>
      </c>
      <c r="Z55" s="93">
        <v>61431157</v>
      </c>
      <c r="AA55" s="93">
        <f>+'[2]COSOLIDADO PLAN DE ACCIÓN'!S79</f>
        <v>57749076</v>
      </c>
      <c r="AB55" s="99">
        <f t="shared" si="2"/>
        <v>0.99998399999999998</v>
      </c>
      <c r="AC55" s="105">
        <f>+'[2]320601-'!S29</f>
        <v>26249580</v>
      </c>
      <c r="AD55" s="99">
        <f t="shared" si="3"/>
        <v>0.45453818181818184</v>
      </c>
      <c r="AE55" s="106">
        <f t="shared" si="34"/>
        <v>31499496</v>
      </c>
      <c r="AF55" s="107">
        <v>0</v>
      </c>
      <c r="AG55" s="108">
        <v>0</v>
      </c>
      <c r="AH55" s="109"/>
      <c r="AI55" s="110">
        <f>+'[2]COSOLIDADO PLAN DE ACCIÓN'!E79</f>
        <v>226515004</v>
      </c>
      <c r="AJ55" s="93">
        <f>+'[2]COSOLIDADO PLAN DE ACCIÓN'!G79</f>
        <v>165277219</v>
      </c>
      <c r="AK55" s="109">
        <f t="shared" si="31"/>
        <v>0.72965241189939012</v>
      </c>
      <c r="AL55" s="111"/>
      <c r="AM55" s="112" t="s">
        <v>164</v>
      </c>
      <c r="AN55" s="112" t="s">
        <v>171</v>
      </c>
      <c r="AO55" s="112" t="s">
        <v>55</v>
      </c>
      <c r="AP55" s="113"/>
      <c r="AQ55" s="114"/>
    </row>
    <row r="56" spans="1:44" ht="53.25" customHeight="1" thickBot="1" x14ac:dyDescent="0.3">
      <c r="A56" s="30" t="s">
        <v>172</v>
      </c>
      <c r="B56" s="41"/>
      <c r="C56" s="32"/>
      <c r="D56" s="32"/>
      <c r="E56" s="32"/>
      <c r="F56" s="32"/>
      <c r="G56" s="33"/>
      <c r="H56" s="34">
        <f>AVERAGE(H57)</f>
        <v>0.98750000000000004</v>
      </c>
      <c r="I56" s="35">
        <f>AVERAGE(I57)</f>
        <v>0.37068055555555557</v>
      </c>
      <c r="J56" s="137"/>
      <c r="K56" s="36"/>
      <c r="L56" s="36"/>
      <c r="M56" s="36"/>
      <c r="N56" s="36"/>
      <c r="O56" s="36"/>
      <c r="P56" s="37">
        <f>+P57</f>
        <v>7094921121.1199999</v>
      </c>
      <c r="Q56" s="37">
        <f>+Q57</f>
        <v>3924840281.8000002</v>
      </c>
      <c r="R56" s="38"/>
      <c r="S56" s="39">
        <f t="shared" si="29"/>
        <v>0.37068055555555557</v>
      </c>
      <c r="T56" s="41"/>
      <c r="U56" s="46"/>
      <c r="V56" s="35">
        <f>+(V57*W57)</f>
        <v>0.21006569400975572</v>
      </c>
      <c r="W56" s="35">
        <f>+Y56/$Y$99</f>
        <v>0.37279509296978292</v>
      </c>
      <c r="X56" s="35">
        <f t="shared" si="33"/>
        <v>0.37279509296978292</v>
      </c>
      <c r="Y56" s="41">
        <f>+Y57</f>
        <v>13024786315.647999</v>
      </c>
      <c r="Z56" s="41">
        <f>+Z57</f>
        <v>12955733410</v>
      </c>
      <c r="AA56" s="41">
        <f>+AA57</f>
        <v>7094921121.1199999</v>
      </c>
      <c r="AB56" s="35">
        <f t="shared" si="2"/>
        <v>0.54472456969187666</v>
      </c>
      <c r="AC56" s="42">
        <f>+AC57</f>
        <v>3958770546.1760001</v>
      </c>
      <c r="AD56" s="35">
        <f t="shared" si="3"/>
        <v>0.3039413046968707</v>
      </c>
      <c r="AE56" s="43">
        <f>+AE57</f>
        <v>3136150574.9439998</v>
      </c>
      <c r="AF56" s="44">
        <f>+AF57</f>
        <v>5694230263</v>
      </c>
      <c r="AG56" s="42">
        <f>+AG57</f>
        <v>1530341143</v>
      </c>
      <c r="AH56" s="45">
        <f t="shared" si="4"/>
        <v>0.26875294329838728</v>
      </c>
      <c r="AI56" s="46">
        <f>+AI57</f>
        <v>50432717945.077003</v>
      </c>
      <c r="AJ56" s="41">
        <f>+AJ57</f>
        <v>31628608158.928001</v>
      </c>
      <c r="AK56" s="45">
        <f t="shared" si="31"/>
        <v>0.62714462848051666</v>
      </c>
      <c r="AL56" s="31"/>
      <c r="AM56" s="47" t="s">
        <v>173</v>
      </c>
      <c r="AN56" s="48"/>
      <c r="AO56" s="48"/>
      <c r="AP56" s="49"/>
      <c r="AQ56" s="50"/>
    </row>
    <row r="57" spans="1:44" ht="40.5" customHeight="1" thickBot="1" x14ac:dyDescent="0.3">
      <c r="A57" s="51" t="s">
        <v>174</v>
      </c>
      <c r="B57" s="60"/>
      <c r="C57" s="135"/>
      <c r="D57" s="135"/>
      <c r="E57" s="135"/>
      <c r="F57" s="135"/>
      <c r="G57" s="136"/>
      <c r="H57" s="55">
        <f>AVERAGE(H58,H62)</f>
        <v>0.98750000000000004</v>
      </c>
      <c r="I57" s="56">
        <f>AVERAGE(I58,I62)</f>
        <v>0.37068055555555557</v>
      </c>
      <c r="J57" s="68"/>
      <c r="K57" s="60"/>
      <c r="L57" s="60"/>
      <c r="M57" s="138"/>
      <c r="N57" s="138"/>
      <c r="O57" s="66"/>
      <c r="P57" s="60">
        <f>+P58+P62</f>
        <v>7094921121.1199999</v>
      </c>
      <c r="Q57" s="60">
        <f>+Q58+Q62</f>
        <v>3924840281.8000002</v>
      </c>
      <c r="R57" s="139"/>
      <c r="S57" s="55">
        <f t="shared" si="29"/>
        <v>0.37068055555555557</v>
      </c>
      <c r="T57" s="60"/>
      <c r="U57" s="65"/>
      <c r="V57" s="56">
        <f>+(V58*W58)+(V62*W62)</f>
        <v>0.56348835585875778</v>
      </c>
      <c r="W57" s="56">
        <f>+Y57/$Y$99</f>
        <v>0.37279509296978292</v>
      </c>
      <c r="X57" s="56">
        <f t="shared" si="33"/>
        <v>0.37279509296978292</v>
      </c>
      <c r="Y57" s="60">
        <f>+Y58+Y62</f>
        <v>13024786315.647999</v>
      </c>
      <c r="Z57" s="60">
        <f>+Z58+Z62</f>
        <v>12955733410</v>
      </c>
      <c r="AA57" s="60">
        <f>+AA58+AA62</f>
        <v>7094921121.1199999</v>
      </c>
      <c r="AB57" s="56">
        <f t="shared" si="2"/>
        <v>0.54472456969187666</v>
      </c>
      <c r="AC57" s="61">
        <f>+AC58+AC62</f>
        <v>3958770546.1760001</v>
      </c>
      <c r="AD57" s="56">
        <f t="shared" si="3"/>
        <v>0.3039413046968707</v>
      </c>
      <c r="AE57" s="62">
        <f>+AE58+AE62</f>
        <v>3136150574.9439998</v>
      </c>
      <c r="AF57" s="63">
        <f>+AF58+AF62</f>
        <v>5694230263</v>
      </c>
      <c r="AG57" s="61">
        <f>+AG58+AG62</f>
        <v>1530341143</v>
      </c>
      <c r="AH57" s="64">
        <f t="shared" si="4"/>
        <v>0.26875294329838728</v>
      </c>
      <c r="AI57" s="65">
        <f>+AI58+AI62</f>
        <v>50432717945.077003</v>
      </c>
      <c r="AJ57" s="61">
        <f>+AJ58+AJ62</f>
        <v>31628608158.928001</v>
      </c>
      <c r="AK57" s="64">
        <f>+AJ57/AI57</f>
        <v>0.62714462848051666</v>
      </c>
      <c r="AL57" s="62"/>
      <c r="AM57" s="140" t="s">
        <v>175</v>
      </c>
      <c r="AN57" s="141"/>
      <c r="AO57" s="141"/>
      <c r="AP57" s="62"/>
      <c r="AQ57" s="142"/>
    </row>
    <row r="58" spans="1:44" ht="40.5" customHeight="1" thickBot="1" x14ac:dyDescent="0.3">
      <c r="A58" s="71" t="s">
        <v>176</v>
      </c>
      <c r="B58" s="80"/>
      <c r="C58" s="121"/>
      <c r="D58" s="121"/>
      <c r="E58" s="121"/>
      <c r="F58" s="121"/>
      <c r="G58" s="122"/>
      <c r="H58" s="75">
        <f>AVERAGE(H59:H61)</f>
        <v>1</v>
      </c>
      <c r="I58" s="76">
        <f>AVERAGE(I59:I61)</f>
        <v>0.21111111111111111</v>
      </c>
      <c r="J58" s="89"/>
      <c r="K58" s="80"/>
      <c r="L58" s="80"/>
      <c r="M58" s="143"/>
      <c r="N58" s="143"/>
      <c r="O58" s="87"/>
      <c r="P58" s="80">
        <v>5811667773</v>
      </c>
      <c r="Q58" s="80">
        <f>SUM(Q59:Q61)</f>
        <v>3550705592</v>
      </c>
      <c r="R58" s="144"/>
      <c r="S58" s="75">
        <f t="shared" si="29"/>
        <v>0.21111111111111111</v>
      </c>
      <c r="T58" s="80"/>
      <c r="U58" s="85"/>
      <c r="V58" s="76">
        <f>+(V59*W59)+(V60*W60)+(V61*W61)</f>
        <v>0.55034003482497162</v>
      </c>
      <c r="W58" s="76">
        <f>+Y58/$Y$57</f>
        <v>0.78628201480313409</v>
      </c>
      <c r="X58" s="76">
        <f t="shared" si="33"/>
        <v>0.78628201480313409</v>
      </c>
      <c r="Y58" s="80">
        <f>SUM(Y59:Y61)</f>
        <v>10241155226.647999</v>
      </c>
      <c r="Z58" s="80">
        <f>SUM(Z59:Z61)</f>
        <v>10001307361</v>
      </c>
      <c r="AA58" s="80">
        <f>SUM(AA59:AA61)</f>
        <v>5811667773</v>
      </c>
      <c r="AB58" s="76">
        <f t="shared" si="2"/>
        <v>0.5674816604554288</v>
      </c>
      <c r="AC58" s="81">
        <f>SUM(AC59:AC61)</f>
        <v>3550709500.0560002</v>
      </c>
      <c r="AD58" s="76">
        <f t="shared" si="3"/>
        <v>0.3467098605064472</v>
      </c>
      <c r="AE58" s="82">
        <f>SUM(AE59:AE61)</f>
        <v>2260958272.9439998</v>
      </c>
      <c r="AF58" s="83">
        <f>SUM(AF59:AF61)</f>
        <v>3885084393</v>
      </c>
      <c r="AG58" s="81">
        <f>SUM(AG59:AG61)</f>
        <v>1061253778</v>
      </c>
      <c r="AH58" s="86">
        <f t="shared" si="4"/>
        <v>0.27316106180656652</v>
      </c>
      <c r="AI58" s="85">
        <f>SUM(AI59:AI61)</f>
        <v>39354263521.248001</v>
      </c>
      <c r="AJ58" s="80">
        <f>SUM(AJ59:AJ61)</f>
        <v>24677260391</v>
      </c>
      <c r="AK58" s="86">
        <f>+AJ58/AI58</f>
        <v>0.62705430575968857</v>
      </c>
      <c r="AL58" s="87"/>
      <c r="AM58" s="88" t="s">
        <v>175</v>
      </c>
      <c r="AN58" s="89"/>
      <c r="AO58" s="89"/>
      <c r="AP58" s="87"/>
      <c r="AQ58" s="145"/>
      <c r="AR58" s="146"/>
    </row>
    <row r="59" spans="1:44" ht="64.5" customHeight="1" thickBot="1" x14ac:dyDescent="0.3">
      <c r="A59" s="92" t="s">
        <v>177</v>
      </c>
      <c r="B59" s="93" t="s">
        <v>47</v>
      </c>
      <c r="C59" s="94">
        <f>+'[2]COSOLIDADO PLAN DE ACCIÓN'!L49</f>
        <v>36</v>
      </c>
      <c r="D59" s="93">
        <f>+'[2]COSOLIDADO PLAN DE ACCIÓN'!P49</f>
        <v>60</v>
      </c>
      <c r="E59" s="94">
        <f>+'[2]COSOLIDADO PLAN DE ACCIÓN'!N49</f>
        <v>36</v>
      </c>
      <c r="F59" s="93">
        <f>+'[2]COSOLIDADO PLAN DE ACCIÓN'!R49</f>
        <v>20</v>
      </c>
      <c r="G59" s="97"/>
      <c r="H59" s="98">
        <f>+E59/C59</f>
        <v>1</v>
      </c>
      <c r="I59" s="99">
        <f>+F59/D59</f>
        <v>0.33333333333333331</v>
      </c>
      <c r="J59" s="112" t="s">
        <v>178</v>
      </c>
      <c r="K59" s="125" t="s">
        <v>49</v>
      </c>
      <c r="L59" s="125" t="s">
        <v>50</v>
      </c>
      <c r="M59" s="117"/>
      <c r="N59" s="117" t="s">
        <v>51</v>
      </c>
      <c r="O59" s="118" t="s">
        <v>179</v>
      </c>
      <c r="P59" s="93">
        <v>2152119427</v>
      </c>
      <c r="Q59" s="93">
        <v>136766683</v>
      </c>
      <c r="R59" s="125" t="s">
        <v>53</v>
      </c>
      <c r="S59" s="109">
        <f t="shared" si="29"/>
        <v>0.33333333333333331</v>
      </c>
      <c r="T59" s="93">
        <f>+'[2]COSOLIDADO PLAN DE ACCIÓN'!D49</f>
        <v>100</v>
      </c>
      <c r="U59" s="110">
        <f>+'[2]COSOLIDADO PLAN DE ACCIÓN'!F49</f>
        <v>55</v>
      </c>
      <c r="V59" s="99">
        <f t="shared" ref="V59:V61" si="35">IF(U59/T59&gt;=100%,100%,U59/T59)</f>
        <v>0.55000000000000004</v>
      </c>
      <c r="W59" s="99">
        <f t="shared" ref="W59:W60" si="36">+Y59/$Y$58</f>
        <v>0.24200250497122799</v>
      </c>
      <c r="X59" s="99">
        <f t="shared" si="33"/>
        <v>0.24200250497122799</v>
      </c>
      <c r="Y59" s="93">
        <f>+'[2]COSOLIDADO PLAN DE ACCIÓN'!Q49</f>
        <v>2478385218.6479998</v>
      </c>
      <c r="Z59" s="93">
        <v>1476818666</v>
      </c>
      <c r="AA59" s="93">
        <f>+'[2]COSOLIDADO PLAN DE ACCIÓN'!S49</f>
        <v>2152119427</v>
      </c>
      <c r="AB59" s="99">
        <f t="shared" si="2"/>
        <v>0.86835549647686194</v>
      </c>
      <c r="AC59" s="105">
        <f>+'[2]320301-1.3'!S19+'[2]320301-1.3'!S32</f>
        <v>136770591</v>
      </c>
      <c r="AD59" s="99">
        <f t="shared" si="3"/>
        <v>5.5185364232688015E-2</v>
      </c>
      <c r="AE59" s="106">
        <f t="shared" ref="AE59:AE61" si="37">+AA59-AC59</f>
        <v>2015348836</v>
      </c>
      <c r="AF59" s="127">
        <v>1077840142</v>
      </c>
      <c r="AG59" s="105">
        <v>357243556</v>
      </c>
      <c r="AH59" s="109">
        <f t="shared" si="4"/>
        <v>0.33144391462087519</v>
      </c>
      <c r="AI59" s="110">
        <f>+'[2]COSOLIDADO PLAN DE ACCIÓN'!E49</f>
        <v>4916057791.448</v>
      </c>
      <c r="AJ59" s="93">
        <f>+'[2]COSOLIDADO PLAN DE ACCIÓN'!G49</f>
        <v>4296082638</v>
      </c>
      <c r="AK59" s="109">
        <f t="shared" si="31"/>
        <v>0.87388774100123234</v>
      </c>
      <c r="AL59" s="111"/>
      <c r="AM59" s="112" t="s">
        <v>175</v>
      </c>
      <c r="AN59" s="112" t="s">
        <v>180</v>
      </c>
      <c r="AO59" s="112" t="s">
        <v>73</v>
      </c>
      <c r="AP59" s="113"/>
      <c r="AQ59" s="114"/>
    </row>
    <row r="60" spans="1:44" ht="67.5" customHeight="1" thickBot="1" x14ac:dyDescent="0.3">
      <c r="A60" s="92" t="s">
        <v>181</v>
      </c>
      <c r="B60" s="93" t="s">
        <v>47</v>
      </c>
      <c r="C60" s="94">
        <f>+'[2]COSOLIDADO PLAN DE ACCIÓN'!L50</f>
        <v>100</v>
      </c>
      <c r="D60" s="93">
        <f>+'[2]COSOLIDADO PLAN DE ACCIÓN'!P50</f>
        <v>100</v>
      </c>
      <c r="E60" s="94">
        <f>+'[2]COSOLIDADO PLAN DE ACCIÓN'!N50</f>
        <v>100</v>
      </c>
      <c r="F60" s="93">
        <f>+'[2]COSOLIDADO PLAN DE ACCIÓN'!R50</f>
        <v>30</v>
      </c>
      <c r="G60" s="97"/>
      <c r="H60" s="98">
        <f t="shared" ref="H60:I61" si="38">+E60/C60</f>
        <v>1</v>
      </c>
      <c r="I60" s="99">
        <f t="shared" si="38"/>
        <v>0.3</v>
      </c>
      <c r="J60" s="112" t="s">
        <v>182</v>
      </c>
      <c r="K60" s="125" t="s">
        <v>49</v>
      </c>
      <c r="L60" s="125" t="s">
        <v>50</v>
      </c>
      <c r="M60" s="117"/>
      <c r="N60" s="117" t="s">
        <v>51</v>
      </c>
      <c r="O60" s="118" t="s">
        <v>183</v>
      </c>
      <c r="P60" s="93">
        <v>3659548346</v>
      </c>
      <c r="Q60" s="93">
        <v>3413938909</v>
      </c>
      <c r="R60" s="125" t="s">
        <v>53</v>
      </c>
      <c r="S60" s="109">
        <f t="shared" si="29"/>
        <v>0.3</v>
      </c>
      <c r="T60" s="93">
        <f>+'[2]COSOLIDADO PLAN DE ACCIÓN'!D50</f>
        <v>100</v>
      </c>
      <c r="U60" s="110">
        <f>+'[2]COSOLIDADO PLAN DE ACCIÓN'!F50</f>
        <v>57.5</v>
      </c>
      <c r="V60" s="99">
        <f t="shared" si="35"/>
        <v>0.57499999999999996</v>
      </c>
      <c r="W60" s="99">
        <f t="shared" si="36"/>
        <v>0.50986546101880248</v>
      </c>
      <c r="X60" s="99">
        <f t="shared" si="33"/>
        <v>0.50986546101880248</v>
      </c>
      <c r="Y60" s="93">
        <f>+'[2]COSOLIDADO PLAN DE ACCIÓN'!Q50</f>
        <v>5221611331</v>
      </c>
      <c r="Z60" s="93">
        <v>6461700848</v>
      </c>
      <c r="AA60" s="93">
        <f>+'[2]COSOLIDADO PLAN DE ACCIÓN'!S50</f>
        <v>3659548346</v>
      </c>
      <c r="AB60" s="99">
        <f t="shared" si="2"/>
        <v>0.70084656134280943</v>
      </c>
      <c r="AC60" s="105">
        <f>+'[2]320301-1.3'!S60</f>
        <v>3413938909.0560002</v>
      </c>
      <c r="AD60" s="99">
        <f t="shared" si="3"/>
        <v>0.65380946467384637</v>
      </c>
      <c r="AE60" s="106">
        <f t="shared" si="37"/>
        <v>245609436.94399977</v>
      </c>
      <c r="AF60" s="127">
        <v>2807244251</v>
      </c>
      <c r="AG60" s="105">
        <v>704010222</v>
      </c>
      <c r="AH60" s="109">
        <f t="shared" si="4"/>
        <v>0.25078338721299959</v>
      </c>
      <c r="AI60" s="110">
        <f>+'[2]COSOLIDADO PLAN DE ACCIÓN'!E50</f>
        <v>24063027037.799999</v>
      </c>
      <c r="AJ60" s="93">
        <f>+'[2]COSOLIDADO PLAN DE ACCIÓN'!G50</f>
        <v>14741426634</v>
      </c>
      <c r="AK60" s="109">
        <f t="shared" si="31"/>
        <v>0.61261729918031782</v>
      </c>
      <c r="AL60" s="111"/>
      <c r="AM60" s="112" t="s">
        <v>175</v>
      </c>
      <c r="AN60" s="112" t="s">
        <v>184</v>
      </c>
      <c r="AO60" s="112" t="s">
        <v>73</v>
      </c>
      <c r="AP60" s="113"/>
      <c r="AQ60" s="114"/>
    </row>
    <row r="61" spans="1:44" ht="74.25" customHeight="1" thickBot="1" x14ac:dyDescent="0.3">
      <c r="A61" s="115" t="s">
        <v>185</v>
      </c>
      <c r="B61" s="93" t="s">
        <v>93</v>
      </c>
      <c r="C61" s="94">
        <f>+'[2]COSOLIDADO PLAN DE ACCIÓN'!L51</f>
        <v>1</v>
      </c>
      <c r="D61" s="93">
        <f>+'[2]COSOLIDADO PLAN DE ACCIÓN'!P51</f>
        <v>1</v>
      </c>
      <c r="E61" s="94">
        <f>+'[2]COSOLIDADO PLAN DE ACCIÓN'!N51</f>
        <v>1</v>
      </c>
      <c r="F61" s="93">
        <f>+'[2]COSOLIDADO PLAN DE ACCIÓN'!R51</f>
        <v>0</v>
      </c>
      <c r="G61" s="97"/>
      <c r="H61" s="98">
        <f t="shared" si="38"/>
        <v>1</v>
      </c>
      <c r="I61" s="99">
        <f t="shared" si="38"/>
        <v>0</v>
      </c>
      <c r="J61" s="112"/>
      <c r="K61" s="125" t="s">
        <v>49</v>
      </c>
      <c r="L61" s="125" t="s">
        <v>50</v>
      </c>
      <c r="M61" s="117"/>
      <c r="N61" s="117" t="s">
        <v>51</v>
      </c>
      <c r="O61" s="118"/>
      <c r="P61" s="93">
        <v>0</v>
      </c>
      <c r="Q61" s="93"/>
      <c r="R61" s="125" t="s">
        <v>53</v>
      </c>
      <c r="S61" s="109">
        <f t="shared" si="29"/>
        <v>0</v>
      </c>
      <c r="T61" s="93">
        <f>+'[2]COSOLIDADO PLAN DE ACCIÓN'!D51</f>
        <v>1</v>
      </c>
      <c r="U61" s="110">
        <f>+'[2]COSOLIDADO PLAN DE ACCIÓN'!F51</f>
        <v>0.5</v>
      </c>
      <c r="V61" s="99">
        <f t="shared" si="35"/>
        <v>0.5</v>
      </c>
      <c r="W61" s="99">
        <f>+Y61/$Y$58</f>
        <v>0.24813203400996969</v>
      </c>
      <c r="X61" s="99">
        <f t="shared" si="33"/>
        <v>0.24813203400996969</v>
      </c>
      <c r="Y61" s="93">
        <f>+'[2]COSOLIDADO PLAN DE ACCIÓN'!Q51</f>
        <v>2541158677</v>
      </c>
      <c r="Z61" s="93">
        <v>2062787847</v>
      </c>
      <c r="AA61" s="93">
        <f>+'[2]COSOLIDADO PLAN DE ACCIÓN'!S51</f>
        <v>0</v>
      </c>
      <c r="AB61" s="99">
        <f t="shared" si="2"/>
        <v>0</v>
      </c>
      <c r="AC61" s="105">
        <f>+'[2]320301-1.3'!S70</f>
        <v>0</v>
      </c>
      <c r="AD61" s="99">
        <f t="shared" si="3"/>
        <v>0</v>
      </c>
      <c r="AE61" s="106">
        <f t="shared" si="37"/>
        <v>0</v>
      </c>
      <c r="AF61" s="127">
        <v>0</v>
      </c>
      <c r="AG61" s="105"/>
      <c r="AH61" s="109"/>
      <c r="AI61" s="110">
        <f>+'[2]COSOLIDADO PLAN DE ACCIÓN'!E51</f>
        <v>10375178692</v>
      </c>
      <c r="AJ61" s="93">
        <f>+'[2]COSOLIDADO PLAN DE ACCIÓN'!G51</f>
        <v>5639751119</v>
      </c>
      <c r="AK61" s="109">
        <f t="shared" si="31"/>
        <v>0.54358110702697093</v>
      </c>
      <c r="AL61" s="111"/>
      <c r="AM61" s="112" t="s">
        <v>175</v>
      </c>
      <c r="AN61" s="120"/>
      <c r="AO61" s="112" t="s">
        <v>73</v>
      </c>
      <c r="AP61" s="113"/>
      <c r="AQ61" s="114"/>
    </row>
    <row r="62" spans="1:44" ht="40.5" customHeight="1" thickBot="1" x14ac:dyDescent="0.3">
      <c r="A62" s="71" t="s">
        <v>186</v>
      </c>
      <c r="B62" s="80"/>
      <c r="C62" s="121"/>
      <c r="D62" s="121"/>
      <c r="E62" s="121"/>
      <c r="F62" s="121"/>
      <c r="G62" s="122"/>
      <c r="H62" s="75">
        <f>AVERAGE(H63,H64,H65,H66,H67,H69)</f>
        <v>0.97499999999999998</v>
      </c>
      <c r="I62" s="76">
        <f>AVERAGE(I63,I64,I65,I66,I67,I69)</f>
        <v>0.53025</v>
      </c>
      <c r="J62" s="89"/>
      <c r="K62" s="80"/>
      <c r="L62" s="80"/>
      <c r="M62" s="143"/>
      <c r="N62" s="143"/>
      <c r="O62" s="87"/>
      <c r="P62" s="80">
        <v>1283253348.1199999</v>
      </c>
      <c r="Q62" s="80">
        <f>SUM(Q63:Q69)</f>
        <v>374134689.80000001</v>
      </c>
      <c r="R62" s="144"/>
      <c r="S62" s="86">
        <f>+I62</f>
        <v>0.53025</v>
      </c>
      <c r="T62" s="80"/>
      <c r="U62" s="85"/>
      <c r="V62" s="76">
        <f>+(V63*W63)+(V64*W64)+(V65*W65)+(V66*W66)+(V67*W67)+(V68*W68)+(V69*W69)</f>
        <v>0.6118618623944887</v>
      </c>
      <c r="W62" s="76">
        <f>+Y62/$Y$57</f>
        <v>0.21371798519686588</v>
      </c>
      <c r="X62" s="76">
        <f>+W62</f>
        <v>0.21371798519686588</v>
      </c>
      <c r="Y62" s="80">
        <f>SUM(Y63:Y69)</f>
        <v>2783631089.0000005</v>
      </c>
      <c r="Z62" s="80">
        <f>SUM(Z63:Z69)</f>
        <v>2954426049</v>
      </c>
      <c r="AA62" s="80">
        <f>SUM(AA63:AA69)</f>
        <v>1283253348.1199999</v>
      </c>
      <c r="AB62" s="76">
        <f t="shared" si="2"/>
        <v>0.4609997902347755</v>
      </c>
      <c r="AC62" s="81">
        <f>SUM(AC63:AC69)</f>
        <v>408061046.12</v>
      </c>
      <c r="AD62" s="76">
        <f t="shared" si="3"/>
        <v>0.14659307683856665</v>
      </c>
      <c r="AE62" s="82">
        <f>SUM(AE63:AE69)</f>
        <v>875192302</v>
      </c>
      <c r="AF62" s="83">
        <f>SUM(AF63:AF69)</f>
        <v>1809145870</v>
      </c>
      <c r="AG62" s="81">
        <f>SUM(AG63:AG69)</f>
        <v>469087365</v>
      </c>
      <c r="AH62" s="86">
        <f t="shared" si="4"/>
        <v>0.25928664613428876</v>
      </c>
      <c r="AI62" s="85">
        <f>SUM(AI63:AI69)</f>
        <v>11078454423.829</v>
      </c>
      <c r="AJ62" s="80">
        <f>SUM(AJ63:AJ69)</f>
        <v>6951347767.9280005</v>
      </c>
      <c r="AK62" s="86">
        <f>+AJ62/AI62</f>
        <v>0.62746548408197855</v>
      </c>
      <c r="AL62" s="87"/>
      <c r="AM62" s="88" t="s">
        <v>175</v>
      </c>
      <c r="AN62" s="89"/>
      <c r="AO62" s="89"/>
      <c r="AP62" s="87"/>
      <c r="AQ62" s="145"/>
      <c r="AR62" s="146"/>
    </row>
    <row r="63" spans="1:44" ht="40.5" customHeight="1" thickBot="1" x14ac:dyDescent="0.3">
      <c r="A63" s="92" t="s">
        <v>187</v>
      </c>
      <c r="B63" s="93" t="s">
        <v>47</v>
      </c>
      <c r="C63" s="94">
        <f>+'[2]COSOLIDADO PLAN DE ACCIÓN'!L53</f>
        <v>100</v>
      </c>
      <c r="D63" s="93">
        <f>+'[2]COSOLIDADO PLAN DE ACCIÓN'!P53</f>
        <v>100</v>
      </c>
      <c r="E63" s="94">
        <f>+'[2]COSOLIDADO PLAN DE ACCIÓN'!N53</f>
        <v>100</v>
      </c>
      <c r="F63" s="93">
        <f>+'[2]COSOLIDADO PLAN DE ACCIÓN'!R53</f>
        <v>50</v>
      </c>
      <c r="G63" s="97"/>
      <c r="H63" s="98">
        <f>+E63/C63</f>
        <v>1</v>
      </c>
      <c r="I63" s="99">
        <f>+F63/D63</f>
        <v>0.5</v>
      </c>
      <c r="J63" s="112" t="s">
        <v>188</v>
      </c>
      <c r="K63" s="125" t="s">
        <v>49</v>
      </c>
      <c r="L63" s="125" t="s">
        <v>50</v>
      </c>
      <c r="M63" s="117"/>
      <c r="N63" s="117" t="s">
        <v>51</v>
      </c>
      <c r="O63" s="118" t="s">
        <v>189</v>
      </c>
      <c r="P63" s="93">
        <v>10394833</v>
      </c>
      <c r="Q63" s="93">
        <v>10394833</v>
      </c>
      <c r="R63" s="125" t="s">
        <v>53</v>
      </c>
      <c r="S63" s="109">
        <f>+I63</f>
        <v>0.5</v>
      </c>
      <c r="T63" s="93">
        <f>+'[2]COSOLIDADO PLAN DE ACCIÓN'!D53</f>
        <v>100</v>
      </c>
      <c r="U63" s="110">
        <f>+'[2]COSOLIDADO PLAN DE ACCIÓN'!F53</f>
        <v>62.5</v>
      </c>
      <c r="V63" s="99">
        <f t="shared" ref="V63:V69" si="39">IF(U63/T63&gt;=100%,100%,U63/T63)</f>
        <v>0.625</v>
      </c>
      <c r="W63" s="99">
        <f t="shared" ref="W63:W68" si="40">+Y63/$Y$62</f>
        <v>3.7342712980455574E-3</v>
      </c>
      <c r="X63" s="99">
        <f t="shared" ref="X63:X68" si="41">+W63</f>
        <v>3.7342712980455574E-3</v>
      </c>
      <c r="Y63" s="93">
        <f>+'[2]COSOLIDADO PLAN DE ACCIÓN'!Q53</f>
        <v>10394833.68</v>
      </c>
      <c r="Z63" s="93">
        <v>6626400</v>
      </c>
      <c r="AA63" s="93">
        <f>+'[2]COSOLIDADO PLAN DE ACCIÓN'!S53</f>
        <v>10394833</v>
      </c>
      <c r="AB63" s="99">
        <f t="shared" si="2"/>
        <v>0.99999993458288794</v>
      </c>
      <c r="AC63" s="105">
        <f>+'[2]320302-3.2'!S14</f>
        <v>10394833</v>
      </c>
      <c r="AD63" s="99">
        <f t="shared" si="3"/>
        <v>0.99999993458288794</v>
      </c>
      <c r="AE63" s="106">
        <f t="shared" si="6"/>
        <v>0</v>
      </c>
      <c r="AF63" s="127">
        <v>0</v>
      </c>
      <c r="AG63" s="105"/>
      <c r="AH63" s="109"/>
      <c r="AI63" s="110">
        <f>+'[2]COSOLIDADO PLAN DE ACCIÓN'!E53</f>
        <v>81834765.279999986</v>
      </c>
      <c r="AJ63" s="93">
        <f>+'[2]COSOLIDADO PLAN DE ACCIÓN'!G53</f>
        <v>43421233</v>
      </c>
      <c r="AK63" s="109">
        <f>+AJ63/AI63</f>
        <v>0.53059641402322122</v>
      </c>
      <c r="AL63" s="111"/>
      <c r="AM63" s="112" t="s">
        <v>175</v>
      </c>
      <c r="AN63" s="112" t="s">
        <v>190</v>
      </c>
      <c r="AO63" s="112" t="s">
        <v>73</v>
      </c>
      <c r="AP63" s="113"/>
      <c r="AQ63" s="114"/>
    </row>
    <row r="64" spans="1:44" ht="40.5" customHeight="1" thickBot="1" x14ac:dyDescent="0.3">
      <c r="A64" s="92" t="s">
        <v>191</v>
      </c>
      <c r="B64" s="93" t="s">
        <v>47</v>
      </c>
      <c r="C64" s="94">
        <f>+'[2]COSOLIDADO PLAN DE ACCIÓN'!L54</f>
        <v>100</v>
      </c>
      <c r="D64" s="93">
        <f>+'[2]COSOLIDADO PLAN DE ACCIÓN'!P54</f>
        <v>100</v>
      </c>
      <c r="E64" s="94">
        <f>+'[2]COSOLIDADO PLAN DE ACCIÓN'!N54</f>
        <v>100</v>
      </c>
      <c r="F64" s="93">
        <f>+'[2]COSOLIDADO PLAN DE ACCIÓN'!R54</f>
        <v>50</v>
      </c>
      <c r="G64" s="97"/>
      <c r="H64" s="98">
        <f t="shared" ref="H64:I69" si="42">+E64/C64</f>
        <v>1</v>
      </c>
      <c r="I64" s="99">
        <f t="shared" si="42"/>
        <v>0.5</v>
      </c>
      <c r="J64" s="112" t="s">
        <v>192</v>
      </c>
      <c r="K64" s="125" t="s">
        <v>49</v>
      </c>
      <c r="L64" s="125" t="s">
        <v>50</v>
      </c>
      <c r="M64" s="117"/>
      <c r="N64" s="117" t="s">
        <v>51</v>
      </c>
      <c r="O64" s="118" t="s">
        <v>193</v>
      </c>
      <c r="P64" s="93">
        <v>6929889.1200000001</v>
      </c>
      <c r="Q64" s="93">
        <v>6929888.7999999998</v>
      </c>
      <c r="R64" s="125" t="s">
        <v>53</v>
      </c>
      <c r="S64" s="109">
        <f t="shared" ref="S64:S98" si="43">+I64</f>
        <v>0.5</v>
      </c>
      <c r="T64" s="93">
        <f>+'[2]COSOLIDADO PLAN DE ACCIÓN'!D54</f>
        <v>100</v>
      </c>
      <c r="U64" s="110">
        <f>+'[2]COSOLIDADO PLAN DE ACCIÓN'!F54</f>
        <v>62.5</v>
      </c>
      <c r="V64" s="99">
        <f t="shared" si="39"/>
        <v>0.625</v>
      </c>
      <c r="W64" s="99">
        <f t="shared" si="40"/>
        <v>2.4895141986970384E-3</v>
      </c>
      <c r="X64" s="99">
        <f t="shared" si="41"/>
        <v>2.4895141986970384E-3</v>
      </c>
      <c r="Y64" s="93">
        <f>+'[2]COSOLIDADO PLAN DE ACCIÓN'!Q54</f>
        <v>6929889.1200000001</v>
      </c>
      <c r="Z64" s="93">
        <v>6626400</v>
      </c>
      <c r="AA64" s="93">
        <f>+'[2]COSOLIDADO PLAN DE ACCIÓN'!S54</f>
        <v>6929889.1200000001</v>
      </c>
      <c r="AB64" s="99">
        <f t="shared" si="2"/>
        <v>1</v>
      </c>
      <c r="AC64" s="105">
        <f>+'[2]320302-3.2'!S24</f>
        <v>6929889.1200000001</v>
      </c>
      <c r="AD64" s="99">
        <f t="shared" si="3"/>
        <v>1</v>
      </c>
      <c r="AE64" s="106">
        <f t="shared" si="6"/>
        <v>0</v>
      </c>
      <c r="AF64" s="127">
        <v>0</v>
      </c>
      <c r="AG64" s="105"/>
      <c r="AH64" s="109"/>
      <c r="AI64" s="110">
        <f>+'[2]COSOLIDADO PLAN DE ACCIÓN'!E54</f>
        <v>78369820.719999984</v>
      </c>
      <c r="AJ64" s="93">
        <f>+'[2]COSOLIDADO PLAN DE ACCIÓN'!G54</f>
        <v>39956289.119999997</v>
      </c>
      <c r="AK64" s="109">
        <f t="shared" ref="AK64:AK97" si="44">+AJ64/AI64</f>
        <v>0.50984280368275936</v>
      </c>
      <c r="AL64" s="111"/>
      <c r="AM64" s="112" t="s">
        <v>175</v>
      </c>
      <c r="AN64" s="112" t="s">
        <v>194</v>
      </c>
      <c r="AO64" s="112" t="s">
        <v>73</v>
      </c>
      <c r="AP64" s="113"/>
      <c r="AQ64" s="114"/>
    </row>
    <row r="65" spans="1:43" ht="40.5" customHeight="1" thickBot="1" x14ac:dyDescent="0.3">
      <c r="A65" s="92" t="s">
        <v>195</v>
      </c>
      <c r="B65" s="93" t="s">
        <v>47</v>
      </c>
      <c r="C65" s="94">
        <f>+'[2]COSOLIDADO PLAN DE ACCIÓN'!L55</f>
        <v>60</v>
      </c>
      <c r="D65" s="93">
        <f>+'[2]COSOLIDADO PLAN DE ACCIÓN'!P55</f>
        <v>80</v>
      </c>
      <c r="E65" s="94">
        <f>+'[2]COSOLIDADO PLAN DE ACCIÓN'!N55</f>
        <v>60</v>
      </c>
      <c r="F65" s="130">
        <f>+'[2]COSOLIDADO PLAN DE ACCIÓN'!R55</f>
        <v>67.260000000000005</v>
      </c>
      <c r="G65" s="97"/>
      <c r="H65" s="98">
        <f t="shared" si="42"/>
        <v>1</v>
      </c>
      <c r="I65" s="99">
        <f t="shared" si="42"/>
        <v>0.84075000000000011</v>
      </c>
      <c r="J65" s="112" t="s">
        <v>196</v>
      </c>
      <c r="K65" s="125" t="s">
        <v>49</v>
      </c>
      <c r="L65" s="125" t="s">
        <v>50</v>
      </c>
      <c r="M65" s="117"/>
      <c r="N65" s="117" t="s">
        <v>51</v>
      </c>
      <c r="O65" s="118"/>
      <c r="P65" s="93">
        <v>0</v>
      </c>
      <c r="Q65" s="93"/>
      <c r="R65" s="125" t="s">
        <v>53</v>
      </c>
      <c r="S65" s="109">
        <f t="shared" si="43"/>
        <v>0.84075000000000011</v>
      </c>
      <c r="T65" s="93">
        <f>+'[2]COSOLIDADO PLAN DE ACCIÓN'!D55</f>
        <v>100</v>
      </c>
      <c r="U65" s="110">
        <f>+'[2]COSOLIDADO PLAN DE ACCIÓN'!F55</f>
        <v>66.814999999999998</v>
      </c>
      <c r="V65" s="99">
        <f t="shared" si="39"/>
        <v>0.66815000000000002</v>
      </c>
      <c r="W65" s="99">
        <f>+Y65/$Y$62</f>
        <v>7.9033461319414071E-4</v>
      </c>
      <c r="X65" s="99">
        <f t="shared" si="41"/>
        <v>7.9033461319414071E-4</v>
      </c>
      <c r="Y65" s="93">
        <f>+'[2]COSOLIDADO PLAN DE ACCIÓN'!Q55</f>
        <v>2200000</v>
      </c>
      <c r="Z65" s="93">
        <v>316420847</v>
      </c>
      <c r="AA65" s="93">
        <f>+'[2]COSOLIDADO PLAN DE ACCIÓN'!S55</f>
        <v>0</v>
      </c>
      <c r="AB65" s="99">
        <f t="shared" si="2"/>
        <v>0</v>
      </c>
      <c r="AC65" s="105">
        <f>+'[2]320302-3.2'!S30</f>
        <v>0</v>
      </c>
      <c r="AD65" s="99">
        <f t="shared" si="3"/>
        <v>0</v>
      </c>
      <c r="AE65" s="106">
        <f t="shared" si="6"/>
        <v>0</v>
      </c>
      <c r="AF65" s="127">
        <v>316420847</v>
      </c>
      <c r="AG65" s="105">
        <v>45186742</v>
      </c>
      <c r="AH65" s="109">
        <f t="shared" si="4"/>
        <v>0.14280583099507346</v>
      </c>
      <c r="AI65" s="110">
        <f>+'[2]COSOLIDADO PLAN DE ACCIÓN'!E55</f>
        <v>518347934</v>
      </c>
      <c r="AJ65" s="93">
        <f>+'[2]COSOLIDADO PLAN DE ACCIÓN'!G55</f>
        <v>515709480</v>
      </c>
      <c r="AK65" s="109">
        <f t="shared" si="44"/>
        <v>0.99490987842926371</v>
      </c>
      <c r="AL65" s="111"/>
      <c r="AM65" s="112" t="s">
        <v>175</v>
      </c>
      <c r="AN65" s="112" t="s">
        <v>197</v>
      </c>
      <c r="AO65" s="112" t="s">
        <v>73</v>
      </c>
      <c r="AP65" s="113"/>
      <c r="AQ65" s="114"/>
    </row>
    <row r="66" spans="1:43" ht="40.5" customHeight="1" thickBot="1" x14ac:dyDescent="0.3">
      <c r="A66" s="92" t="s">
        <v>198</v>
      </c>
      <c r="B66" s="93" t="s">
        <v>47</v>
      </c>
      <c r="C66" s="94">
        <f>+'[2]COSOLIDADO PLAN DE ACCIÓN'!L56</f>
        <v>60</v>
      </c>
      <c r="D66" s="93">
        <f>+'[2]COSOLIDADO PLAN DE ACCIÓN'!P56</f>
        <v>80</v>
      </c>
      <c r="E66" s="94">
        <f>+'[2]COSOLIDADO PLAN DE ACCIÓN'!N56</f>
        <v>60</v>
      </c>
      <c r="F66" s="130">
        <f>+'[2]COSOLIDADO PLAN DE ACCIÓN'!R56</f>
        <v>67.260000000000005</v>
      </c>
      <c r="G66" s="97"/>
      <c r="H66" s="98">
        <f t="shared" si="42"/>
        <v>1</v>
      </c>
      <c r="I66" s="99">
        <f>+F66/D66</f>
        <v>0.84075000000000011</v>
      </c>
      <c r="J66" s="112" t="s">
        <v>199</v>
      </c>
      <c r="K66" s="125" t="s">
        <v>49</v>
      </c>
      <c r="L66" s="125" t="s">
        <v>50</v>
      </c>
      <c r="M66" s="117"/>
      <c r="N66" s="117" t="s">
        <v>51</v>
      </c>
      <c r="O66" s="118"/>
      <c r="P66" s="93">
        <v>0</v>
      </c>
      <c r="Q66" s="93"/>
      <c r="R66" s="125" t="s">
        <v>53</v>
      </c>
      <c r="S66" s="109">
        <f t="shared" si="43"/>
        <v>0.84075000000000011</v>
      </c>
      <c r="T66" s="93">
        <f>+'[2]COSOLIDADO PLAN DE ACCIÓN'!D56</f>
        <v>100</v>
      </c>
      <c r="U66" s="104">
        <f>+'[2]COSOLIDADO PLAN DE ACCIÓN'!F56</f>
        <v>16865</v>
      </c>
      <c r="V66" s="99">
        <f t="shared" si="39"/>
        <v>1</v>
      </c>
      <c r="W66" s="99">
        <f t="shared" si="40"/>
        <v>0.14453354550819214</v>
      </c>
      <c r="X66" s="99">
        <f t="shared" si="41"/>
        <v>0.14453354550819214</v>
      </c>
      <c r="Y66" s="93">
        <f>+'[2]COSOLIDADO PLAN DE ACCIÓN'!Q56</f>
        <v>402328070.68000001</v>
      </c>
      <c r="Z66" s="93">
        <v>329104038</v>
      </c>
      <c r="AA66" s="93">
        <f>+'[2]COSOLIDADO PLAN DE ACCIÓN'!S56</f>
        <v>0</v>
      </c>
      <c r="AB66" s="99">
        <f t="shared" si="2"/>
        <v>0</v>
      </c>
      <c r="AC66" s="105">
        <f>+'[2]320302-3.2'!S42</f>
        <v>0</v>
      </c>
      <c r="AD66" s="99">
        <f t="shared" si="3"/>
        <v>0</v>
      </c>
      <c r="AE66" s="106">
        <f t="shared" si="6"/>
        <v>0</v>
      </c>
      <c r="AF66" s="127">
        <v>329104038</v>
      </c>
      <c r="AG66" s="105"/>
      <c r="AH66" s="109">
        <f t="shared" si="4"/>
        <v>0</v>
      </c>
      <c r="AI66" s="110">
        <f>+'[2]COSOLIDADO PLAN DE ACCIÓN'!E56</f>
        <v>1056440494.6800001</v>
      </c>
      <c r="AJ66" s="93">
        <f>+'[2]COSOLIDADO PLAN DE ACCIÓN'!G56</f>
        <v>650483489</v>
      </c>
      <c r="AK66" s="109">
        <f t="shared" si="44"/>
        <v>0.61573130931244169</v>
      </c>
      <c r="AL66" s="111"/>
      <c r="AM66" s="112" t="s">
        <v>175</v>
      </c>
      <c r="AN66" s="112" t="s">
        <v>200</v>
      </c>
      <c r="AO66" s="112" t="s">
        <v>73</v>
      </c>
      <c r="AP66" s="113"/>
      <c r="AQ66" s="114"/>
    </row>
    <row r="67" spans="1:43" ht="54.75" customHeight="1" thickBot="1" x14ac:dyDescent="0.3">
      <c r="A67" s="115" t="s">
        <v>201</v>
      </c>
      <c r="B67" s="93" t="s">
        <v>93</v>
      </c>
      <c r="C67" s="94">
        <f>+'[2]COSOLIDADO PLAN DE ACCIÓN'!L57</f>
        <v>1</v>
      </c>
      <c r="D67" s="93">
        <f>+'[2]COSOLIDADO PLAN DE ACCIÓN'!P57</f>
        <v>1</v>
      </c>
      <c r="E67" s="94">
        <f>+'[2]COSOLIDADO PLAN DE ACCIÓN'!N57</f>
        <v>1</v>
      </c>
      <c r="F67" s="116">
        <f>+'[2]COSOLIDADO PLAN DE ACCIÓN'!R57</f>
        <v>0.5</v>
      </c>
      <c r="G67" s="97"/>
      <c r="H67" s="98">
        <f t="shared" si="42"/>
        <v>1</v>
      </c>
      <c r="I67" s="99">
        <f>+F67/D67</f>
        <v>0.5</v>
      </c>
      <c r="J67" s="112" t="s">
        <v>202</v>
      </c>
      <c r="K67" s="125" t="s">
        <v>49</v>
      </c>
      <c r="L67" s="125" t="s">
        <v>50</v>
      </c>
      <c r="M67" s="117"/>
      <c r="N67" s="117" t="s">
        <v>51</v>
      </c>
      <c r="O67" s="118" t="s">
        <v>203</v>
      </c>
      <c r="P67" s="93">
        <v>1014664572</v>
      </c>
      <c r="Q67" s="93">
        <v>274857354</v>
      </c>
      <c r="R67" s="125" t="s">
        <v>53</v>
      </c>
      <c r="S67" s="109">
        <f t="shared" si="43"/>
        <v>0.5</v>
      </c>
      <c r="T67" s="93">
        <f>+'[2]COSOLIDADO PLAN DE ACCIÓN'!D57</f>
        <v>1</v>
      </c>
      <c r="U67" s="147">
        <f>+'[2]COSOLIDADO PLAN DE ACCIÓN'!F57</f>
        <v>0.625</v>
      </c>
      <c r="V67" s="99">
        <f t="shared" si="39"/>
        <v>0.625</v>
      </c>
      <c r="W67" s="99">
        <f>+Y67/$Y$62</f>
        <v>0.7315716136355005</v>
      </c>
      <c r="X67" s="99">
        <f t="shared" si="41"/>
        <v>0.7315716136355005</v>
      </c>
      <c r="Y67" s="93">
        <f>+'[2]COSOLIDADO PLAN DE ACCIÓN'!Q57</f>
        <v>2036425487.5456758</v>
      </c>
      <c r="Z67" s="93">
        <v>1966604711</v>
      </c>
      <c r="AA67" s="93">
        <f>+'[2]COSOLIDADO PLAN DE ACCIÓN'!S57</f>
        <v>1014664572</v>
      </c>
      <c r="AB67" s="99">
        <f t="shared" si="2"/>
        <v>0.49825764713978599</v>
      </c>
      <c r="AC67" s="105">
        <f>+'[2]320302-3.2'!S93</f>
        <v>293501402</v>
      </c>
      <c r="AD67" s="99">
        <f t="shared" si="3"/>
        <v>0.14412577518548511</v>
      </c>
      <c r="AE67" s="106">
        <f t="shared" si="6"/>
        <v>721163170</v>
      </c>
      <c r="AF67" s="127">
        <v>1034557431</v>
      </c>
      <c r="AG67" s="105">
        <v>314474117</v>
      </c>
      <c r="AH67" s="109">
        <f t="shared" si="4"/>
        <v>0.30396970489693387</v>
      </c>
      <c r="AI67" s="110">
        <f>+'[2]COSOLIDADO PLAN DE ACCIÓN'!E57</f>
        <v>7259421812.174675</v>
      </c>
      <c r="AJ67" s="93">
        <f>+'[2]COSOLIDADO PLAN DE ACCIÓN'!G57</f>
        <v>4525904794.8080006</v>
      </c>
      <c r="AK67" s="109">
        <f t="shared" si="44"/>
        <v>0.623452516179411</v>
      </c>
      <c r="AL67" s="111"/>
      <c r="AM67" s="112" t="s">
        <v>175</v>
      </c>
      <c r="AN67" s="120"/>
      <c r="AO67" s="112" t="s">
        <v>73</v>
      </c>
      <c r="AP67" s="113"/>
      <c r="AQ67" s="114"/>
    </row>
    <row r="68" spans="1:43" ht="40.5" customHeight="1" thickBot="1" x14ac:dyDescent="0.3">
      <c r="A68" s="115" t="s">
        <v>204</v>
      </c>
      <c r="B68" s="93" t="s">
        <v>93</v>
      </c>
      <c r="C68" s="94">
        <f>+'[2]COSOLIDADO PLAN DE ACCIÓN'!L58</f>
        <v>0</v>
      </c>
      <c r="D68" s="93">
        <f>+'[2]COSOLIDADO PLAN DE ACCIÓN'!P58</f>
        <v>6</v>
      </c>
      <c r="E68" s="94">
        <f>+'[2]COSOLIDADO PLAN DE ACCIÓN'!N58</f>
        <v>0</v>
      </c>
      <c r="F68" s="93">
        <f>+'[2]COSOLIDADO PLAN DE ACCIÓN'!R58</f>
        <v>0</v>
      </c>
      <c r="G68" s="97"/>
      <c r="H68" s="98">
        <v>0</v>
      </c>
      <c r="I68" s="99">
        <f t="shared" si="42"/>
        <v>0</v>
      </c>
      <c r="J68" s="112" t="s">
        <v>205</v>
      </c>
      <c r="K68" s="125" t="s">
        <v>49</v>
      </c>
      <c r="L68" s="125" t="s">
        <v>50</v>
      </c>
      <c r="M68" s="117"/>
      <c r="N68" s="117" t="s">
        <v>51</v>
      </c>
      <c r="O68" s="118" t="s">
        <v>206</v>
      </c>
      <c r="P68" s="93">
        <v>251264054</v>
      </c>
      <c r="Q68" s="93">
        <v>81952614</v>
      </c>
      <c r="R68" s="125" t="s">
        <v>53</v>
      </c>
      <c r="S68" s="109">
        <f t="shared" si="43"/>
        <v>0</v>
      </c>
      <c r="T68" s="93">
        <f>+'[2]COSOLIDADO PLAN DE ACCIÓN'!D58</f>
        <v>13</v>
      </c>
      <c r="U68" s="110">
        <f>+'[2]COSOLIDADO PLAN DE ACCIÓN'!F58</f>
        <v>0</v>
      </c>
      <c r="V68" s="99">
        <f t="shared" si="39"/>
        <v>0</v>
      </c>
      <c r="W68" s="99">
        <f t="shared" si="40"/>
        <v>0.10453695910106858</v>
      </c>
      <c r="X68" s="99">
        <f t="shared" si="41"/>
        <v>0.10453695910106858</v>
      </c>
      <c r="Y68" s="93">
        <f>+'[2]COSOLIDADO PLAN DE ACCIÓN'!Q58</f>
        <v>290992329.30325603</v>
      </c>
      <c r="Z68" s="93">
        <v>0</v>
      </c>
      <c r="AA68" s="93">
        <f>+'[2]COSOLIDADO PLAN DE ACCIÓN'!S58</f>
        <v>251264054</v>
      </c>
      <c r="AB68" s="99">
        <f t="shared" si="2"/>
        <v>0.86347311835201868</v>
      </c>
      <c r="AC68" s="105">
        <f>+'[2]320302-3.2'!S103</f>
        <v>97234922</v>
      </c>
      <c r="AD68" s="99">
        <f t="shared" si="3"/>
        <v>0.33414943353598564</v>
      </c>
      <c r="AE68" s="106">
        <f t="shared" si="6"/>
        <v>154029132</v>
      </c>
      <c r="AF68" s="127">
        <v>0</v>
      </c>
      <c r="AG68" s="105"/>
      <c r="AH68" s="109"/>
      <c r="AI68" s="110">
        <f>+'[2]COSOLIDADO PLAN DE ACCIÓN'!E58</f>
        <v>660592329.30325603</v>
      </c>
      <c r="AJ68" s="93">
        <f>+'[2]COSOLIDADO PLAN DE ACCIÓN'!G58</f>
        <v>251264054</v>
      </c>
      <c r="AK68" s="109">
        <f t="shared" si="44"/>
        <v>0.3803617493787958</v>
      </c>
      <c r="AL68" s="111"/>
      <c r="AM68" s="112" t="s">
        <v>175</v>
      </c>
      <c r="AN68" s="120"/>
      <c r="AO68" s="112" t="s">
        <v>73</v>
      </c>
      <c r="AP68" s="113"/>
      <c r="AQ68" s="114"/>
    </row>
    <row r="69" spans="1:43" ht="40.5" customHeight="1" thickBot="1" x14ac:dyDescent="0.3">
      <c r="A69" s="92" t="s">
        <v>207</v>
      </c>
      <c r="B69" s="93" t="s">
        <v>47</v>
      </c>
      <c r="C69" s="94">
        <f>+'[2]COSOLIDADO PLAN DE ACCIÓN'!L59</f>
        <v>100</v>
      </c>
      <c r="D69" s="93">
        <f>+'[2]COSOLIDADO PLAN DE ACCIÓN'!P59</f>
        <v>100</v>
      </c>
      <c r="E69" s="94">
        <f>+'[2]COSOLIDADO PLAN DE ACCIÓN'!N59</f>
        <v>85</v>
      </c>
      <c r="F69" s="93">
        <f>+'[2]COSOLIDADO PLAN DE ACCIÓN'!R59</f>
        <v>0</v>
      </c>
      <c r="G69" s="97"/>
      <c r="H69" s="98">
        <f t="shared" si="42"/>
        <v>0.85</v>
      </c>
      <c r="I69" s="99">
        <f t="shared" si="42"/>
        <v>0</v>
      </c>
      <c r="J69" s="112"/>
      <c r="K69" s="125" t="s">
        <v>49</v>
      </c>
      <c r="L69" s="125" t="s">
        <v>50</v>
      </c>
      <c r="M69" s="117"/>
      <c r="N69" s="117" t="s">
        <v>51</v>
      </c>
      <c r="O69" s="118"/>
      <c r="P69" s="93">
        <v>0</v>
      </c>
      <c r="Q69" s="93"/>
      <c r="R69" s="125" t="s">
        <v>53</v>
      </c>
      <c r="S69" s="109">
        <f t="shared" si="43"/>
        <v>0</v>
      </c>
      <c r="T69" s="93">
        <f>+'[2]COSOLIDADO PLAN DE ACCIÓN'!D59</f>
        <v>100</v>
      </c>
      <c r="U69" s="110">
        <f>+'[2]COSOLIDADO PLAN DE ACCIÓN'!F59</f>
        <v>46</v>
      </c>
      <c r="V69" s="99">
        <f t="shared" si="39"/>
        <v>0.46</v>
      </c>
      <c r="W69" s="99">
        <f>+Y69/$Y$62</f>
        <v>1.2343761645302155E-2</v>
      </c>
      <c r="X69" s="99">
        <f>+W69</f>
        <v>1.2343761645302155E-2</v>
      </c>
      <c r="Y69" s="93">
        <f>+'[2]COSOLIDADO PLAN DE ACCIÓN'!Q59</f>
        <v>34360478.671068877</v>
      </c>
      <c r="Z69" s="93">
        <v>329043653</v>
      </c>
      <c r="AA69" s="93">
        <f>+'[2]COSOLIDADO PLAN DE ACCIÓN'!S59</f>
        <v>0</v>
      </c>
      <c r="AB69" s="99">
        <f t="shared" si="2"/>
        <v>0</v>
      </c>
      <c r="AC69" s="105">
        <f>+'[2]320302-3.2'!S109</f>
        <v>0</v>
      </c>
      <c r="AD69" s="99">
        <f t="shared" si="3"/>
        <v>0</v>
      </c>
      <c r="AE69" s="106">
        <f t="shared" si="6"/>
        <v>0</v>
      </c>
      <c r="AF69" s="127">
        <v>129063554</v>
      </c>
      <c r="AG69" s="105">
        <v>109426506</v>
      </c>
      <c r="AH69" s="109">
        <f t="shared" si="4"/>
        <v>0.84784978104663067</v>
      </c>
      <c r="AI69" s="110">
        <f>+'[2]COSOLIDADO PLAN DE ACCIÓN'!E59</f>
        <v>1423447267.6710689</v>
      </c>
      <c r="AJ69" s="93">
        <f>+'[2]COSOLIDADO PLAN DE ACCIÓN'!G59</f>
        <v>924608428</v>
      </c>
      <c r="AK69" s="109">
        <f t="shared" si="44"/>
        <v>0.64955579950128439</v>
      </c>
      <c r="AL69" s="111"/>
      <c r="AM69" s="112" t="s">
        <v>175</v>
      </c>
      <c r="AN69" s="112" t="s">
        <v>95</v>
      </c>
      <c r="AO69" s="112" t="s">
        <v>168</v>
      </c>
      <c r="AP69" s="113"/>
      <c r="AQ69" s="114"/>
    </row>
    <row r="70" spans="1:43" ht="54" customHeight="1" thickBot="1" x14ac:dyDescent="0.3">
      <c r="A70" s="30" t="s">
        <v>208</v>
      </c>
      <c r="B70" s="41"/>
      <c r="C70" s="32"/>
      <c r="D70" s="32"/>
      <c r="E70" s="32"/>
      <c r="F70" s="32"/>
      <c r="G70" s="33"/>
      <c r="H70" s="34">
        <f>AVERAGE(H71,H75,H87,H91)</f>
        <v>0.90013888888888893</v>
      </c>
      <c r="I70" s="35">
        <f>+(I71+I75)/2</f>
        <v>0.49111111111111111</v>
      </c>
      <c r="J70" s="137"/>
      <c r="K70" s="36"/>
      <c r="L70" s="36"/>
      <c r="M70" s="36"/>
      <c r="N70" s="36"/>
      <c r="O70" s="36"/>
      <c r="P70" s="37">
        <f>+P71++P75+P87+P91</f>
        <v>6521709867</v>
      </c>
      <c r="Q70" s="37">
        <f>+Q71+Q75+Q87+Q91</f>
        <v>1789295856</v>
      </c>
      <c r="R70" s="38"/>
      <c r="S70" s="39">
        <f t="shared" si="43"/>
        <v>0.49111111111111111</v>
      </c>
      <c r="T70" s="41"/>
      <c r="U70" s="46"/>
      <c r="V70" s="148">
        <f>+(V71*W71)+(V75*W75)+(V87*W87)+(V91*W91)</f>
        <v>0.17887688410278663</v>
      </c>
      <c r="W70" s="35">
        <f>+Y70/$Y$99</f>
        <v>0.28744497602218239</v>
      </c>
      <c r="X70" s="35">
        <f>+W70</f>
        <v>0.28744497602218239</v>
      </c>
      <c r="Y70" s="41">
        <f>+Y71+Y75+Y87+Y91</f>
        <v>10042807592.692623</v>
      </c>
      <c r="Z70" s="41">
        <f>+Z71+Z75+Z87+Z91</f>
        <v>10079069408.4</v>
      </c>
      <c r="AA70" s="41">
        <f>+AA71+AA75+AA87+AA91</f>
        <v>3532623841</v>
      </c>
      <c r="AB70" s="35">
        <f t="shared" si="2"/>
        <v>0.35175659877925153</v>
      </c>
      <c r="AC70" s="42">
        <f>+AC71+AC75+AC87+AC91</f>
        <v>1841576717</v>
      </c>
      <c r="AD70" s="35">
        <f t="shared" si="3"/>
        <v>0.18337269732619127</v>
      </c>
      <c r="AE70" s="43">
        <f>+AE71+AE75+AE87+AE91</f>
        <v>1691047124</v>
      </c>
      <c r="AF70" s="44">
        <f>+AF71+AF75+AF87+AF91</f>
        <v>2738183562.6400003</v>
      </c>
      <c r="AG70" s="42">
        <f>+AG71+AG75+AG87+AG91</f>
        <v>1172630410</v>
      </c>
      <c r="AH70" s="45">
        <f t="shared" si="4"/>
        <v>0.42825120492265928</v>
      </c>
      <c r="AI70" s="46">
        <f>+AI71+AI75+AI87+AI91</f>
        <v>28879735828.809822</v>
      </c>
      <c r="AJ70" s="41">
        <f>+AJ71+AJ75+AJ87+AJ91</f>
        <v>17281123357.040001</v>
      </c>
      <c r="AK70" s="45">
        <f t="shared" si="44"/>
        <v>0.5983823210668261</v>
      </c>
      <c r="AL70" s="31"/>
      <c r="AM70" s="47" t="s">
        <v>173</v>
      </c>
      <c r="AN70" s="48"/>
      <c r="AO70" s="48"/>
      <c r="AP70" s="49"/>
      <c r="AQ70" s="50"/>
    </row>
    <row r="71" spans="1:43" ht="51.75" customHeight="1" thickBot="1" x14ac:dyDescent="0.3">
      <c r="A71" s="51" t="s">
        <v>209</v>
      </c>
      <c r="B71" s="60"/>
      <c r="C71" s="135"/>
      <c r="D71" s="135"/>
      <c r="E71" s="135"/>
      <c r="F71" s="135"/>
      <c r="G71" s="136"/>
      <c r="H71" s="55">
        <f>AVERAGE(H72)</f>
        <v>1</v>
      </c>
      <c r="I71" s="56">
        <f>AVERAGE(I72)</f>
        <v>0.43888888888888888</v>
      </c>
      <c r="J71" s="68"/>
      <c r="K71" s="60"/>
      <c r="L71" s="60"/>
      <c r="M71" s="66"/>
      <c r="N71" s="66"/>
      <c r="O71" s="66"/>
      <c r="P71" s="60">
        <f>+P72</f>
        <v>258161079</v>
      </c>
      <c r="Q71" s="60">
        <f>+Q72</f>
        <v>62138028</v>
      </c>
      <c r="R71" s="60"/>
      <c r="S71" s="55">
        <f t="shared" si="43"/>
        <v>0.43888888888888888</v>
      </c>
      <c r="T71" s="60"/>
      <c r="U71" s="65"/>
      <c r="V71" s="56">
        <f>+(V72*W72)</f>
        <v>0.63054669172771116</v>
      </c>
      <c r="W71" s="56">
        <f>+Y71/$Y$99</f>
        <v>7.9239873646746659E-3</v>
      </c>
      <c r="X71" s="56">
        <f>+W71</f>
        <v>7.9239873646746659E-3</v>
      </c>
      <c r="Y71" s="60">
        <f>+Y72</f>
        <v>276849787.29359996</v>
      </c>
      <c r="Z71" s="60">
        <f>+Z72</f>
        <v>259075557</v>
      </c>
      <c r="AA71" s="60">
        <f>+AA72</f>
        <v>258161079</v>
      </c>
      <c r="AB71" s="56">
        <f t="shared" si="2"/>
        <v>0.9324951321931827</v>
      </c>
      <c r="AC71" s="61">
        <f>+AC72</f>
        <v>62163342</v>
      </c>
      <c r="AD71" s="56">
        <f t="shared" si="3"/>
        <v>0.22453816059492077</v>
      </c>
      <c r="AE71" s="62">
        <f>+AE72</f>
        <v>195997737</v>
      </c>
      <c r="AF71" s="63">
        <f>+AF72</f>
        <v>41883722</v>
      </c>
      <c r="AG71" s="61">
        <f>+AG72</f>
        <v>41553348</v>
      </c>
      <c r="AH71" s="64">
        <f t="shared" si="4"/>
        <v>0.99211211458236692</v>
      </c>
      <c r="AI71" s="65">
        <f>+AI72</f>
        <v>1190486714.2507999</v>
      </c>
      <c r="AJ71" s="60">
        <f>+AJ72</f>
        <v>744585585</v>
      </c>
      <c r="AK71" s="64">
        <f t="shared" si="44"/>
        <v>0.62544636247249885</v>
      </c>
      <c r="AL71" s="66"/>
      <c r="AM71" s="67" t="s">
        <v>173</v>
      </c>
      <c r="AN71" s="68"/>
      <c r="AO71" s="68"/>
      <c r="AP71" s="69"/>
      <c r="AQ71" s="70"/>
    </row>
    <row r="72" spans="1:43" ht="40.5" customHeight="1" thickBot="1" x14ac:dyDescent="0.3">
      <c r="A72" s="71" t="s">
        <v>210</v>
      </c>
      <c r="B72" s="80"/>
      <c r="C72" s="121"/>
      <c r="D72" s="121"/>
      <c r="E72" s="121"/>
      <c r="F72" s="121"/>
      <c r="G72" s="122"/>
      <c r="H72" s="75">
        <f>AVERAGE(H73:H74)</f>
        <v>1</v>
      </c>
      <c r="I72" s="149">
        <f>AVERAGE(I73:I74)</f>
        <v>0.43888888888888888</v>
      </c>
      <c r="J72" s="89"/>
      <c r="K72" s="80"/>
      <c r="L72" s="80"/>
      <c r="M72" s="87"/>
      <c r="N72" s="87"/>
      <c r="O72" s="87"/>
      <c r="P72" s="80">
        <v>258161079</v>
      </c>
      <c r="Q72" s="80">
        <f>SUM(Q73:Q74)</f>
        <v>62138028</v>
      </c>
      <c r="R72" s="80"/>
      <c r="S72" s="75">
        <f t="shared" si="43"/>
        <v>0.43888888888888888</v>
      </c>
      <c r="T72" s="80"/>
      <c r="U72" s="85"/>
      <c r="V72" s="76">
        <f>+(V73*W73)+(V74*W74)</f>
        <v>0.63054669172771116</v>
      </c>
      <c r="W72" s="76">
        <v>1</v>
      </c>
      <c r="X72" s="76">
        <v>1</v>
      </c>
      <c r="Y72" s="80">
        <f>SUM(Y73:Y74)</f>
        <v>276849787.29359996</v>
      </c>
      <c r="Z72" s="80">
        <f>SUM(Z73:Z74)</f>
        <v>259075557</v>
      </c>
      <c r="AA72" s="80">
        <f>SUM(AA73:AA74)</f>
        <v>258161079</v>
      </c>
      <c r="AB72" s="76">
        <f t="shared" si="2"/>
        <v>0.9324951321931827</v>
      </c>
      <c r="AC72" s="81">
        <f>SUM(AC73:AC74)</f>
        <v>62163342</v>
      </c>
      <c r="AD72" s="76">
        <f t="shared" si="3"/>
        <v>0.22453816059492077</v>
      </c>
      <c r="AE72" s="82">
        <f>SUM(AE73:AE74)</f>
        <v>195997737</v>
      </c>
      <c r="AF72" s="83">
        <f>SUM(AF73:AF74)</f>
        <v>41883722</v>
      </c>
      <c r="AG72" s="81">
        <f>SUM(AG73:AG74)</f>
        <v>41553348</v>
      </c>
      <c r="AH72" s="86">
        <f t="shared" si="4"/>
        <v>0.99211211458236692</v>
      </c>
      <c r="AI72" s="85">
        <f>SUM(AI73:AI74)</f>
        <v>1190486714.2507999</v>
      </c>
      <c r="AJ72" s="80">
        <f>SUM(AJ73:AJ74)</f>
        <v>744585585</v>
      </c>
      <c r="AK72" s="86">
        <f t="shared" si="44"/>
        <v>0.62544636247249885</v>
      </c>
      <c r="AL72" s="87"/>
      <c r="AM72" s="88" t="s">
        <v>173</v>
      </c>
      <c r="AN72" s="89"/>
      <c r="AO72" s="89"/>
      <c r="AP72" s="90"/>
      <c r="AQ72" s="91"/>
    </row>
    <row r="73" spans="1:43" ht="54.75" customHeight="1" thickBot="1" x14ac:dyDescent="0.3">
      <c r="A73" s="115" t="s">
        <v>211</v>
      </c>
      <c r="B73" s="93" t="s">
        <v>47</v>
      </c>
      <c r="C73" s="94">
        <f>+'[2]COSOLIDADO PLAN DE ACCIÓN'!L62</f>
        <v>100</v>
      </c>
      <c r="D73" s="93">
        <f>+'[2]COSOLIDADO PLAN DE ACCIÓN'!P62</f>
        <v>100</v>
      </c>
      <c r="E73" s="94">
        <f>+'[2]COSOLIDADO PLAN DE ACCIÓN'!N62</f>
        <v>100</v>
      </c>
      <c r="F73" s="93">
        <f>+'[2]COSOLIDADO PLAN DE ACCIÓN'!R62</f>
        <v>50</v>
      </c>
      <c r="G73" s="97"/>
      <c r="H73" s="98">
        <f>+E73/C73</f>
        <v>1</v>
      </c>
      <c r="I73" s="99">
        <f>+F73/D73</f>
        <v>0.5</v>
      </c>
      <c r="J73" s="112" t="s">
        <v>212</v>
      </c>
      <c r="K73" s="125" t="s">
        <v>49</v>
      </c>
      <c r="L73" s="125" t="s">
        <v>50</v>
      </c>
      <c r="M73" s="117"/>
      <c r="N73" s="117" t="s">
        <v>51</v>
      </c>
      <c r="O73" s="118" t="s">
        <v>213</v>
      </c>
      <c r="P73" s="93">
        <v>197500192</v>
      </c>
      <c r="Q73" s="93">
        <v>43711214</v>
      </c>
      <c r="R73" s="125" t="s">
        <v>53</v>
      </c>
      <c r="S73" s="98">
        <f t="shared" si="43"/>
        <v>0.5</v>
      </c>
      <c r="T73" s="93">
        <f>+'[2]COSOLIDADO PLAN DE ACCIÓN'!D62</f>
        <v>100</v>
      </c>
      <c r="U73" s="110">
        <f>+'[2]COSOLIDADO PLAN DE ACCIÓN'!F62</f>
        <v>62.5</v>
      </c>
      <c r="V73" s="99">
        <f t="shared" ref="V73:V74" si="45">IF(U73/T73&gt;=100%,100%,U73/T73)</f>
        <v>0.625</v>
      </c>
      <c r="W73" s="99">
        <f>+Y73/Y72</f>
        <v>0.77813233089155442</v>
      </c>
      <c r="X73" s="99">
        <f t="shared" ref="X73:X85" si="46">+W73</f>
        <v>0.77813233089155442</v>
      </c>
      <c r="Y73" s="93">
        <f>+'[2]COSOLIDADO PLAN DE ACCIÓN'!Q62</f>
        <v>215425770.29359999</v>
      </c>
      <c r="Z73" s="93">
        <v>175582917</v>
      </c>
      <c r="AA73" s="93">
        <f>+'[2]COSOLIDADO PLAN DE ACCIÓN'!S62</f>
        <v>197500192</v>
      </c>
      <c r="AB73" s="99">
        <f t="shared" ref="AB73:AB99" si="47">+AA73/Y73</f>
        <v>0.91679000024384483</v>
      </c>
      <c r="AC73" s="105">
        <f>+'[2]320401-4.4'!S23</f>
        <v>43736528</v>
      </c>
      <c r="AD73" s="99">
        <f t="shared" ref="AD73:AD98" si="48">+AC73/Y73</f>
        <v>0.20302365840629119</v>
      </c>
      <c r="AE73" s="106">
        <f t="shared" si="6"/>
        <v>153763664</v>
      </c>
      <c r="AF73" s="127">
        <v>14454442</v>
      </c>
      <c r="AG73" s="105">
        <v>14124068</v>
      </c>
      <c r="AH73" s="109">
        <f t="shared" ref="AH73:AH99" si="49">+AG73/AF73</f>
        <v>0.97714377351958659</v>
      </c>
      <c r="AI73" s="110">
        <f>+'[2]COSOLIDADO PLAN DE ACCIÓN'!E62</f>
        <v>925435147.25079989</v>
      </c>
      <c r="AJ73" s="93">
        <f>+'[2]COSOLIDADO PLAN DE ACCIÓN'!G62</f>
        <v>563954228</v>
      </c>
      <c r="AK73" s="109">
        <f t="shared" si="44"/>
        <v>0.60939356979832127</v>
      </c>
      <c r="AL73" s="111"/>
      <c r="AM73" s="112" t="s">
        <v>173</v>
      </c>
      <c r="AN73" s="120"/>
      <c r="AO73" s="112" t="s">
        <v>73</v>
      </c>
      <c r="AP73" s="113"/>
      <c r="AQ73" s="114"/>
    </row>
    <row r="74" spans="1:43" ht="40.5" customHeight="1" thickBot="1" x14ac:dyDescent="0.3">
      <c r="A74" s="92" t="s">
        <v>214</v>
      </c>
      <c r="B74" s="93" t="s">
        <v>47</v>
      </c>
      <c r="C74" s="94">
        <f>+'[2]COSOLIDADO PLAN DE ACCIÓN'!L63</f>
        <v>90</v>
      </c>
      <c r="D74" s="93">
        <f>+'[2]COSOLIDADO PLAN DE ACCIÓN'!P63</f>
        <v>90</v>
      </c>
      <c r="E74" s="94">
        <f>+'[2]COSOLIDADO PLAN DE ACCIÓN'!N63</f>
        <v>100</v>
      </c>
      <c r="F74" s="93">
        <f>+'[2]COSOLIDADO PLAN DE ACCIÓN'!R63</f>
        <v>34</v>
      </c>
      <c r="G74" s="97"/>
      <c r="H74" s="98">
        <v>1</v>
      </c>
      <c r="I74" s="150">
        <f>+F74/D74</f>
        <v>0.37777777777777777</v>
      </c>
      <c r="J74" s="112" t="s">
        <v>215</v>
      </c>
      <c r="K74" s="125" t="s">
        <v>49</v>
      </c>
      <c r="L74" s="125" t="s">
        <v>50</v>
      </c>
      <c r="M74" s="117"/>
      <c r="N74" s="117" t="s">
        <v>51</v>
      </c>
      <c r="O74" s="118" t="s">
        <v>216</v>
      </c>
      <c r="P74" s="93">
        <v>60660887</v>
      </c>
      <c r="Q74" s="93">
        <v>18426814</v>
      </c>
      <c r="R74" s="125" t="s">
        <v>53</v>
      </c>
      <c r="S74" s="98">
        <f t="shared" si="43"/>
        <v>0.37777777777777777</v>
      </c>
      <c r="T74" s="93">
        <f>+'[2]COSOLIDADO PLAN DE ACCIÓN'!D63</f>
        <v>90</v>
      </c>
      <c r="U74" s="110">
        <f>+'[2]COSOLIDADO PLAN DE ACCIÓN'!F63</f>
        <v>58.5</v>
      </c>
      <c r="V74" s="99">
        <f t="shared" si="45"/>
        <v>0.65</v>
      </c>
      <c r="W74" s="99">
        <f>+Y74/Y72</f>
        <v>0.22186766910844563</v>
      </c>
      <c r="X74" s="99">
        <f t="shared" si="46"/>
        <v>0.22186766910844563</v>
      </c>
      <c r="Y74" s="93">
        <f>+'[2]COSOLIDADO PLAN DE ACCIÓN'!Q63</f>
        <v>61424016.999999993</v>
      </c>
      <c r="Z74" s="93">
        <v>83492640</v>
      </c>
      <c r="AA74" s="93">
        <f>+'[2]COSOLIDADO PLAN DE ACCIÓN'!S63</f>
        <v>60660887</v>
      </c>
      <c r="AB74" s="99">
        <f t="shared" si="47"/>
        <v>0.98757603235229641</v>
      </c>
      <c r="AC74" s="105">
        <f>+'[2]320401-4.4'!S34</f>
        <v>18426814</v>
      </c>
      <c r="AD74" s="99">
        <f t="shared" si="48"/>
        <v>0.29999363278373675</v>
      </c>
      <c r="AE74" s="106">
        <f t="shared" si="6"/>
        <v>42234073</v>
      </c>
      <c r="AF74" s="127">
        <v>27429280</v>
      </c>
      <c r="AG74" s="105">
        <v>27429280</v>
      </c>
      <c r="AH74" s="109">
        <f t="shared" si="49"/>
        <v>1</v>
      </c>
      <c r="AI74" s="110">
        <f>+'[2]COSOLIDADO PLAN DE ACCIÓN'!E63</f>
        <v>265051567</v>
      </c>
      <c r="AJ74" s="93">
        <f>+'[2]COSOLIDADO PLAN DE ACCIÓN'!G63</f>
        <v>180631357</v>
      </c>
      <c r="AK74" s="109">
        <f t="shared" si="44"/>
        <v>0.68149514845162185</v>
      </c>
      <c r="AL74" s="111"/>
      <c r="AM74" s="112" t="s">
        <v>173</v>
      </c>
      <c r="AN74" s="112" t="s">
        <v>217</v>
      </c>
      <c r="AO74" s="112" t="s">
        <v>73</v>
      </c>
      <c r="AP74" s="113"/>
      <c r="AQ74" s="114"/>
    </row>
    <row r="75" spans="1:43" ht="40.5" customHeight="1" thickBot="1" x14ac:dyDescent="0.3">
      <c r="A75" s="51" t="s">
        <v>218</v>
      </c>
      <c r="B75" s="60"/>
      <c r="C75" s="135"/>
      <c r="D75" s="135"/>
      <c r="E75" s="135"/>
      <c r="F75" s="135"/>
      <c r="G75" s="136"/>
      <c r="H75" s="55">
        <v>0.79</v>
      </c>
      <c r="I75" s="56">
        <f>AVERAGE(I76,I79,I82)</f>
        <v>0.54333333333333333</v>
      </c>
      <c r="J75" s="68"/>
      <c r="K75" s="60"/>
      <c r="L75" s="60"/>
      <c r="M75" s="66"/>
      <c r="N75" s="66"/>
      <c r="O75" s="66"/>
      <c r="P75" s="60">
        <f>+P76+P79+P82+P85</f>
        <v>4422083286</v>
      </c>
      <c r="Q75" s="60">
        <f>+Q76+Q79+Q82+Q85</f>
        <v>1154660654</v>
      </c>
      <c r="R75" s="60"/>
      <c r="S75" s="55">
        <f t="shared" si="43"/>
        <v>0.54333333333333333</v>
      </c>
      <c r="T75" s="60"/>
      <c r="U75" s="65"/>
      <c r="V75" s="56">
        <f>+(V76*W76)+(V79*W79)+(V82*W82)+(V85*W85)</f>
        <v>0.65217150955467607</v>
      </c>
      <c r="W75" s="56">
        <f>+Y75/$Y$99</f>
        <v>0.18442533700480224</v>
      </c>
      <c r="X75" s="56">
        <f t="shared" si="46"/>
        <v>0.18442533700480224</v>
      </c>
      <c r="Y75" s="60">
        <f>+Y76+Y79+Y82+Y85</f>
        <v>6443487725.5039997</v>
      </c>
      <c r="Z75" s="60">
        <f>+Z76+Z79+Z82+Z85</f>
        <v>6188291694</v>
      </c>
      <c r="AA75" s="60">
        <f>+AA76+AA79+AA82+AA85</f>
        <v>1432997260</v>
      </c>
      <c r="AB75" s="56">
        <f t="shared" si="47"/>
        <v>0.22239465970083977</v>
      </c>
      <c r="AC75" s="61">
        <f>+AC76+AC79+AC82+AC85</f>
        <v>1162542746</v>
      </c>
      <c r="AD75" s="56">
        <f t="shared" si="48"/>
        <v>0.18042134873610979</v>
      </c>
      <c r="AE75" s="62">
        <f>+AE76+AE79+AE82</f>
        <v>270454514</v>
      </c>
      <c r="AF75" s="63">
        <f>+AF76+AF79+AF82</f>
        <v>1119377033</v>
      </c>
      <c r="AG75" s="61">
        <f>+AG76+AG79+AG82+AG85</f>
        <v>743318692</v>
      </c>
      <c r="AH75" s="64">
        <f t="shared" si="49"/>
        <v>0.66404676001602403</v>
      </c>
      <c r="AI75" s="65">
        <f>+AI76+AI79+AI82+AI85</f>
        <v>16928251095.504</v>
      </c>
      <c r="AJ75" s="60">
        <f>+AJ76+AJ79+AJ82+AJ85</f>
        <v>9537392851.6000004</v>
      </c>
      <c r="AK75" s="64">
        <f t="shared" si="44"/>
        <v>0.56340095605818674</v>
      </c>
      <c r="AL75" s="66"/>
      <c r="AM75" s="67" t="s">
        <v>219</v>
      </c>
      <c r="AN75" s="68"/>
      <c r="AO75" s="68"/>
      <c r="AP75" s="69"/>
      <c r="AQ75" s="70"/>
    </row>
    <row r="76" spans="1:43" ht="40.5" customHeight="1" thickBot="1" x14ac:dyDescent="0.3">
      <c r="A76" s="71" t="s">
        <v>220</v>
      </c>
      <c r="B76" s="80"/>
      <c r="C76" s="121"/>
      <c r="D76" s="121"/>
      <c r="E76" s="121"/>
      <c r="F76" s="121"/>
      <c r="G76" s="122"/>
      <c r="H76" s="75">
        <f>AVERAGE(H77:H78)</f>
        <v>1</v>
      </c>
      <c r="I76" s="76">
        <f>AVERAGE(I77:I78)</f>
        <v>0.505</v>
      </c>
      <c r="J76" s="89"/>
      <c r="K76" s="80"/>
      <c r="L76" s="80"/>
      <c r="M76" s="87"/>
      <c r="N76" s="87"/>
      <c r="O76" s="87"/>
      <c r="P76" s="80">
        <v>182902475</v>
      </c>
      <c r="Q76" s="80">
        <f>SUM(Q77:Q78)</f>
        <v>99928919</v>
      </c>
      <c r="R76" s="80"/>
      <c r="S76" s="75">
        <f t="shared" si="43"/>
        <v>0.505</v>
      </c>
      <c r="T76" s="80"/>
      <c r="U76" s="85"/>
      <c r="V76" s="76">
        <f>+(V77*W77)+(V78*W78)</f>
        <v>0.62661986894121147</v>
      </c>
      <c r="W76" s="76">
        <f>+Y76/Y75</f>
        <v>4.5833710525909288E-2</v>
      </c>
      <c r="X76" s="76">
        <f t="shared" si="46"/>
        <v>4.5833710525909288E-2</v>
      </c>
      <c r="Y76" s="80">
        <f>SUM(Y77:Y78)</f>
        <v>295328951.18799996</v>
      </c>
      <c r="Z76" s="80">
        <f>SUM(Z77:Z78)</f>
        <v>221495636</v>
      </c>
      <c r="AA76" s="80">
        <f>SUM(AA77:AA78)</f>
        <v>182902475</v>
      </c>
      <c r="AB76" s="76">
        <f t="shared" si="47"/>
        <v>0.61931779550988986</v>
      </c>
      <c r="AC76" s="81">
        <f>SUM(AC77:AC78)</f>
        <v>103311216</v>
      </c>
      <c r="AD76" s="76">
        <f t="shared" si="48"/>
        <v>0.34981743437078178</v>
      </c>
      <c r="AE76" s="82">
        <f>SUM(AE77:AE78)</f>
        <v>79591259</v>
      </c>
      <c r="AF76" s="83">
        <f>SUM(AF77:AF78)</f>
        <v>0</v>
      </c>
      <c r="AG76" s="81">
        <f>SUM(AG77:AG78)</f>
        <v>0</v>
      </c>
      <c r="AH76" s="86"/>
      <c r="AI76" s="85">
        <f>SUM(AI77:AI78)</f>
        <v>936860323.18799996</v>
      </c>
      <c r="AJ76" s="80">
        <f>SUM(AJ77:AJ78)</f>
        <v>540646410</v>
      </c>
      <c r="AK76" s="86">
        <f t="shared" si="44"/>
        <v>0.57708326056573578</v>
      </c>
      <c r="AL76" s="87"/>
      <c r="AM76" s="88" t="s">
        <v>219</v>
      </c>
      <c r="AN76" s="89"/>
      <c r="AO76" s="89"/>
      <c r="AP76" s="90"/>
      <c r="AQ76" s="91"/>
    </row>
    <row r="77" spans="1:43" ht="102.75" thickBot="1" x14ac:dyDescent="0.3">
      <c r="A77" s="92" t="s">
        <v>221</v>
      </c>
      <c r="B77" s="93" t="s">
        <v>47</v>
      </c>
      <c r="C77" s="94">
        <f>+'[2]COSOLIDADO PLAN DE ACCIÓN'!L66</f>
        <v>100</v>
      </c>
      <c r="D77" s="93">
        <f>+'[2]COSOLIDADO PLAN DE ACCIÓN'!P66</f>
        <v>100</v>
      </c>
      <c r="E77" s="94">
        <f>+'[2]COSOLIDADO PLAN DE ACCIÓN'!N66</f>
        <v>100</v>
      </c>
      <c r="F77" s="93">
        <f>+'[2]COSOLIDADO PLAN DE ACCIÓN'!R66</f>
        <v>51</v>
      </c>
      <c r="G77" s="97"/>
      <c r="H77" s="98">
        <f>+E77/C77</f>
        <v>1</v>
      </c>
      <c r="I77" s="99">
        <f>+F77/D77</f>
        <v>0.51</v>
      </c>
      <c r="J77" s="112"/>
      <c r="K77" s="125" t="s">
        <v>49</v>
      </c>
      <c r="L77" s="125" t="s">
        <v>50</v>
      </c>
      <c r="M77" s="117"/>
      <c r="N77" s="117" t="s">
        <v>51</v>
      </c>
      <c r="O77" s="118" t="s">
        <v>222</v>
      </c>
      <c r="P77" s="93">
        <v>148259974</v>
      </c>
      <c r="Q77" s="93">
        <v>65287769</v>
      </c>
      <c r="R77" s="125" t="s">
        <v>53</v>
      </c>
      <c r="S77" s="98">
        <f t="shared" si="43"/>
        <v>0.51</v>
      </c>
      <c r="T77" s="93">
        <f>+'[2]COSOLIDADO PLAN DE ACCIÓN'!D66</f>
        <v>100</v>
      </c>
      <c r="U77" s="93">
        <f>+'[2]COSOLIDADO PLAN DE ACCIÓN'!F66</f>
        <v>62.75</v>
      </c>
      <c r="V77" s="99">
        <f t="shared" ref="V77" si="50">IF(U77/T77&gt;=100%,100%,U77/T77)</f>
        <v>0.62749999999999995</v>
      </c>
      <c r="W77" s="99">
        <f>+Y77/$Y$76</f>
        <v>0.64794757648458878</v>
      </c>
      <c r="X77" s="99">
        <f t="shared" si="46"/>
        <v>0.64794757648458878</v>
      </c>
      <c r="Y77" s="93">
        <f>+'[2]COSOLIDADO PLAN DE ACCIÓN'!Q66</f>
        <v>191357678.18799999</v>
      </c>
      <c r="Z77" s="93">
        <v>127942062</v>
      </c>
      <c r="AA77" s="93">
        <f>+'[2]COSOLIDADO PLAN DE ACCIÓN'!S66</f>
        <v>148259974</v>
      </c>
      <c r="AB77" s="99">
        <f t="shared" si="47"/>
        <v>0.77477933158418388</v>
      </c>
      <c r="AC77" s="105">
        <f>+'[2]320501-3.3'!S17</f>
        <v>68668715</v>
      </c>
      <c r="AD77" s="99">
        <f t="shared" si="48"/>
        <v>0.3588500636621238</v>
      </c>
      <c r="AE77" s="151">
        <f t="shared" si="6"/>
        <v>79591259</v>
      </c>
      <c r="AF77" s="127">
        <v>0</v>
      </c>
      <c r="AG77" s="105"/>
      <c r="AH77" s="109"/>
      <c r="AI77" s="110">
        <f>+'[2]COSOLIDADO PLAN DE ACCIÓN'!E66</f>
        <v>675121532.18799996</v>
      </c>
      <c r="AJ77" s="93">
        <f>+'[2]COSOLIDADO PLAN DE ACCIÓN'!G66</f>
        <v>395476298</v>
      </c>
      <c r="AK77" s="109">
        <f t="shared" si="44"/>
        <v>0.5857853425564753</v>
      </c>
      <c r="AL77" s="111"/>
      <c r="AM77" s="112" t="s">
        <v>219</v>
      </c>
      <c r="AN77" s="112" t="s">
        <v>223</v>
      </c>
      <c r="AO77" s="112" t="s">
        <v>168</v>
      </c>
      <c r="AP77" s="113"/>
      <c r="AQ77" s="114"/>
    </row>
    <row r="78" spans="1:43" ht="40.5" customHeight="1" thickBot="1" x14ac:dyDescent="0.3">
      <c r="A78" s="115" t="s">
        <v>224</v>
      </c>
      <c r="B78" s="93" t="s">
        <v>57</v>
      </c>
      <c r="C78" s="94">
        <f>+'[2]COSOLIDADO PLAN DE ACCIÓN'!L67</f>
        <v>1</v>
      </c>
      <c r="D78" s="93">
        <f>+'[2]COSOLIDADO PLAN DE ACCIÓN'!P67</f>
        <v>1</v>
      </c>
      <c r="E78" s="94">
        <f>+'[2]COSOLIDADO PLAN DE ACCIÓN'!N67</f>
        <v>1</v>
      </c>
      <c r="F78" s="93">
        <f>+'[2]COSOLIDADO PLAN DE ACCIÓN'!R67</f>
        <v>0.5</v>
      </c>
      <c r="G78" s="97"/>
      <c r="H78" s="98">
        <f>+E78/C78</f>
        <v>1</v>
      </c>
      <c r="I78" s="99">
        <f>+F78/D78</f>
        <v>0.5</v>
      </c>
      <c r="J78" s="112"/>
      <c r="K78" s="125" t="s">
        <v>49</v>
      </c>
      <c r="L78" s="125" t="s">
        <v>59</v>
      </c>
      <c r="M78" s="117" t="s">
        <v>60</v>
      </c>
      <c r="N78" s="117" t="s">
        <v>51</v>
      </c>
      <c r="O78" s="118" t="s">
        <v>60</v>
      </c>
      <c r="P78" s="93">
        <v>34642501</v>
      </c>
      <c r="Q78" s="93">
        <v>34641150</v>
      </c>
      <c r="R78" s="125" t="s">
        <v>53</v>
      </c>
      <c r="S78" s="98">
        <f t="shared" si="43"/>
        <v>0.5</v>
      </c>
      <c r="T78" s="93">
        <f>+'[2]COSOLIDADO PLAN DE ACCIÓN'!D67</f>
        <v>1</v>
      </c>
      <c r="U78" s="93">
        <f>+'[2]COSOLIDADO PLAN DE ACCIÓN'!F67</f>
        <v>0.625</v>
      </c>
      <c r="V78" s="99">
        <f>IF(U78/T78&gt;=100%,100%,U78/T78)</f>
        <v>0.625</v>
      </c>
      <c r="W78" s="99">
        <f>+Y78/$Y$76</f>
        <v>0.35205242351541133</v>
      </c>
      <c r="X78" s="99">
        <f t="shared" si="46"/>
        <v>0.35205242351541133</v>
      </c>
      <c r="Y78" s="93">
        <f>+'[2]COSOLIDADO PLAN DE ACCIÓN'!Q67</f>
        <v>103971273</v>
      </c>
      <c r="Z78" s="93">
        <v>93553574</v>
      </c>
      <c r="AA78" s="93">
        <f>+'[2]COSOLIDADO PLAN DE ACCIÓN'!S67</f>
        <v>34642501</v>
      </c>
      <c r="AB78" s="99">
        <f t="shared" si="47"/>
        <v>0.33319300611044744</v>
      </c>
      <c r="AC78" s="105">
        <f>+'[2]320501-3.3'!S24+'[2]320501-3.3'!S37</f>
        <v>34642501</v>
      </c>
      <c r="AD78" s="99">
        <f t="shared" si="48"/>
        <v>0.33319300611044744</v>
      </c>
      <c r="AE78" s="151">
        <f t="shared" si="6"/>
        <v>0</v>
      </c>
      <c r="AF78" s="127">
        <v>0</v>
      </c>
      <c r="AG78" s="105"/>
      <c r="AH78" s="109"/>
      <c r="AI78" s="110">
        <f>+'[2]COSOLIDADO PLAN DE ACCIÓN'!E67</f>
        <v>261738791</v>
      </c>
      <c r="AJ78" s="93">
        <f>+'[2]COSOLIDADO PLAN DE ACCIÓN'!G67</f>
        <v>145170112</v>
      </c>
      <c r="AK78" s="109">
        <f t="shared" si="44"/>
        <v>0.5546373598096126</v>
      </c>
      <c r="AL78" s="111"/>
      <c r="AM78" s="112" t="s">
        <v>219</v>
      </c>
      <c r="AN78" s="120"/>
      <c r="AO78" s="112" t="s">
        <v>168</v>
      </c>
      <c r="AP78" s="113"/>
      <c r="AQ78" s="114"/>
    </row>
    <row r="79" spans="1:43" ht="40.5" customHeight="1" thickBot="1" x14ac:dyDescent="0.3">
      <c r="A79" s="71" t="s">
        <v>225</v>
      </c>
      <c r="B79" s="77"/>
      <c r="C79" s="121"/>
      <c r="D79" s="121"/>
      <c r="E79" s="121"/>
      <c r="F79" s="121"/>
      <c r="G79" s="122"/>
      <c r="H79" s="75">
        <f>AVERAGE(H80:H81)</f>
        <v>0.82499999999999996</v>
      </c>
      <c r="I79" s="76">
        <f>AVERAGE(I80:I81)</f>
        <v>0.375</v>
      </c>
      <c r="J79" s="89"/>
      <c r="K79" s="80"/>
      <c r="L79" s="80"/>
      <c r="M79" s="87"/>
      <c r="N79" s="87"/>
      <c r="O79" s="87"/>
      <c r="P79" s="80">
        <v>191177563</v>
      </c>
      <c r="Q79" s="80">
        <f>SUM(Q80:Q81)</f>
        <v>56680082</v>
      </c>
      <c r="R79" s="80"/>
      <c r="S79" s="75">
        <f t="shared" si="43"/>
        <v>0.375</v>
      </c>
      <c r="T79" s="80"/>
      <c r="U79" s="85"/>
      <c r="V79" s="76">
        <f>+(V80*W80)+(V81*W81)</f>
        <v>0.6019227182236051</v>
      </c>
      <c r="W79" s="76">
        <f>+Y79/Y75</f>
        <v>0.5002568118010764</v>
      </c>
      <c r="X79" s="76">
        <f t="shared" si="46"/>
        <v>0.5002568118010764</v>
      </c>
      <c r="Y79" s="80">
        <f>SUM(Y80:Y81)</f>
        <v>3223398626.4400001</v>
      </c>
      <c r="Z79" s="80">
        <f>SUM(Z80:Z81)</f>
        <v>1714239633</v>
      </c>
      <c r="AA79" s="80">
        <f>SUM(AA80:AA81)</f>
        <v>191177563</v>
      </c>
      <c r="AB79" s="76">
        <f t="shared" si="47"/>
        <v>5.930931453276108E-2</v>
      </c>
      <c r="AC79" s="81">
        <f>SUM(AC80:AC81)</f>
        <v>56680082</v>
      </c>
      <c r="AD79" s="76">
        <f t="shared" si="48"/>
        <v>1.7583950534408109E-2</v>
      </c>
      <c r="AE79" s="82">
        <f>SUM(AE80:AE81)</f>
        <v>134497481</v>
      </c>
      <c r="AF79" s="83">
        <f>SUM(AF80:AF81)</f>
        <v>981946986</v>
      </c>
      <c r="AG79" s="81">
        <f>SUM(AG80:AG81)</f>
        <v>628360692</v>
      </c>
      <c r="AH79" s="86">
        <f t="shared" si="49"/>
        <v>0.6399130512734218</v>
      </c>
      <c r="AI79" s="85">
        <f>SUM(AI80:AI81)</f>
        <v>8309964524.4400005</v>
      </c>
      <c r="AJ79" s="80">
        <f>SUM(AJ80:AJ81)</f>
        <v>3492705594.5999999</v>
      </c>
      <c r="AK79" s="86">
        <f t="shared" si="44"/>
        <v>0.42030330987909598</v>
      </c>
      <c r="AL79" s="87"/>
      <c r="AM79" s="88" t="s">
        <v>219</v>
      </c>
      <c r="AN79" s="89"/>
      <c r="AO79" s="89"/>
      <c r="AP79" s="90"/>
      <c r="AQ79" s="91"/>
    </row>
    <row r="80" spans="1:43" ht="40.5" customHeight="1" thickBot="1" x14ac:dyDescent="0.3">
      <c r="A80" s="115" t="s">
        <v>226</v>
      </c>
      <c r="B80" s="93" t="s">
        <v>47</v>
      </c>
      <c r="C80" s="94">
        <f>+'[2]COSOLIDADO PLAN DE ACCIÓN'!L69</f>
        <v>100</v>
      </c>
      <c r="D80" s="93">
        <f>+'[2]COSOLIDADO PLAN DE ACCIÓN'!P69</f>
        <v>100</v>
      </c>
      <c r="E80" s="94">
        <f>+'[2]COSOLIDADO PLAN DE ACCIÓN'!N69</f>
        <v>100</v>
      </c>
      <c r="F80" s="103">
        <f>+'[2]COSOLIDADO PLAN DE ACCIÓN'!R69</f>
        <v>60</v>
      </c>
      <c r="G80" s="97"/>
      <c r="H80" s="98">
        <f>+E80/C80</f>
        <v>1</v>
      </c>
      <c r="I80" s="99">
        <f>+F80/D80</f>
        <v>0.6</v>
      </c>
      <c r="J80" s="112" t="s">
        <v>227</v>
      </c>
      <c r="K80" s="125" t="s">
        <v>49</v>
      </c>
      <c r="L80" s="125" t="s">
        <v>50</v>
      </c>
      <c r="M80" s="117"/>
      <c r="N80" s="117" t="s">
        <v>51</v>
      </c>
      <c r="O80" s="118" t="s">
        <v>228</v>
      </c>
      <c r="P80" s="93">
        <v>162980312</v>
      </c>
      <c r="Q80" s="93">
        <v>56680082</v>
      </c>
      <c r="R80" s="125" t="s">
        <v>53</v>
      </c>
      <c r="S80" s="98">
        <f t="shared" si="43"/>
        <v>0.6</v>
      </c>
      <c r="T80" s="93">
        <f>+'[2]COSOLIDADO PLAN DE ACCIÓN'!D69</f>
        <v>100</v>
      </c>
      <c r="U80" s="110">
        <f>+'[2]COSOLIDADO PLAN DE ACCIÓN'!F69</f>
        <v>62.5</v>
      </c>
      <c r="V80" s="99">
        <f t="shared" ref="V80:V81" si="51">IF(U80/T80&gt;=100%,100%,U80/T80)</f>
        <v>0.625</v>
      </c>
      <c r="W80" s="99">
        <f>+Y80/$Y$79</f>
        <v>0.23075727412017166</v>
      </c>
      <c r="X80" s="99">
        <f t="shared" si="46"/>
        <v>0.23075727412017166</v>
      </c>
      <c r="Y80" s="93">
        <f>+'[2]COSOLIDADO PLAN DE ACCIÓN'!Q69</f>
        <v>743822680.43999994</v>
      </c>
      <c r="Z80" s="93">
        <v>1456905119</v>
      </c>
      <c r="AA80" s="93">
        <f>+'[2]COSOLIDADO PLAN DE ACCIÓN'!S69</f>
        <v>162980312</v>
      </c>
      <c r="AB80" s="99">
        <f t="shared" si="47"/>
        <v>0.21911178065125794</v>
      </c>
      <c r="AC80" s="105">
        <f>+'[2]320502-3.4'!S20</f>
        <v>56680082</v>
      </c>
      <c r="AD80" s="99">
        <f t="shared" si="48"/>
        <v>7.6201067123244398E-2</v>
      </c>
      <c r="AE80" s="106">
        <f t="shared" si="6"/>
        <v>106300230</v>
      </c>
      <c r="AF80" s="127">
        <v>916686986</v>
      </c>
      <c r="AG80" s="105">
        <v>628360692</v>
      </c>
      <c r="AH80" s="109">
        <f t="shared" si="49"/>
        <v>0.68546919678861895</v>
      </c>
      <c r="AI80" s="110">
        <f>+'[2]COSOLIDADO PLAN DE ACCIÓN'!E69</f>
        <v>5063737385.4400005</v>
      </c>
      <c r="AJ80" s="93">
        <f>+'[2]COSOLIDADO PLAN DE ACCIÓN'!G69</f>
        <v>3101348936.5999999</v>
      </c>
      <c r="AK80" s="109">
        <f>+AJ80/AI80</f>
        <v>0.6124624364441672</v>
      </c>
      <c r="AL80" s="111"/>
      <c r="AM80" s="112" t="s">
        <v>219</v>
      </c>
      <c r="AN80" s="112" t="s">
        <v>95</v>
      </c>
      <c r="AO80" s="112" t="s">
        <v>55</v>
      </c>
      <c r="AP80" s="113"/>
      <c r="AQ80" s="114"/>
    </row>
    <row r="81" spans="1:43" ht="40.5" customHeight="1" thickBot="1" x14ac:dyDescent="0.3">
      <c r="A81" s="115" t="s">
        <v>229</v>
      </c>
      <c r="B81" s="93" t="s">
        <v>47</v>
      </c>
      <c r="C81" s="94">
        <f>+'[2]COSOLIDADO PLAN DE ACCIÓN'!L70</f>
        <v>100</v>
      </c>
      <c r="D81" s="93">
        <f>+'[2]COSOLIDADO PLAN DE ACCIÓN'!P70</f>
        <v>100</v>
      </c>
      <c r="E81" s="94">
        <f>+'[2]COSOLIDADO PLAN DE ACCIÓN'!N70</f>
        <v>65</v>
      </c>
      <c r="F81" s="103">
        <f>+'[2]COSOLIDADO PLAN DE ACCIÓN'!R70</f>
        <v>15</v>
      </c>
      <c r="G81" s="97"/>
      <c r="H81" s="98">
        <f>+E81/C81</f>
        <v>0.65</v>
      </c>
      <c r="I81" s="99">
        <f>+F81/D81</f>
        <v>0.15</v>
      </c>
      <c r="J81" s="112" t="s">
        <v>230</v>
      </c>
      <c r="K81" s="125" t="s">
        <v>49</v>
      </c>
      <c r="L81" s="125" t="s">
        <v>50</v>
      </c>
      <c r="M81" s="117"/>
      <c r="N81" s="117" t="s">
        <v>51</v>
      </c>
      <c r="O81" s="118" t="s">
        <v>157</v>
      </c>
      <c r="P81" s="93">
        <v>28197251</v>
      </c>
      <c r="Q81" s="93"/>
      <c r="R81" s="125" t="s">
        <v>53</v>
      </c>
      <c r="S81" s="98">
        <f t="shared" si="43"/>
        <v>0.15</v>
      </c>
      <c r="T81" s="93">
        <f>+'[2]COSOLIDADO PLAN DE ACCIÓN'!D70</f>
        <v>100</v>
      </c>
      <c r="U81" s="110">
        <f>+'[2]COSOLIDADO PLAN DE ACCIÓN'!F70</f>
        <v>59.5</v>
      </c>
      <c r="V81" s="99">
        <f t="shared" si="51"/>
        <v>0.59499999999999997</v>
      </c>
      <c r="W81" s="99">
        <f>+Y81/$Y$79</f>
        <v>0.76924272587982834</v>
      </c>
      <c r="X81" s="99">
        <f t="shared" si="46"/>
        <v>0.76924272587982834</v>
      </c>
      <c r="Y81" s="93">
        <f>+'[2]COSOLIDADO PLAN DE ACCIÓN'!Q70</f>
        <v>2479575946</v>
      </c>
      <c r="Z81" s="93">
        <v>257334514</v>
      </c>
      <c r="AA81" s="93">
        <f>+'[2]COSOLIDADO PLAN DE ACCIÓN'!S70</f>
        <v>28197251</v>
      </c>
      <c r="AB81" s="99">
        <f t="shared" si="47"/>
        <v>1.1371803733411439E-2</v>
      </c>
      <c r="AC81" s="105">
        <f>+'[2]320502-3.4'!S31</f>
        <v>0</v>
      </c>
      <c r="AD81" s="99">
        <f t="shared" si="48"/>
        <v>0</v>
      </c>
      <c r="AE81" s="106">
        <f t="shared" si="6"/>
        <v>28197251</v>
      </c>
      <c r="AF81" s="127">
        <v>65260000</v>
      </c>
      <c r="AG81" s="105">
        <v>0</v>
      </c>
      <c r="AH81" s="109">
        <f t="shared" si="49"/>
        <v>0</v>
      </c>
      <c r="AI81" s="110">
        <f>+'[2]COSOLIDADO PLAN DE ACCIÓN'!E70</f>
        <v>3246227139</v>
      </c>
      <c r="AJ81" s="93">
        <f>+'[2]COSOLIDADO PLAN DE ACCIÓN'!G70</f>
        <v>391356658</v>
      </c>
      <c r="AK81" s="109">
        <f t="shared" si="44"/>
        <v>0.12055738592603762</v>
      </c>
      <c r="AL81" s="111"/>
      <c r="AM81" s="112" t="s">
        <v>219</v>
      </c>
      <c r="AN81" s="120"/>
      <c r="AO81" s="112" t="s">
        <v>55</v>
      </c>
      <c r="AP81" s="113"/>
      <c r="AQ81" s="114"/>
    </row>
    <row r="82" spans="1:43" ht="40.5" customHeight="1" thickBot="1" x14ac:dyDescent="0.3">
      <c r="A82" s="71" t="s">
        <v>231</v>
      </c>
      <c r="B82" s="80"/>
      <c r="C82" s="121"/>
      <c r="D82" s="121"/>
      <c r="E82" s="121"/>
      <c r="F82" s="121"/>
      <c r="G82" s="122"/>
      <c r="H82" s="75">
        <f>AVERAGE(H83:H84)</f>
        <v>1</v>
      </c>
      <c r="I82" s="76">
        <f>AVERAGE(I83:I84)</f>
        <v>0.75</v>
      </c>
      <c r="J82" s="89"/>
      <c r="K82" s="80"/>
      <c r="L82" s="80"/>
      <c r="M82" s="87"/>
      <c r="N82" s="87"/>
      <c r="O82" s="87"/>
      <c r="P82" s="80">
        <v>121337148</v>
      </c>
      <c r="Q82" s="80">
        <f>SUM(Q83:Q84)</f>
        <v>60471579</v>
      </c>
      <c r="R82" s="80"/>
      <c r="S82" s="75">
        <f t="shared" si="43"/>
        <v>0.75</v>
      </c>
      <c r="T82" s="80"/>
      <c r="U82" s="85"/>
      <c r="V82" s="76">
        <f>+(V83*W83)+(V84*W84)</f>
        <v>0.91049682112015362</v>
      </c>
      <c r="W82" s="76">
        <f>+Y82/Y75</f>
        <v>7.5742813467969419E-2</v>
      </c>
      <c r="X82" s="76">
        <f t="shared" si="46"/>
        <v>7.5742813467969419E-2</v>
      </c>
      <c r="Y82" s="80">
        <f>SUM(Y83:Y84)</f>
        <v>488047888.87599999</v>
      </c>
      <c r="Z82" s="80">
        <f>SUM(Z83:Z84)</f>
        <v>325890325</v>
      </c>
      <c r="AA82" s="80">
        <f>SUM(AA83:AA84)</f>
        <v>121337148</v>
      </c>
      <c r="AB82" s="76">
        <f t="shared" si="47"/>
        <v>0.24861729917415656</v>
      </c>
      <c r="AC82" s="81">
        <f>SUM(AC83:AC84)</f>
        <v>64971374</v>
      </c>
      <c r="AD82" s="76">
        <f t="shared" si="48"/>
        <v>0.13312499752766577</v>
      </c>
      <c r="AE82" s="82">
        <f>SUM(AE83:AE84)</f>
        <v>56365774</v>
      </c>
      <c r="AF82" s="83">
        <f>SUM(AF83:AF84)</f>
        <v>137430047</v>
      </c>
      <c r="AG82" s="81">
        <f>SUM(AG83:AG84)</f>
        <v>114958000</v>
      </c>
      <c r="AH82" s="86">
        <f t="shared" si="49"/>
        <v>0.83648374216156673</v>
      </c>
      <c r="AI82" s="85">
        <f>SUM(AI83:AI84)</f>
        <v>1318047888.8759999</v>
      </c>
      <c r="AJ82" s="80">
        <f>SUM(AJ83:AJ84)</f>
        <v>639794673</v>
      </c>
      <c r="AK82" s="86">
        <f t="shared" si="44"/>
        <v>0.48541079455436309</v>
      </c>
      <c r="AL82" s="87"/>
      <c r="AM82" s="88" t="s">
        <v>219</v>
      </c>
      <c r="AN82" s="89"/>
      <c r="AO82" s="89"/>
      <c r="AP82" s="90"/>
      <c r="AQ82" s="91"/>
    </row>
    <row r="83" spans="1:43" ht="40.5" customHeight="1" thickBot="1" x14ac:dyDescent="0.3">
      <c r="A83" s="115" t="s">
        <v>232</v>
      </c>
      <c r="B83" s="93" t="s">
        <v>93</v>
      </c>
      <c r="C83" s="93">
        <f>+'[2]COSOLIDADO PLAN DE ACCIÓN'!L72</f>
        <v>5</v>
      </c>
      <c r="D83" s="93">
        <f>+'[2]COSOLIDADO PLAN DE ACCIÓN'!P72</f>
        <v>5</v>
      </c>
      <c r="E83" s="93">
        <f>+'[2]COSOLIDADO PLAN DE ACCIÓN'!N72</f>
        <v>16</v>
      </c>
      <c r="F83" s="93">
        <f>+'[2]COSOLIDADO PLAN DE ACCIÓN'!R72</f>
        <v>14</v>
      </c>
      <c r="G83" s="97"/>
      <c r="H83" s="98">
        <v>1</v>
      </c>
      <c r="I83" s="99">
        <v>1</v>
      </c>
      <c r="J83" s="112"/>
      <c r="K83" s="125" t="s">
        <v>49</v>
      </c>
      <c r="L83" s="125" t="s">
        <v>50</v>
      </c>
      <c r="M83" s="117"/>
      <c r="N83" s="117" t="s">
        <v>51</v>
      </c>
      <c r="O83" s="118" t="s">
        <v>233</v>
      </c>
      <c r="P83" s="93">
        <v>78864751</v>
      </c>
      <c r="Q83" s="93">
        <v>17999182</v>
      </c>
      <c r="R83" s="125" t="s">
        <v>53</v>
      </c>
      <c r="S83" s="98">
        <f t="shared" si="43"/>
        <v>1</v>
      </c>
      <c r="T83" s="93">
        <f>+'[2]COSOLIDADO PLAN DE ACCIÓN'!D72</f>
        <v>20</v>
      </c>
      <c r="U83" s="104">
        <f>+'[2]COSOLIDADO PLAN DE ACCIÓN'!F72</f>
        <v>24</v>
      </c>
      <c r="V83" s="99">
        <f t="shared" ref="V83:V86" si="52">IF(U83/T83&gt;=100%,100%,U83/T83)</f>
        <v>1</v>
      </c>
      <c r="W83" s="99">
        <f>+Y83/$Y$82</f>
        <v>0.76132485632040969</v>
      </c>
      <c r="X83" s="99">
        <f t="shared" si="46"/>
        <v>0.76132485632040969</v>
      </c>
      <c r="Y83" s="93">
        <f>+'[2]COSOLIDADO PLAN DE ACCIÓN'!Q72</f>
        <v>371562988.87599999</v>
      </c>
      <c r="Z83" s="93">
        <v>274860092</v>
      </c>
      <c r="AA83" s="93">
        <f>+'[2]COSOLIDADO PLAN DE ACCIÓN'!S72</f>
        <v>78864751</v>
      </c>
      <c r="AB83" s="99">
        <f t="shared" si="47"/>
        <v>0.21225136345945148</v>
      </c>
      <c r="AC83" s="105">
        <f>+'[2]320503-3.5 '!S16</f>
        <v>22498977</v>
      </c>
      <c r="AD83" s="99">
        <f t="shared" si="48"/>
        <v>6.0552255401057936E-2</v>
      </c>
      <c r="AE83" s="106">
        <f t="shared" si="6"/>
        <v>56365774</v>
      </c>
      <c r="AF83" s="127">
        <v>137430047</v>
      </c>
      <c r="AG83" s="105">
        <v>114958000</v>
      </c>
      <c r="AH83" s="109">
        <f t="shared" si="49"/>
        <v>0.83648374216156673</v>
      </c>
      <c r="AI83" s="110">
        <f>+'[2]COSOLIDADO PLAN DE ACCIÓN'!E72</f>
        <v>1146742988.8759999</v>
      </c>
      <c r="AJ83" s="93">
        <f>+'[2]COSOLIDADO PLAN DE ACCIÓN'!G72</f>
        <v>546292043</v>
      </c>
      <c r="AK83" s="109">
        <f t="shared" si="44"/>
        <v>0.47638577109196684</v>
      </c>
      <c r="AL83" s="111"/>
      <c r="AM83" s="112" t="s">
        <v>219</v>
      </c>
      <c r="AN83" s="120"/>
      <c r="AO83" s="112" t="s">
        <v>234</v>
      </c>
      <c r="AP83" s="113"/>
      <c r="AQ83" s="114"/>
    </row>
    <row r="84" spans="1:43" ht="40.5" customHeight="1" thickBot="1" x14ac:dyDescent="0.3">
      <c r="A84" s="115" t="s">
        <v>224</v>
      </c>
      <c r="B84" s="93" t="s">
        <v>57</v>
      </c>
      <c r="C84" s="93">
        <f>+'[2]COSOLIDADO PLAN DE ACCIÓN'!L73</f>
        <v>1</v>
      </c>
      <c r="D84" s="93">
        <f>+'[2]COSOLIDADO PLAN DE ACCIÓN'!P73</f>
        <v>1</v>
      </c>
      <c r="E84" s="93">
        <f>+'[2]COSOLIDADO PLAN DE ACCIÓN'!N73</f>
        <v>1</v>
      </c>
      <c r="F84" s="116">
        <f>+'[2]COSOLIDADO PLAN DE ACCIÓN'!R73</f>
        <v>0.5</v>
      </c>
      <c r="G84" s="128"/>
      <c r="H84" s="98">
        <f>+E84/C84</f>
        <v>1</v>
      </c>
      <c r="I84" s="99">
        <f>+F84/D84</f>
        <v>0.5</v>
      </c>
      <c r="J84" s="112"/>
      <c r="K84" s="125" t="s">
        <v>49</v>
      </c>
      <c r="L84" s="125" t="s">
        <v>59</v>
      </c>
      <c r="M84" s="117" t="s">
        <v>60</v>
      </c>
      <c r="N84" s="117" t="s">
        <v>51</v>
      </c>
      <c r="O84" s="118" t="s">
        <v>60</v>
      </c>
      <c r="P84" s="93">
        <v>42472397</v>
      </c>
      <c r="Q84" s="93">
        <v>42472397</v>
      </c>
      <c r="R84" s="125" t="s">
        <v>53</v>
      </c>
      <c r="S84" s="98">
        <f t="shared" si="43"/>
        <v>0.5</v>
      </c>
      <c r="T84" s="93">
        <f>+'[2]COSOLIDADO PLAN DE ACCIÓN'!D73</f>
        <v>1</v>
      </c>
      <c r="U84" s="147">
        <f>+'[2]COSOLIDADO PLAN DE ACCIÓN'!F73</f>
        <v>0.625</v>
      </c>
      <c r="V84" s="99">
        <f t="shared" si="52"/>
        <v>0.625</v>
      </c>
      <c r="W84" s="99">
        <f>+Y84/$Y$82</f>
        <v>0.23867514367959025</v>
      </c>
      <c r="X84" s="99">
        <f t="shared" si="46"/>
        <v>0.23867514367959025</v>
      </c>
      <c r="Y84" s="93">
        <f>+'[2]COSOLIDADO PLAN DE ACCIÓN'!Q73</f>
        <v>116484900</v>
      </c>
      <c r="Z84" s="93">
        <v>51030233</v>
      </c>
      <c r="AA84" s="93">
        <f>+'[2]COSOLIDADO PLAN DE ACCIÓN'!S73</f>
        <v>42472397</v>
      </c>
      <c r="AB84" s="99">
        <f t="shared" si="47"/>
        <v>0.36461719072600829</v>
      </c>
      <c r="AC84" s="105">
        <f>+'[2]320503-3.5 '!S22+'[2]320503-3.5 '!S31</f>
        <v>42472397</v>
      </c>
      <c r="AD84" s="99">
        <f t="shared" si="48"/>
        <v>0.36461719072600829</v>
      </c>
      <c r="AE84" s="106">
        <f t="shared" si="6"/>
        <v>0</v>
      </c>
      <c r="AF84" s="107">
        <v>0</v>
      </c>
      <c r="AG84" s="108">
        <v>0</v>
      </c>
      <c r="AH84" s="119"/>
      <c r="AI84" s="110">
        <f>+'[2]COSOLIDADO PLAN DE ACCIÓN'!E73</f>
        <v>171304900</v>
      </c>
      <c r="AJ84" s="93">
        <f>+'[2]COSOLIDADO PLAN DE ACCIÓN'!G73</f>
        <v>93502630</v>
      </c>
      <c r="AK84" s="109">
        <f t="shared" si="44"/>
        <v>0.54582577614534089</v>
      </c>
      <c r="AL84" s="111"/>
      <c r="AM84" s="112" t="s">
        <v>219</v>
      </c>
      <c r="AN84" s="120"/>
      <c r="AO84" s="112" t="s">
        <v>235</v>
      </c>
      <c r="AP84" s="113"/>
      <c r="AQ84" s="114"/>
    </row>
    <row r="85" spans="1:43" ht="51.75" customHeight="1" thickBot="1" x14ac:dyDescent="0.3">
      <c r="A85" s="71" t="s">
        <v>236</v>
      </c>
      <c r="B85" s="80"/>
      <c r="C85" s="121"/>
      <c r="D85" s="121"/>
      <c r="E85" s="121"/>
      <c r="F85" s="121"/>
      <c r="G85" s="122"/>
      <c r="H85" s="75">
        <f>AVERAGE(H86)</f>
        <v>0.38</v>
      </c>
      <c r="I85" s="76">
        <f>AVERAGE(I86)</f>
        <v>0.67</v>
      </c>
      <c r="J85" s="89"/>
      <c r="K85" s="80"/>
      <c r="L85" s="80"/>
      <c r="M85" s="87"/>
      <c r="N85" s="87"/>
      <c r="O85" s="87"/>
      <c r="P85" s="80">
        <v>3926666100</v>
      </c>
      <c r="Q85" s="80">
        <f>+Q86</f>
        <v>937580074</v>
      </c>
      <c r="R85" s="80"/>
      <c r="S85" s="75">
        <f t="shared" si="43"/>
        <v>0.67</v>
      </c>
      <c r="T85" s="80"/>
      <c r="U85" s="85"/>
      <c r="V85" s="76">
        <f>+(V86*W86)</f>
        <v>0.67</v>
      </c>
      <c r="W85" s="76">
        <f>+Y85/Y75</f>
        <v>0.37816666420504497</v>
      </c>
      <c r="X85" s="76">
        <f t="shared" si="46"/>
        <v>0.37816666420504497</v>
      </c>
      <c r="Y85" s="80">
        <f>+Y86</f>
        <v>2436712259</v>
      </c>
      <c r="Z85" s="80">
        <f>+Z86</f>
        <v>3926666100</v>
      </c>
      <c r="AA85" s="80">
        <f>+AA86</f>
        <v>937580074</v>
      </c>
      <c r="AB85" s="76">
        <f t="shared" si="47"/>
        <v>0.38477258467307607</v>
      </c>
      <c r="AC85" s="81">
        <f>SUM(AC86)</f>
        <v>937580074</v>
      </c>
      <c r="AD85" s="76">
        <f t="shared" si="48"/>
        <v>0.38477258467307607</v>
      </c>
      <c r="AE85" s="82">
        <f>SUM(AE86)</f>
        <v>0</v>
      </c>
      <c r="AF85" s="83">
        <f>+AF86</f>
        <v>0</v>
      </c>
      <c r="AG85" s="81">
        <f>+AG86</f>
        <v>0</v>
      </c>
      <c r="AH85" s="86"/>
      <c r="AI85" s="85">
        <f>+AI86</f>
        <v>6363378359</v>
      </c>
      <c r="AJ85" s="80">
        <f>SUM(AJ86)</f>
        <v>4864246174</v>
      </c>
      <c r="AK85" s="86">
        <f t="shared" si="44"/>
        <v>0.76441253365365069</v>
      </c>
      <c r="AL85" s="87"/>
      <c r="AM85" s="88" t="s">
        <v>219</v>
      </c>
      <c r="AN85" s="89"/>
      <c r="AO85" s="89"/>
      <c r="AP85" s="90"/>
      <c r="AQ85" s="91"/>
    </row>
    <row r="86" spans="1:43" ht="40.5" customHeight="1" thickBot="1" x14ac:dyDescent="0.3">
      <c r="A86" s="115" t="s">
        <v>237</v>
      </c>
      <c r="B86" s="93" t="s">
        <v>93</v>
      </c>
      <c r="C86" s="93">
        <f>+'[2]COSOLIDADO PLAN DE ACCIÓN'!L75</f>
        <v>1</v>
      </c>
      <c r="D86" s="93">
        <f>+'[2]COSOLIDADO PLAN DE ACCIÓN'!P75</f>
        <v>1</v>
      </c>
      <c r="E86" s="152">
        <f>+'[2]COSOLIDADO PLAN DE ACCIÓN'!N75</f>
        <v>0.38</v>
      </c>
      <c r="F86" s="153">
        <f>+'[2]COSOLIDADO PLAN DE ACCIÓN'!R75</f>
        <v>0.67</v>
      </c>
      <c r="G86" s="97"/>
      <c r="H86" s="154">
        <v>0.38</v>
      </c>
      <c r="I86" s="150">
        <f>+F86/D86</f>
        <v>0.67</v>
      </c>
      <c r="J86" s="112"/>
      <c r="K86" s="125" t="s">
        <v>49</v>
      </c>
      <c r="L86" s="125" t="s">
        <v>50</v>
      </c>
      <c r="M86" s="117"/>
      <c r="N86" s="102" t="s">
        <v>51</v>
      </c>
      <c r="O86" s="118" t="s">
        <v>238</v>
      </c>
      <c r="P86" s="93">
        <v>937580074</v>
      </c>
      <c r="Q86" s="103">
        <v>937580074</v>
      </c>
      <c r="R86" s="101" t="s">
        <v>53</v>
      </c>
      <c r="S86" s="98">
        <f t="shared" si="43"/>
        <v>0.67</v>
      </c>
      <c r="T86" s="93">
        <f>+'[2]COSOLIDADO PLAN DE ACCIÓN'!D75</f>
        <v>1</v>
      </c>
      <c r="U86" s="155">
        <f>+'[2]COSOLIDADO PLAN DE ACCIÓN'!F75</f>
        <v>0.67</v>
      </c>
      <c r="V86" s="150">
        <f t="shared" si="52"/>
        <v>0.67</v>
      </c>
      <c r="W86" s="99">
        <v>1</v>
      </c>
      <c r="X86" s="99">
        <v>1</v>
      </c>
      <c r="Y86" s="93">
        <v>2436712259</v>
      </c>
      <c r="Z86" s="93">
        <v>3926666100</v>
      </c>
      <c r="AA86" s="93">
        <f>+'[2]COSOLIDADO PLAN DE ACCIÓN'!S75</f>
        <v>937580074</v>
      </c>
      <c r="AB86" s="99">
        <f t="shared" si="47"/>
        <v>0.38477258467307607</v>
      </c>
      <c r="AC86" s="105">
        <v>937580074</v>
      </c>
      <c r="AD86" s="99">
        <f t="shared" si="48"/>
        <v>0.38477258467307607</v>
      </c>
      <c r="AE86" s="106"/>
      <c r="AF86" s="107">
        <v>0</v>
      </c>
      <c r="AG86" s="108">
        <v>0</v>
      </c>
      <c r="AH86" s="119"/>
      <c r="AI86" s="110">
        <f>+'[2]COSOLIDADO PLAN DE ACCIÓN'!E75</f>
        <v>6363378359</v>
      </c>
      <c r="AJ86" s="93">
        <f>+'[2]COSOLIDADO PLAN DE ACCIÓN'!G75</f>
        <v>4864246174</v>
      </c>
      <c r="AK86" s="109">
        <v>0.61707254833375536</v>
      </c>
      <c r="AL86" s="111"/>
      <c r="AM86" s="112" t="s">
        <v>219</v>
      </c>
      <c r="AN86" s="112" t="s">
        <v>95</v>
      </c>
      <c r="AO86" s="112" t="s">
        <v>55</v>
      </c>
      <c r="AP86" s="113"/>
      <c r="AQ86" s="114"/>
    </row>
    <row r="87" spans="1:43" ht="40.5" customHeight="1" thickBot="1" x14ac:dyDescent="0.3">
      <c r="A87" s="51" t="s">
        <v>239</v>
      </c>
      <c r="B87" s="60"/>
      <c r="C87" s="135"/>
      <c r="D87" s="135"/>
      <c r="E87" s="135"/>
      <c r="F87" s="135"/>
      <c r="G87" s="136"/>
      <c r="H87" s="55">
        <f>AVERAGE(H88)</f>
        <v>0.95500000000000007</v>
      </c>
      <c r="I87" s="56">
        <f>AVERAGE(I88)</f>
        <v>0.5</v>
      </c>
      <c r="J87" s="68"/>
      <c r="K87" s="60"/>
      <c r="L87" s="60"/>
      <c r="M87" s="138"/>
      <c r="N87" s="138"/>
      <c r="O87" s="66"/>
      <c r="P87" s="60">
        <f>+P88</f>
        <v>618824635</v>
      </c>
      <c r="Q87" s="60">
        <f>+Q88</f>
        <v>257739327</v>
      </c>
      <c r="R87" s="139"/>
      <c r="S87" s="64">
        <f t="shared" si="43"/>
        <v>0.5</v>
      </c>
      <c r="T87" s="60"/>
      <c r="U87" s="65"/>
      <c r="V87" s="56">
        <f>+(V88*W88)</f>
        <v>0.625</v>
      </c>
      <c r="W87" s="56">
        <f>+Y87/$Y$99</f>
        <v>3.2473669275535987E-2</v>
      </c>
      <c r="X87" s="56">
        <f>+W87</f>
        <v>3.2473669275535987E-2</v>
      </c>
      <c r="Y87" s="60">
        <f>+Y88</f>
        <v>1134571273</v>
      </c>
      <c r="Z87" s="60">
        <f>+Z88</f>
        <v>1017042452</v>
      </c>
      <c r="AA87" s="60">
        <f>+AA88</f>
        <v>618824635</v>
      </c>
      <c r="AB87" s="56">
        <f t="shared" si="47"/>
        <v>0.54542596814012578</v>
      </c>
      <c r="AC87" s="61">
        <f>+AC88</f>
        <v>291731932</v>
      </c>
      <c r="AD87" s="56">
        <f t="shared" si="48"/>
        <v>0.25712966557721051</v>
      </c>
      <c r="AE87" s="62">
        <f>+AE88</f>
        <v>327092703</v>
      </c>
      <c r="AF87" s="63">
        <f>+AF88</f>
        <v>312619864</v>
      </c>
      <c r="AG87" s="61">
        <f>+AG88</f>
        <v>203943620</v>
      </c>
      <c r="AH87" s="64">
        <f t="shared" si="49"/>
        <v>0.65236935807764285</v>
      </c>
      <c r="AI87" s="65">
        <f>+AI88</f>
        <v>4056075734.8000002</v>
      </c>
      <c r="AJ87" s="60">
        <f>+AJ88</f>
        <v>2347837068.3719997</v>
      </c>
      <c r="AK87" s="64">
        <f t="shared" si="44"/>
        <v>0.57884448464021798</v>
      </c>
      <c r="AL87" s="156"/>
      <c r="AM87" s="157" t="s">
        <v>240</v>
      </c>
      <c r="AN87" s="157"/>
      <c r="AO87" s="157"/>
      <c r="AP87" s="158"/>
      <c r="AQ87" s="159"/>
    </row>
    <row r="88" spans="1:43" ht="40.5" customHeight="1" thickBot="1" x14ac:dyDescent="0.3">
      <c r="A88" s="71" t="s">
        <v>241</v>
      </c>
      <c r="B88" s="80"/>
      <c r="C88" s="121"/>
      <c r="D88" s="121"/>
      <c r="E88" s="121"/>
      <c r="F88" s="121"/>
      <c r="G88" s="122"/>
      <c r="H88" s="75">
        <f>AVERAGE(H89:H90)</f>
        <v>0.95500000000000007</v>
      </c>
      <c r="I88" s="76">
        <f>AVERAGE(I89:I90)</f>
        <v>0.5</v>
      </c>
      <c r="J88" s="89"/>
      <c r="K88" s="80"/>
      <c r="L88" s="80"/>
      <c r="M88" s="143"/>
      <c r="N88" s="143"/>
      <c r="O88" s="87"/>
      <c r="P88" s="80">
        <v>618824635</v>
      </c>
      <c r="Q88" s="80">
        <f>SUM(Q89:Q90)</f>
        <v>257739327</v>
      </c>
      <c r="R88" s="144"/>
      <c r="S88" s="86">
        <f t="shared" si="43"/>
        <v>0.5</v>
      </c>
      <c r="T88" s="80"/>
      <c r="U88" s="85"/>
      <c r="V88" s="76">
        <f>+(V89*W89)+(V90*W90)</f>
        <v>0.625</v>
      </c>
      <c r="W88" s="76">
        <v>1</v>
      </c>
      <c r="X88" s="76">
        <v>1</v>
      </c>
      <c r="Y88" s="80">
        <f>SUM(Y89:Y90)</f>
        <v>1134571273</v>
      </c>
      <c r="Z88" s="80">
        <f>SUM(Z89:Z90)</f>
        <v>1017042452</v>
      </c>
      <c r="AA88" s="80">
        <f>SUM(AA89:AA90)</f>
        <v>618824635</v>
      </c>
      <c r="AB88" s="76">
        <f t="shared" si="47"/>
        <v>0.54542596814012578</v>
      </c>
      <c r="AC88" s="81">
        <f>SUM(AC89:AC90)</f>
        <v>291731932</v>
      </c>
      <c r="AD88" s="76">
        <f t="shared" si="48"/>
        <v>0.25712966557721051</v>
      </c>
      <c r="AE88" s="82">
        <f>SUM(AE89:AE90)</f>
        <v>327092703</v>
      </c>
      <c r="AF88" s="83">
        <f>SUM(AF89:AF90)</f>
        <v>312619864</v>
      </c>
      <c r="AG88" s="81">
        <f>SUM(AG89:AG90)</f>
        <v>203943620</v>
      </c>
      <c r="AH88" s="86">
        <f t="shared" si="49"/>
        <v>0.65236935807764285</v>
      </c>
      <c r="AI88" s="160">
        <f>SUM(AI89:AI90)</f>
        <v>4056075734.8000002</v>
      </c>
      <c r="AJ88" s="161">
        <f>SUM(AJ89:AJ90)</f>
        <v>2347837068.3719997</v>
      </c>
      <c r="AK88" s="162">
        <f t="shared" si="44"/>
        <v>0.57884448464021798</v>
      </c>
      <c r="AL88" s="163"/>
      <c r="AM88" s="164" t="s">
        <v>240</v>
      </c>
      <c r="AN88" s="165"/>
      <c r="AO88" s="165"/>
      <c r="AP88" s="166"/>
      <c r="AQ88" s="167"/>
    </row>
    <row r="89" spans="1:43" ht="46.5" customHeight="1" thickBot="1" x14ac:dyDescent="0.3">
      <c r="A89" s="92" t="s">
        <v>242</v>
      </c>
      <c r="B89" s="93" t="s">
        <v>47</v>
      </c>
      <c r="C89" s="123">
        <f>+'[2]COSOLIDADO PLAN DE ACCIÓN'!L82</f>
        <v>100</v>
      </c>
      <c r="D89" s="93">
        <f>+'[2]COSOLIDADO PLAN DE ACCIÓN'!P82</f>
        <v>100</v>
      </c>
      <c r="E89" s="123">
        <f>+'[2]COSOLIDADO PLAN DE ACCIÓN'!N82</f>
        <v>92</v>
      </c>
      <c r="F89" s="93">
        <f>+'[2]COSOLIDADO PLAN DE ACCIÓN'!R82</f>
        <v>50</v>
      </c>
      <c r="G89" s="97"/>
      <c r="H89" s="98">
        <f>+E89/C89</f>
        <v>0.92</v>
      </c>
      <c r="I89" s="99">
        <f>+F89/D89</f>
        <v>0.5</v>
      </c>
      <c r="J89" s="112"/>
      <c r="K89" s="125" t="s">
        <v>49</v>
      </c>
      <c r="L89" s="125" t="s">
        <v>50</v>
      </c>
      <c r="M89" s="117"/>
      <c r="N89" s="117" t="s">
        <v>51</v>
      </c>
      <c r="O89" s="118" t="s">
        <v>243</v>
      </c>
      <c r="P89" s="93">
        <v>565528039</v>
      </c>
      <c r="Q89" s="93">
        <v>214024542</v>
      </c>
      <c r="R89" s="125" t="s">
        <v>53</v>
      </c>
      <c r="S89" s="109">
        <f t="shared" si="43"/>
        <v>0.5</v>
      </c>
      <c r="T89" s="93">
        <f>+'[2]COSOLIDADO PLAN DE ACCIÓN'!D82</f>
        <v>100</v>
      </c>
      <c r="U89" s="110">
        <f>+'[2]COSOLIDADO PLAN DE ACCIÓN'!F82</f>
        <v>62.5</v>
      </c>
      <c r="V89" s="99">
        <f t="shared" ref="V89" si="53">IF(U89/T89&gt;=100%,100%,U89/T89)</f>
        <v>0.625</v>
      </c>
      <c r="W89" s="99">
        <f>+Y89/$Y$88</f>
        <v>0.91356215309357647</v>
      </c>
      <c r="X89" s="99">
        <f>+W89</f>
        <v>0.91356215309357647</v>
      </c>
      <c r="Y89" s="93">
        <f>+'[2]COSOLIDADO PLAN DE ACCIÓN'!Q82</f>
        <v>1036501375</v>
      </c>
      <c r="Z89" s="93">
        <v>882425344</v>
      </c>
      <c r="AA89" s="93">
        <f>+'[2]COSOLIDADO PLAN DE ACCIÓN'!S82</f>
        <v>565528039</v>
      </c>
      <c r="AB89" s="99">
        <f t="shared" si="47"/>
        <v>0.54561243490873323</v>
      </c>
      <c r="AC89" s="105">
        <f>+'[2]320801-4.6'!S35</f>
        <v>248015796</v>
      </c>
      <c r="AD89" s="99">
        <f t="shared" si="48"/>
        <v>0.23928168546809694</v>
      </c>
      <c r="AE89" s="106">
        <f t="shared" ref="AE89:AE90" si="54">+AA89-AC89</f>
        <v>317512243</v>
      </c>
      <c r="AF89" s="127">
        <v>312619864</v>
      </c>
      <c r="AG89" s="105">
        <v>203943620</v>
      </c>
      <c r="AH89" s="109">
        <f t="shared" si="49"/>
        <v>0.65236935807764285</v>
      </c>
      <c r="AI89" s="110">
        <f>+'[2]COSOLIDADO PLAN DE ACCIÓN'!E82</f>
        <v>3750677809.8000002</v>
      </c>
      <c r="AJ89" s="93">
        <f>+'[2]COSOLIDADO PLAN DE ACCIÓN'!G82</f>
        <v>2134360464.372</v>
      </c>
      <c r="AK89" s="109">
        <f t="shared" si="44"/>
        <v>0.56905993332597449</v>
      </c>
      <c r="AL89" s="111"/>
      <c r="AM89" s="112" t="s">
        <v>240</v>
      </c>
      <c r="AN89" s="112" t="s">
        <v>244</v>
      </c>
      <c r="AO89" s="112" t="s">
        <v>245</v>
      </c>
      <c r="AP89" s="113"/>
      <c r="AQ89" s="114"/>
    </row>
    <row r="90" spans="1:43" ht="40.5" customHeight="1" thickBot="1" x14ac:dyDescent="0.3">
      <c r="A90" s="115" t="s">
        <v>224</v>
      </c>
      <c r="B90" s="93" t="s">
        <v>57</v>
      </c>
      <c r="C90" s="123">
        <f>+'[2]COSOLIDADO PLAN DE ACCIÓN'!L83</f>
        <v>1</v>
      </c>
      <c r="D90" s="93">
        <f>+'[2]COSOLIDADO PLAN DE ACCIÓN'!P83</f>
        <v>1</v>
      </c>
      <c r="E90" s="123">
        <f>+'[2]COSOLIDADO PLAN DE ACCIÓN'!N83</f>
        <v>0.99</v>
      </c>
      <c r="F90" s="116">
        <f>+'[2]COSOLIDADO PLAN DE ACCIÓN'!R83</f>
        <v>0.5</v>
      </c>
      <c r="G90" s="97"/>
      <c r="H90" s="98">
        <f>+E90/C90</f>
        <v>0.99</v>
      </c>
      <c r="I90" s="99">
        <f>+F90/D90</f>
        <v>0.5</v>
      </c>
      <c r="J90" s="112"/>
      <c r="K90" s="125" t="s">
        <v>49</v>
      </c>
      <c r="L90" s="125" t="s">
        <v>59</v>
      </c>
      <c r="M90" s="117" t="s">
        <v>60</v>
      </c>
      <c r="N90" s="117" t="s">
        <v>51</v>
      </c>
      <c r="O90" s="118" t="s">
        <v>246</v>
      </c>
      <c r="P90" s="93">
        <v>53296596</v>
      </c>
      <c r="Q90" s="93">
        <v>43714785</v>
      </c>
      <c r="R90" s="125" t="s">
        <v>53</v>
      </c>
      <c r="S90" s="109">
        <f t="shared" si="43"/>
        <v>0.5</v>
      </c>
      <c r="T90" s="93">
        <f>+'[2]COSOLIDADO PLAN DE ACCIÓN'!D83</f>
        <v>1</v>
      </c>
      <c r="U90" s="132">
        <f>+'[2]COSOLIDADO PLAN DE ACCIÓN'!F83</f>
        <v>0.625</v>
      </c>
      <c r="V90" s="99">
        <f>IF(U90/T90&gt;=100%,100%,U90/T90)</f>
        <v>0.625</v>
      </c>
      <c r="W90" s="99">
        <f>+Y90/$Y$88</f>
        <v>8.6437846906423477E-2</v>
      </c>
      <c r="X90" s="99">
        <f>+W90</f>
        <v>8.6437846906423477E-2</v>
      </c>
      <c r="Y90" s="93">
        <f>+'[2]COSOLIDADO PLAN DE ACCIÓN'!Q83</f>
        <v>98069898</v>
      </c>
      <c r="Z90" s="93">
        <v>134617108</v>
      </c>
      <c r="AA90" s="93">
        <f>+'[2]COSOLIDADO PLAN DE ACCIÓN'!S83</f>
        <v>53296596</v>
      </c>
      <c r="AB90" s="99">
        <f t="shared" si="47"/>
        <v>0.54345519967809086</v>
      </c>
      <c r="AC90" s="105">
        <f>+'[2]320801-4.6'!S40+'[2]320801-4.6'!S57</f>
        <v>43716136</v>
      </c>
      <c r="AD90" s="99">
        <f t="shared" si="48"/>
        <v>0.44576508073863808</v>
      </c>
      <c r="AE90" s="106">
        <f t="shared" si="54"/>
        <v>9580460</v>
      </c>
      <c r="AF90" s="127">
        <v>0</v>
      </c>
      <c r="AG90" s="105">
        <v>0</v>
      </c>
      <c r="AH90" s="109"/>
      <c r="AI90" s="110">
        <f>+'[2]COSOLIDADO PLAN DE ACCIÓN'!E83</f>
        <v>305397925</v>
      </c>
      <c r="AJ90" s="93">
        <f>+'[2]COSOLIDADO PLAN DE ACCIÓN'!G83</f>
        <v>213476604</v>
      </c>
      <c r="AK90" s="109">
        <f t="shared" si="44"/>
        <v>0.699011311226165</v>
      </c>
      <c r="AL90" s="111"/>
      <c r="AM90" s="112" t="s">
        <v>240</v>
      </c>
      <c r="AN90" s="120"/>
      <c r="AO90" s="112" t="s">
        <v>245</v>
      </c>
      <c r="AP90" s="113"/>
      <c r="AQ90" s="114"/>
    </row>
    <row r="91" spans="1:43" ht="40.5" customHeight="1" thickBot="1" x14ac:dyDescent="0.3">
      <c r="A91" s="51" t="s">
        <v>247</v>
      </c>
      <c r="B91" s="60"/>
      <c r="C91" s="135"/>
      <c r="D91" s="135"/>
      <c r="E91" s="135"/>
      <c r="F91" s="135"/>
      <c r="G91" s="136"/>
      <c r="H91" s="55">
        <f>AVERAGE(H92)</f>
        <v>0.85555555555555562</v>
      </c>
      <c r="I91" s="56">
        <f>AVERAGE(I92)</f>
        <v>0.46849152777777786</v>
      </c>
      <c r="J91" s="68"/>
      <c r="K91" s="60"/>
      <c r="L91" s="60"/>
      <c r="M91" s="138"/>
      <c r="N91" s="138"/>
      <c r="O91" s="66"/>
      <c r="P91" s="60">
        <f>+P92</f>
        <v>1222640867</v>
      </c>
      <c r="Q91" s="60">
        <f>+Q92</f>
        <v>314757847</v>
      </c>
      <c r="R91" s="139"/>
      <c r="S91" s="64">
        <f t="shared" si="43"/>
        <v>0.46849152777777786</v>
      </c>
      <c r="T91" s="60"/>
      <c r="U91" s="65"/>
      <c r="V91" s="56">
        <f>+(V92*W92)</f>
        <v>0.53188105979027933</v>
      </c>
      <c r="W91" s="56">
        <f>+Y91/$Y$99</f>
        <v>6.2621982377169511E-2</v>
      </c>
      <c r="X91" s="56">
        <f>+W91</f>
        <v>6.2621982377169511E-2</v>
      </c>
      <c r="Y91" s="60">
        <f>+Y92</f>
        <v>2187898806.8950238</v>
      </c>
      <c r="Z91" s="60">
        <f>+Z92</f>
        <v>2614659705.4000001</v>
      </c>
      <c r="AA91" s="60">
        <f>+AA92</f>
        <v>1222640867</v>
      </c>
      <c r="AB91" s="56">
        <f t="shared" si="47"/>
        <v>0.55881965982472548</v>
      </c>
      <c r="AC91" s="61">
        <f>+AC92</f>
        <v>325138697</v>
      </c>
      <c r="AD91" s="56">
        <f t="shared" si="48"/>
        <v>0.14860773998109331</v>
      </c>
      <c r="AE91" s="62">
        <f>+AE92</f>
        <v>897502170</v>
      </c>
      <c r="AF91" s="63">
        <f>+AF92</f>
        <v>1264302943.6400001</v>
      </c>
      <c r="AG91" s="61">
        <f>+AG92</f>
        <v>183814750</v>
      </c>
      <c r="AH91" s="64">
        <f t="shared" si="49"/>
        <v>0.14538821642761257</v>
      </c>
      <c r="AI91" s="168">
        <f>+AI92</f>
        <v>6704922284.255024</v>
      </c>
      <c r="AJ91" s="61">
        <f>+AJ92</f>
        <v>4651307852.0679998</v>
      </c>
      <c r="AK91" s="64">
        <f t="shared" si="44"/>
        <v>0.69371540114499641</v>
      </c>
      <c r="AL91" s="62"/>
      <c r="AM91" s="140" t="s">
        <v>248</v>
      </c>
      <c r="AN91" s="141"/>
      <c r="AO91" s="141"/>
      <c r="AP91" s="62"/>
      <c r="AQ91" s="142"/>
    </row>
    <row r="92" spans="1:43" ht="40.5" customHeight="1" thickBot="1" x14ac:dyDescent="0.3">
      <c r="A92" s="71" t="s">
        <v>249</v>
      </c>
      <c r="B92" s="80"/>
      <c r="C92" s="121"/>
      <c r="D92" s="121"/>
      <c r="E92" s="121"/>
      <c r="F92" s="121"/>
      <c r="G92" s="122"/>
      <c r="H92" s="75">
        <f>AVERAGE(H93:H98)</f>
        <v>0.85555555555555562</v>
      </c>
      <c r="I92" s="76">
        <f>AVERAGE(I93:I98)</f>
        <v>0.46849152777777786</v>
      </c>
      <c r="J92" s="169"/>
      <c r="K92" s="75"/>
      <c r="L92" s="75"/>
      <c r="M92" s="75"/>
      <c r="N92" s="75"/>
      <c r="O92" s="75"/>
      <c r="P92" s="80">
        <v>1222640867</v>
      </c>
      <c r="Q92" s="80">
        <f>SUM(Q93:Q98)</f>
        <v>314757847</v>
      </c>
      <c r="R92" s="75"/>
      <c r="S92" s="75">
        <f t="shared" si="43"/>
        <v>0.46849152777777786</v>
      </c>
      <c r="T92" s="75"/>
      <c r="U92" s="76"/>
      <c r="V92" s="76">
        <f>+(V93*W93)+(V94*W94)+(V95*W95)+(V96*W96)+(V97*W97)+(V98*W98)</f>
        <v>0.53188105979027933</v>
      </c>
      <c r="W92" s="76">
        <v>1</v>
      </c>
      <c r="X92" s="76">
        <v>1</v>
      </c>
      <c r="Y92" s="80">
        <f>SUM(Y93:Y98)</f>
        <v>2187898806.8950238</v>
      </c>
      <c r="Z92" s="80">
        <f>SUM(Z93:Z98)</f>
        <v>2614659705.4000001</v>
      </c>
      <c r="AA92" s="80">
        <f>SUM(AA93:AA98)</f>
        <v>1222640867</v>
      </c>
      <c r="AB92" s="76">
        <f t="shared" si="47"/>
        <v>0.55881965982472548</v>
      </c>
      <c r="AC92" s="81">
        <f>SUM(AC93:AC98)</f>
        <v>325138697</v>
      </c>
      <c r="AD92" s="76">
        <f t="shared" si="48"/>
        <v>0.14860773998109331</v>
      </c>
      <c r="AE92" s="82">
        <f>SUM(AE93:AE98)</f>
        <v>897502170</v>
      </c>
      <c r="AF92" s="83">
        <f>SUM(AF93:AF98)</f>
        <v>1264302943.6400001</v>
      </c>
      <c r="AG92" s="81">
        <f>SUM(AG93:AG98)</f>
        <v>183814750</v>
      </c>
      <c r="AH92" s="86">
        <f t="shared" si="49"/>
        <v>0.14538821642761257</v>
      </c>
      <c r="AI92" s="85">
        <f>SUM(AI93:AI98)</f>
        <v>6704922284.255024</v>
      </c>
      <c r="AJ92" s="80">
        <f>SUM(AJ93:AJ98)</f>
        <v>4651307852.0679998</v>
      </c>
      <c r="AK92" s="86">
        <f t="shared" si="44"/>
        <v>0.69371540114499641</v>
      </c>
      <c r="AL92" s="87"/>
      <c r="AM92" s="170" t="s">
        <v>248</v>
      </c>
      <c r="AN92" s="171"/>
      <c r="AO92" s="171"/>
      <c r="AP92" s="82"/>
      <c r="AQ92" s="172"/>
    </row>
    <row r="93" spans="1:43" ht="68.25" customHeight="1" thickBot="1" x14ac:dyDescent="0.3">
      <c r="A93" s="173" t="s">
        <v>250</v>
      </c>
      <c r="B93" s="103" t="s">
        <v>47</v>
      </c>
      <c r="C93" s="123">
        <f>+'[2]COSOLIDADO PLAN DE ACCIÓN'!L86</f>
        <v>50</v>
      </c>
      <c r="D93" s="103">
        <f>+'[2]COSOLIDADO PLAN DE ACCIÓN'!P86</f>
        <v>75</v>
      </c>
      <c r="E93" s="123">
        <f>+'[2]COSOLIDADO PLAN DE ACCIÓN'!N86</f>
        <v>50</v>
      </c>
      <c r="F93" s="174">
        <f>+'[2]COSOLIDADO PLAN DE ACCIÓN'!R86</f>
        <v>35</v>
      </c>
      <c r="G93" s="97"/>
      <c r="H93" s="98">
        <f>+E93/C93</f>
        <v>1</v>
      </c>
      <c r="I93" s="99">
        <f>+F93/D93</f>
        <v>0.46666666666666667</v>
      </c>
      <c r="J93" s="112"/>
      <c r="K93" s="125" t="s">
        <v>49</v>
      </c>
      <c r="L93" s="125" t="s">
        <v>50</v>
      </c>
      <c r="M93" s="117"/>
      <c r="N93" s="117" t="s">
        <v>51</v>
      </c>
      <c r="O93" s="118" t="s">
        <v>251</v>
      </c>
      <c r="P93" s="93">
        <v>364619840</v>
      </c>
      <c r="Q93" s="93">
        <v>159414671</v>
      </c>
      <c r="R93" s="125" t="s">
        <v>53</v>
      </c>
      <c r="S93" s="109">
        <f t="shared" si="43"/>
        <v>0.46666666666666667</v>
      </c>
      <c r="T93" s="93">
        <f>+'[2]COSOLIDADO PLAN DE ACCIÓN'!D86</f>
        <v>100</v>
      </c>
      <c r="U93" s="110">
        <f>+'[2]COSOLIDADO PLAN DE ACCIÓN'!F86</f>
        <v>58.75</v>
      </c>
      <c r="V93" s="99">
        <f>IF(U93/T93&gt;=100%,100%,U93/T93)</f>
        <v>0.58750000000000002</v>
      </c>
      <c r="W93" s="99">
        <f t="shared" ref="W93:W97" si="55">+Y93/$Y$92</f>
        <v>0.19554973543825696</v>
      </c>
      <c r="X93" s="99">
        <f t="shared" ref="X93:X97" si="56">+W93</f>
        <v>0.19554973543825696</v>
      </c>
      <c r="Y93" s="93">
        <f>+'[2]COSOLIDADO PLAN DE ACCIÓN'!Q86</f>
        <v>427843032.85399997</v>
      </c>
      <c r="Z93" s="93">
        <v>253702280.03999999</v>
      </c>
      <c r="AA93" s="93">
        <f>+'[2]COSOLIDADO PLAN DE ACCIÓN'!S86</f>
        <v>364619840</v>
      </c>
      <c r="AB93" s="99">
        <f t="shared" si="47"/>
        <v>0.85222806496985848</v>
      </c>
      <c r="AC93" s="105">
        <f>+'[2]329901-4.5'!S28</f>
        <v>165485119</v>
      </c>
      <c r="AD93" s="99">
        <f t="shared" si="48"/>
        <v>0.38678932760948159</v>
      </c>
      <c r="AE93" s="106">
        <f t="shared" ref="AE93:AE98" si="57">+AA93-AC93</f>
        <v>199134721</v>
      </c>
      <c r="AF93" s="127">
        <v>2001175.8000000119</v>
      </c>
      <c r="AG93" s="108">
        <v>0</v>
      </c>
      <c r="AH93" s="109">
        <f t="shared" si="49"/>
        <v>0</v>
      </c>
      <c r="AI93" s="110">
        <f>+'[2]COSOLIDADO PLAN DE ACCIÓN'!E86</f>
        <v>1235331333.2539999</v>
      </c>
      <c r="AJ93" s="93">
        <f>+'[2]COSOLIDADO PLAN DE ACCIÓN'!G86</f>
        <v>878307596.70799994</v>
      </c>
      <c r="AK93" s="109">
        <f t="shared" si="44"/>
        <v>0.71098949169729242</v>
      </c>
      <c r="AL93" s="111"/>
      <c r="AM93" s="112" t="s">
        <v>248</v>
      </c>
      <c r="AN93" s="120"/>
      <c r="AO93" s="112" t="s">
        <v>245</v>
      </c>
      <c r="AP93" s="113"/>
      <c r="AQ93" s="114"/>
    </row>
    <row r="94" spans="1:43" ht="40.5" customHeight="1" thickBot="1" x14ac:dyDescent="0.3">
      <c r="A94" s="173" t="s">
        <v>252</v>
      </c>
      <c r="B94" s="103" t="s">
        <v>47</v>
      </c>
      <c r="C94" s="123">
        <f>+'[2]COSOLIDADO PLAN DE ACCIÓN'!L87</f>
        <v>40</v>
      </c>
      <c r="D94" s="103">
        <f>+'[2]COSOLIDADO PLAN DE ACCIÓN'!P87</f>
        <v>70</v>
      </c>
      <c r="E94" s="123">
        <f>+'[2]COSOLIDADO PLAN DE ACCIÓN'!N87</f>
        <v>40</v>
      </c>
      <c r="F94" s="174">
        <f>+'[2]COSOLIDADO PLAN DE ACCIÓN'!R87</f>
        <v>35</v>
      </c>
      <c r="G94" s="97"/>
      <c r="H94" s="98">
        <f t="shared" ref="H94:I98" si="58">+E94/C94</f>
        <v>1</v>
      </c>
      <c r="I94" s="99">
        <f t="shared" si="58"/>
        <v>0.5</v>
      </c>
      <c r="J94" s="112"/>
      <c r="K94" s="125" t="s">
        <v>49</v>
      </c>
      <c r="L94" s="125" t="s">
        <v>50</v>
      </c>
      <c r="M94" s="117"/>
      <c r="N94" s="117" t="s">
        <v>51</v>
      </c>
      <c r="O94" s="118" t="s">
        <v>253</v>
      </c>
      <c r="P94" s="93">
        <v>20080000</v>
      </c>
      <c r="Q94" s="93">
        <v>6024000</v>
      </c>
      <c r="R94" s="125" t="s">
        <v>53</v>
      </c>
      <c r="S94" s="109">
        <f t="shared" si="43"/>
        <v>0.5</v>
      </c>
      <c r="T94" s="93">
        <f>+'[2]COSOLIDADO PLAN DE ACCIÓN'!D87</f>
        <v>100</v>
      </c>
      <c r="U94" s="110">
        <f>+'[2]COSOLIDADO PLAN DE ACCIÓN'!F87</f>
        <v>58.75</v>
      </c>
      <c r="V94" s="99">
        <f t="shared" ref="V94:V97" si="59">IF(U94/T94&gt;=100%,100%,U94/T94)</f>
        <v>0.58750000000000002</v>
      </c>
      <c r="W94" s="99">
        <f t="shared" si="55"/>
        <v>9.1777553590317602E-3</v>
      </c>
      <c r="X94" s="99">
        <f t="shared" si="56"/>
        <v>9.1777553590317602E-3</v>
      </c>
      <c r="Y94" s="93">
        <f>+'[2]COSOLIDADO PLAN DE ACCIÓN'!Q87</f>
        <v>20080000</v>
      </c>
      <c r="Z94" s="93">
        <v>15833884.359999999</v>
      </c>
      <c r="AA94" s="93">
        <f>+'[2]COSOLIDADO PLAN DE ACCIÓN'!S87</f>
        <v>20080000</v>
      </c>
      <c r="AB94" s="99">
        <f t="shared" si="47"/>
        <v>1</v>
      </c>
      <c r="AC94" s="105">
        <f>+'[2]329901-4.5'!S37</f>
        <v>6024000</v>
      </c>
      <c r="AD94" s="99">
        <f t="shared" si="48"/>
        <v>0.3</v>
      </c>
      <c r="AE94" s="106">
        <f t="shared" si="57"/>
        <v>14056000</v>
      </c>
      <c r="AF94" s="127">
        <v>0</v>
      </c>
      <c r="AG94" s="105">
        <v>0</v>
      </c>
      <c r="AH94" s="109"/>
      <c r="AI94" s="110">
        <f>+'[2]COSOLIDADO PLAN DE ACCIÓN'!E87</f>
        <v>66998302.359999999</v>
      </c>
      <c r="AJ94" s="93">
        <f>+'[2]COSOLIDADO PLAN DE ACCIÓN'!G87</f>
        <v>40603809.359999999</v>
      </c>
      <c r="AK94" s="109">
        <f t="shared" si="44"/>
        <v>0.60604236122021049</v>
      </c>
      <c r="AL94" s="111"/>
      <c r="AM94" s="112" t="s">
        <v>248</v>
      </c>
      <c r="AN94" s="120"/>
      <c r="AO94" s="112" t="s">
        <v>245</v>
      </c>
      <c r="AP94" s="113"/>
      <c r="AQ94" s="114"/>
    </row>
    <row r="95" spans="1:43" ht="48.75" customHeight="1" thickBot="1" x14ac:dyDescent="0.3">
      <c r="A95" s="173" t="s">
        <v>254</v>
      </c>
      <c r="B95" s="103" t="s">
        <v>47</v>
      </c>
      <c r="C95" s="123">
        <f>+'[2]COSOLIDADO PLAN DE ACCIÓN'!L88</f>
        <v>50</v>
      </c>
      <c r="D95" s="103">
        <f>+'[2]COSOLIDADO PLAN DE ACCIÓN'!P88</f>
        <v>75</v>
      </c>
      <c r="E95" s="123">
        <f>+'[2]COSOLIDADO PLAN DE ACCIÓN'!N88</f>
        <v>50</v>
      </c>
      <c r="F95" s="174">
        <f>+'[2]COSOLIDADO PLAN DE ACCIÓN'!R88</f>
        <v>37.5</v>
      </c>
      <c r="G95" s="97"/>
      <c r="H95" s="98">
        <f t="shared" si="58"/>
        <v>1</v>
      </c>
      <c r="I95" s="99">
        <f t="shared" si="58"/>
        <v>0.5</v>
      </c>
      <c r="J95" s="112"/>
      <c r="K95" s="125" t="s">
        <v>49</v>
      </c>
      <c r="L95" s="125" t="s">
        <v>50</v>
      </c>
      <c r="M95" s="117"/>
      <c r="N95" s="117" t="s">
        <v>51</v>
      </c>
      <c r="O95" s="118" t="s">
        <v>255</v>
      </c>
      <c r="P95" s="93">
        <v>149547306</v>
      </c>
      <c r="Q95" s="93">
        <v>15286904</v>
      </c>
      <c r="R95" s="125" t="s">
        <v>53</v>
      </c>
      <c r="S95" s="109">
        <f t="shared" si="43"/>
        <v>0.5</v>
      </c>
      <c r="T95" s="93">
        <f>+'[2]COSOLIDADO PLAN DE ACCIÓN'!D88</f>
        <v>100</v>
      </c>
      <c r="U95" s="110">
        <f>+'[2]COSOLIDADO PLAN DE ACCIÓN'!F88</f>
        <v>59.375</v>
      </c>
      <c r="V95" s="99">
        <f t="shared" si="59"/>
        <v>0.59375</v>
      </c>
      <c r="W95" s="99">
        <f t="shared" si="55"/>
        <v>0.18118469071410032</v>
      </c>
      <c r="X95" s="99">
        <f t="shared" si="56"/>
        <v>0.18118469071410032</v>
      </c>
      <c r="Y95" s="93">
        <f>+'[2]COSOLIDADO PLAN DE ACCIÓN'!Q88</f>
        <v>396413768.64102399</v>
      </c>
      <c r="Z95" s="93">
        <v>634242557</v>
      </c>
      <c r="AA95" s="93">
        <f>+'[2]COSOLIDADO PLAN DE ACCIÓN'!S88</f>
        <v>149547306</v>
      </c>
      <c r="AB95" s="99">
        <f t="shared" si="47"/>
        <v>0.37725053424020671</v>
      </c>
      <c r="AC95" s="105">
        <f>+'[2]329901-4.5'!S59</f>
        <v>19593375</v>
      </c>
      <c r="AD95" s="99">
        <f t="shared" si="48"/>
        <v>4.9426575336092717E-2</v>
      </c>
      <c r="AE95" s="106">
        <f t="shared" si="57"/>
        <v>129953931</v>
      </c>
      <c r="AF95" s="127">
        <v>203613646</v>
      </c>
      <c r="AG95" s="105">
        <v>141056653</v>
      </c>
      <c r="AH95" s="109">
        <f t="shared" si="49"/>
        <v>0.69276620585635995</v>
      </c>
      <c r="AI95" s="110">
        <f>+'[2]COSOLIDADO PLAN DE ACCIÓN'!E88</f>
        <v>2072313270.8410239</v>
      </c>
      <c r="AJ95" s="93">
        <f>+'[2]COSOLIDADO PLAN DE ACCIÓN'!G88</f>
        <v>1288183789</v>
      </c>
      <c r="AK95" s="109">
        <f t="shared" si="44"/>
        <v>0.62161633915378334</v>
      </c>
      <c r="AL95" s="111"/>
      <c r="AM95" s="112" t="s">
        <v>248</v>
      </c>
      <c r="AN95" s="120"/>
      <c r="AO95" s="112" t="s">
        <v>245</v>
      </c>
      <c r="AP95" s="113"/>
      <c r="AQ95" s="114"/>
    </row>
    <row r="96" spans="1:43" ht="40.5" customHeight="1" thickBot="1" x14ac:dyDescent="0.3">
      <c r="A96" s="173" t="s">
        <v>256</v>
      </c>
      <c r="B96" s="103" t="s">
        <v>47</v>
      </c>
      <c r="C96" s="123">
        <f>+'[2]COSOLIDADO PLAN DE ACCIÓN'!L89</f>
        <v>60</v>
      </c>
      <c r="D96" s="103">
        <f>+'[2]COSOLIDADO PLAN DE ACCIÓN'!P89</f>
        <v>80</v>
      </c>
      <c r="E96" s="123">
        <f>+'[2]COSOLIDADO PLAN DE ACCIÓN'!N89</f>
        <v>50</v>
      </c>
      <c r="F96" s="174">
        <f>+'[2]COSOLIDADO PLAN DE ACCIÓN'!R89</f>
        <v>37</v>
      </c>
      <c r="G96" s="97"/>
      <c r="H96" s="98">
        <f>+E96/C96</f>
        <v>0.83333333333333337</v>
      </c>
      <c r="I96" s="99">
        <f t="shared" si="58"/>
        <v>0.46250000000000002</v>
      </c>
      <c r="J96" s="112"/>
      <c r="K96" s="125" t="s">
        <v>49</v>
      </c>
      <c r="L96" s="125" t="s">
        <v>50</v>
      </c>
      <c r="M96" s="117"/>
      <c r="N96" s="117" t="s">
        <v>51</v>
      </c>
      <c r="O96" s="118" t="s">
        <v>257</v>
      </c>
      <c r="P96" s="93">
        <v>39680288</v>
      </c>
      <c r="Q96" s="93">
        <v>8032000</v>
      </c>
      <c r="R96" s="125" t="s">
        <v>53</v>
      </c>
      <c r="S96" s="109">
        <f t="shared" si="43"/>
        <v>0.46250000000000002</v>
      </c>
      <c r="T96" s="93">
        <f>+'[2]COSOLIDADO PLAN DE ACCIÓN'!D89</f>
        <v>100</v>
      </c>
      <c r="U96" s="110">
        <f>+'[2]COSOLIDADO PLAN DE ACCIÓN'!F89</f>
        <v>57.25</v>
      </c>
      <c r="V96" s="99">
        <f t="shared" si="59"/>
        <v>0.57250000000000001</v>
      </c>
      <c r="W96" s="99">
        <f t="shared" si="55"/>
        <v>5.0233730030674745E-2</v>
      </c>
      <c r="X96" s="99">
        <f t="shared" si="56"/>
        <v>5.0233730030674745E-2</v>
      </c>
      <c r="Y96" s="93">
        <f>+'[2]COSOLIDADO PLAN DE ACCIÓN'!Q89</f>
        <v>109906318</v>
      </c>
      <c r="Z96" s="93">
        <v>35742400</v>
      </c>
      <c r="AA96" s="93">
        <f>+'[2]COSOLIDADO PLAN DE ACCIÓN'!S89</f>
        <v>39680288</v>
      </c>
      <c r="AB96" s="99">
        <f t="shared" si="47"/>
        <v>0.36103737002635283</v>
      </c>
      <c r="AC96" s="105">
        <f>+'[2]329901-4.5'!S66</f>
        <v>8032000</v>
      </c>
      <c r="AD96" s="99">
        <f t="shared" si="48"/>
        <v>7.3080421090987696E-2</v>
      </c>
      <c r="AE96" s="106">
        <f t="shared" si="57"/>
        <v>31648288</v>
      </c>
      <c r="AF96" s="127">
        <v>16392978</v>
      </c>
      <c r="AG96" s="105">
        <v>10803566</v>
      </c>
      <c r="AH96" s="109">
        <f t="shared" si="49"/>
        <v>0.65903620440410526</v>
      </c>
      <c r="AI96" s="110">
        <f>+'[2]COSOLIDADO PLAN DE ACCIÓN'!E89</f>
        <v>265148758</v>
      </c>
      <c r="AJ96" s="93">
        <f>+'[2]COSOLIDADO PLAN DE ACCIÓN'!G89</f>
        <v>106243309</v>
      </c>
      <c r="AK96" s="109">
        <f t="shared" si="44"/>
        <v>0.40069321765406873</v>
      </c>
      <c r="AL96" s="111"/>
      <c r="AM96" s="112" t="s">
        <v>248</v>
      </c>
      <c r="AN96" s="120"/>
      <c r="AO96" s="112" t="s">
        <v>245</v>
      </c>
      <c r="AP96" s="113"/>
      <c r="AQ96" s="114"/>
    </row>
    <row r="97" spans="1:44" ht="45.75" customHeight="1" thickBot="1" x14ac:dyDescent="0.3">
      <c r="A97" s="173" t="s">
        <v>258</v>
      </c>
      <c r="B97" s="103" t="s">
        <v>47</v>
      </c>
      <c r="C97" s="123">
        <f>+'[2]COSOLIDADO PLAN DE ACCIÓN'!L90</f>
        <v>100</v>
      </c>
      <c r="D97" s="103">
        <f>+'[2]COSOLIDADO PLAN DE ACCIÓN'!P90</f>
        <v>100</v>
      </c>
      <c r="E97" s="123">
        <f>+'[2]COSOLIDADO PLAN DE ACCIÓN'!N90</f>
        <v>30</v>
      </c>
      <c r="F97" s="175">
        <f>+'[2]COSOLIDADO PLAN DE ACCIÓN'!R90</f>
        <v>51.178249999999998</v>
      </c>
      <c r="G97" s="97"/>
      <c r="H97" s="98">
        <f t="shared" si="58"/>
        <v>0.3</v>
      </c>
      <c r="I97" s="99">
        <f t="shared" si="58"/>
        <v>0.51178250000000003</v>
      </c>
      <c r="J97" s="112"/>
      <c r="K97" s="125" t="s">
        <v>49</v>
      </c>
      <c r="L97" s="125" t="s">
        <v>50</v>
      </c>
      <c r="M97" s="117"/>
      <c r="N97" s="117" t="s">
        <v>51</v>
      </c>
      <c r="O97" s="118" t="s">
        <v>259</v>
      </c>
      <c r="P97" s="93">
        <v>545378653</v>
      </c>
      <c r="Q97" s="93">
        <v>22669423</v>
      </c>
      <c r="R97" s="125" t="s">
        <v>53</v>
      </c>
      <c r="S97" s="109">
        <f t="shared" si="43"/>
        <v>0.51178250000000003</v>
      </c>
      <c r="T97" s="93">
        <f>+'[2]COSOLIDADO PLAN DE ACCIÓN'!D90</f>
        <v>100</v>
      </c>
      <c r="U97" s="110">
        <f>+'[2]COSOLIDADO PLAN DE ACCIÓN'!F90</f>
        <v>45.795000000000002</v>
      </c>
      <c r="V97" s="99">
        <f t="shared" si="59"/>
        <v>0.45795000000000002</v>
      </c>
      <c r="W97" s="99">
        <f t="shared" si="55"/>
        <v>0.43713942042744997</v>
      </c>
      <c r="X97" s="99">
        <f t="shared" si="56"/>
        <v>0.43713942042744997</v>
      </c>
      <c r="Y97" s="93">
        <f>+'[2]COSOLIDADO PLAN DE ACCIÓN'!Q90</f>
        <v>956416816.39999998</v>
      </c>
      <c r="Z97" s="93">
        <v>1443018251</v>
      </c>
      <c r="AA97" s="93">
        <f>+'[2]COSOLIDADO PLAN DE ACCIÓN'!S90</f>
        <v>545378653</v>
      </c>
      <c r="AB97" s="99">
        <f t="shared" si="47"/>
        <v>0.57023114153600118</v>
      </c>
      <c r="AC97" s="105">
        <f>+'[2]329901-4.5'!S78</f>
        <v>22669423</v>
      </c>
      <c r="AD97" s="99">
        <f t="shared" si="48"/>
        <v>2.370245128617544E-2</v>
      </c>
      <c r="AE97" s="106">
        <f t="shared" si="57"/>
        <v>522709230</v>
      </c>
      <c r="AF97" s="127">
        <v>1042295143.84</v>
      </c>
      <c r="AG97" s="105">
        <v>31954531</v>
      </c>
      <c r="AH97" s="109">
        <f t="shared" si="49"/>
        <v>3.0657852709812927E-2</v>
      </c>
      <c r="AI97" s="110">
        <f>+'[2]COSOLIDADO PLAN DE ACCIÓN'!E90</f>
        <v>2525837128.8000002</v>
      </c>
      <c r="AJ97" s="93">
        <f>+'[2]COSOLIDADO PLAN DE ACCIÓN'!G90</f>
        <v>1999957945</v>
      </c>
      <c r="AK97" s="109">
        <f t="shared" si="44"/>
        <v>0.79180004213104582</v>
      </c>
      <c r="AL97" s="111"/>
      <c r="AM97" s="112" t="s">
        <v>248</v>
      </c>
      <c r="AN97" s="120"/>
      <c r="AO97" s="112" t="s">
        <v>245</v>
      </c>
      <c r="AP97" s="113"/>
      <c r="AQ97" s="114"/>
    </row>
    <row r="98" spans="1:44" ht="40.5" customHeight="1" thickBot="1" x14ac:dyDescent="0.3">
      <c r="A98" s="173" t="s">
        <v>224</v>
      </c>
      <c r="B98" s="103" t="s">
        <v>57</v>
      </c>
      <c r="C98" s="123">
        <f>+'[2]COSOLIDADO PLAN DE ACCIÓN'!L91</f>
        <v>1</v>
      </c>
      <c r="D98" s="103">
        <f>+'[2]COSOLIDADO PLAN DE ACCIÓN'!P91</f>
        <v>1</v>
      </c>
      <c r="E98" s="123">
        <f>+'[2]COSOLIDADO PLAN DE ACCIÓN'!N91</f>
        <v>1</v>
      </c>
      <c r="F98" s="174">
        <f>+'[2]COSOLIDADO PLAN DE ACCIÓN'!R91</f>
        <v>0.37</v>
      </c>
      <c r="G98" s="97"/>
      <c r="H98" s="98">
        <f t="shared" si="58"/>
        <v>1</v>
      </c>
      <c r="I98" s="99">
        <f t="shared" si="58"/>
        <v>0.37</v>
      </c>
      <c r="J98" s="112"/>
      <c r="K98" s="125" t="s">
        <v>49</v>
      </c>
      <c r="L98" s="125" t="s">
        <v>59</v>
      </c>
      <c r="M98" s="117" t="s">
        <v>60</v>
      </c>
      <c r="N98" s="117" t="s">
        <v>51</v>
      </c>
      <c r="O98" s="118" t="s">
        <v>60</v>
      </c>
      <c r="P98" s="93">
        <v>103334780</v>
      </c>
      <c r="Q98" s="93">
        <v>103330849</v>
      </c>
      <c r="R98" s="125" t="s">
        <v>53</v>
      </c>
      <c r="S98" s="109">
        <f t="shared" si="43"/>
        <v>0.37</v>
      </c>
      <c r="T98" s="93">
        <f>+'[2]COSOLIDADO PLAN DE ACCIÓN'!D91</f>
        <v>1</v>
      </c>
      <c r="U98" s="110">
        <f>+'[2]COSOLIDADO PLAN DE ACCIÓN'!F91</f>
        <v>0.59250000000000003</v>
      </c>
      <c r="V98" s="99">
        <f>IF(U98/T98&gt;=100%,100%,U98/T98)</f>
        <v>0.59250000000000003</v>
      </c>
      <c r="W98" s="99">
        <f>+Y98/$Y$92</f>
        <v>0.12671466803048631</v>
      </c>
      <c r="X98" s="99">
        <f>+W98</f>
        <v>0.12671466803048631</v>
      </c>
      <c r="Y98" s="93">
        <f>+'[2]COSOLIDADO PLAN DE ACCIÓN'!Q91</f>
        <v>277238871</v>
      </c>
      <c r="Z98" s="93">
        <v>232120333</v>
      </c>
      <c r="AA98" s="93">
        <f>+'[2]COSOLIDADO PLAN DE ACCIÓN'!S91</f>
        <v>103334780</v>
      </c>
      <c r="AB98" s="99">
        <f t="shared" si="47"/>
        <v>0.37272832495411512</v>
      </c>
      <c r="AC98" s="105">
        <f>+'[2]329901-4.5'!S84+'[2]329901-4.5'!S97</f>
        <v>103334780</v>
      </c>
      <c r="AD98" s="99">
        <f t="shared" si="48"/>
        <v>0.37272832495411512</v>
      </c>
      <c r="AE98" s="106">
        <f t="shared" si="57"/>
        <v>0</v>
      </c>
      <c r="AF98" s="107">
        <v>0</v>
      </c>
      <c r="AG98" s="108">
        <v>0</v>
      </c>
      <c r="AH98" s="109"/>
      <c r="AI98" s="110">
        <f>+'[2]COSOLIDADO PLAN DE ACCIÓN'!E91</f>
        <v>539293491</v>
      </c>
      <c r="AJ98" s="93">
        <f>+'[2]COSOLIDADO PLAN DE ACCIÓN'!G91</f>
        <v>338011403</v>
      </c>
      <c r="AK98" s="109">
        <f>+AJ98/AI98</f>
        <v>0.62676707329293535</v>
      </c>
      <c r="AL98" s="111"/>
      <c r="AM98" s="112" t="s">
        <v>248</v>
      </c>
      <c r="AN98" s="120"/>
      <c r="AO98" s="112" t="s">
        <v>245</v>
      </c>
      <c r="AP98" s="113"/>
      <c r="AQ98" s="114"/>
    </row>
    <row r="99" spans="1:44" ht="40.5" customHeight="1" thickBot="1" x14ac:dyDescent="0.3">
      <c r="A99" s="235" t="s">
        <v>260</v>
      </c>
      <c r="B99" s="235"/>
      <c r="C99" s="176"/>
      <c r="D99" s="176"/>
      <c r="E99" s="176"/>
      <c r="F99" s="176"/>
      <c r="G99" s="177"/>
      <c r="H99" s="178">
        <f>AVERAGE(H10,H13,H16,H31,H42,H46,H53,H58,H62,H72,H76,H79,H82,H85,H88,H92)</f>
        <v>0.91756284722222226</v>
      </c>
      <c r="I99" s="179">
        <f>+(I10+I13+I16+I31+I42+I46+I53+I58+I62+I72+I76+I79+I82+I88+I92)/15</f>
        <v>0.45159173103525219</v>
      </c>
      <c r="J99" s="180"/>
      <c r="K99" s="181"/>
      <c r="L99" s="178"/>
      <c r="M99" s="178"/>
      <c r="N99" s="178"/>
      <c r="O99" s="178"/>
      <c r="P99" s="80">
        <v>14107865766.119999</v>
      </c>
      <c r="Q99" s="80">
        <f>+Q8+Q29+Q56+Q70</f>
        <v>7912302133.8000002</v>
      </c>
      <c r="R99" s="178"/>
      <c r="S99" s="178">
        <f>+I99</f>
        <v>0.45159173103525219</v>
      </c>
      <c r="T99" s="178"/>
      <c r="U99" s="179"/>
      <c r="V99" s="179">
        <f>+(V8)+(V29)+(V56)+(V70)</f>
        <v>0.61159917960007193</v>
      </c>
      <c r="W99" s="182">
        <f>+W8+W29+W56+W70</f>
        <v>1</v>
      </c>
      <c r="X99" s="182">
        <f>+X8+X29+X56+X70</f>
        <v>1</v>
      </c>
      <c r="Y99" s="183">
        <f>+Y8+Y29+Y56+Y70</f>
        <v>34938191412.041275</v>
      </c>
      <c r="Z99" s="183">
        <v>33127045764.400002</v>
      </c>
      <c r="AA99" s="183">
        <f>+AA8+AA29+AA56+AA70</f>
        <v>15045445840.119999</v>
      </c>
      <c r="AB99" s="182">
        <f t="shared" si="47"/>
        <v>0.43063035698335145</v>
      </c>
      <c r="AC99" s="184">
        <f>+AC8+AC29+AC56+AC70</f>
        <v>8100100668.1760006</v>
      </c>
      <c r="AD99" s="182">
        <f>+AC99/Y99</f>
        <v>0.23184086928393038</v>
      </c>
      <c r="AE99" s="185">
        <f>+AE8+AE29+AE56+AE70</f>
        <v>6945345171.9440002</v>
      </c>
      <c r="AF99" s="186">
        <f>+AF8+AF29+AF56+AF70</f>
        <v>12076929300.639999</v>
      </c>
      <c r="AG99" s="184">
        <f>+AG8+AG29+AG56+AG70</f>
        <v>4220342240.4000001</v>
      </c>
      <c r="AH99" s="187">
        <f t="shared" si="49"/>
        <v>0.34945490988146705</v>
      </c>
      <c r="AI99" s="188">
        <f>+AI8+AI29+AI56+AI70</f>
        <v>121211985726.27194</v>
      </c>
      <c r="AJ99" s="183">
        <f>+AJ8+AJ29+AJ56+AJ70</f>
        <v>71560108589.369324</v>
      </c>
      <c r="AK99" s="189">
        <f>+AJ99/AI99</f>
        <v>0.59037155575497779</v>
      </c>
      <c r="AL99" s="190"/>
      <c r="AM99" s="191"/>
      <c r="AN99" s="191"/>
      <c r="AO99" s="191"/>
      <c r="AP99" s="90"/>
      <c r="AQ99" s="91"/>
      <c r="AR99" s="146"/>
    </row>
    <row r="100" spans="1:44" ht="40.5" customHeight="1" x14ac:dyDescent="0.25">
      <c r="A100" s="222" t="s">
        <v>263</v>
      </c>
      <c r="B100" s="222"/>
      <c r="C100" s="222"/>
      <c r="D100" s="222"/>
      <c r="E100" s="222"/>
      <c r="F100" s="222"/>
      <c r="G100" s="222"/>
      <c r="H100" s="222"/>
      <c r="I100" s="222"/>
      <c r="J100" s="222"/>
      <c r="K100" s="222"/>
      <c r="L100" s="222"/>
      <c r="M100" s="222"/>
      <c r="N100" s="222"/>
      <c r="O100" s="222"/>
      <c r="P100" s="222"/>
      <c r="Q100" s="222"/>
      <c r="R100" s="223"/>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192"/>
      <c r="AN100" s="192"/>
    </row>
    <row r="101" spans="1:44" ht="40.5" customHeight="1" x14ac:dyDescent="0.25">
      <c r="A101" s="224" t="s">
        <v>261</v>
      </c>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row>
    <row r="102" spans="1:44" ht="40.5" customHeight="1" x14ac:dyDescent="0.25">
      <c r="A102" s="225"/>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194"/>
    </row>
    <row r="103" spans="1:44" ht="40.5" customHeight="1" x14ac:dyDescent="0.25">
      <c r="A103" s="226"/>
      <c r="B103" s="226"/>
      <c r="C103" s="195"/>
      <c r="D103" s="195"/>
      <c r="E103" s="195"/>
      <c r="F103" s="195"/>
      <c r="G103" s="196"/>
      <c r="H103" s="197"/>
      <c r="I103" s="198"/>
      <c r="J103" s="199"/>
      <c r="K103" s="200"/>
      <c r="L103" s="199"/>
      <c r="M103" s="199"/>
      <c r="N103" s="199"/>
      <c r="O103" s="199"/>
      <c r="P103" s="200"/>
      <c r="Q103" s="199"/>
      <c r="R103" s="199"/>
      <c r="S103" s="199"/>
      <c r="T103" s="199"/>
      <c r="U103" s="196"/>
      <c r="V103" s="196"/>
      <c r="W103" s="196"/>
      <c r="X103" s="196"/>
      <c r="Y103" s="226"/>
      <c r="Z103" s="226"/>
      <c r="AA103" s="226"/>
      <c r="AB103" s="226"/>
      <c r="AC103" s="226"/>
      <c r="AD103" s="226"/>
      <c r="AE103" s="226"/>
      <c r="AF103" s="226"/>
      <c r="AG103" s="226"/>
      <c r="AH103" s="226"/>
      <c r="AI103" s="226"/>
      <c r="AJ103" s="226"/>
      <c r="AK103" s="226"/>
    </row>
    <row r="104" spans="1:44" ht="40.5" customHeight="1" x14ac:dyDescent="0.25">
      <c r="A104" s="218"/>
      <c r="B104" s="218"/>
      <c r="C104" s="195"/>
      <c r="D104" s="195"/>
      <c r="E104" s="195"/>
      <c r="F104" s="195"/>
      <c r="G104" s="196"/>
      <c r="H104" s="201"/>
      <c r="I104" s="202"/>
      <c r="J104" s="203"/>
      <c r="K104" s="205"/>
      <c r="L104" s="199"/>
      <c r="M104" s="203"/>
      <c r="N104" s="203"/>
      <c r="O104" s="203"/>
      <c r="P104" s="200"/>
      <c r="Q104" s="199"/>
      <c r="R104" s="199"/>
      <c r="S104" s="203"/>
      <c r="T104" s="203"/>
      <c r="U104" s="204"/>
      <c r="V104" s="196"/>
      <c r="W104" s="204"/>
      <c r="X104" s="204"/>
      <c r="Y104" s="219"/>
      <c r="Z104" s="219"/>
      <c r="AA104" s="219"/>
      <c r="AB104" s="219"/>
      <c r="AC104" s="219"/>
      <c r="AD104" s="219"/>
      <c r="AE104" s="219"/>
      <c r="AF104" s="219"/>
      <c r="AG104" s="219"/>
      <c r="AH104" s="219"/>
      <c r="AI104" s="219"/>
      <c r="AJ104" s="219"/>
      <c r="AK104" s="219"/>
    </row>
    <row r="105" spans="1:44" ht="40.5" customHeight="1" x14ac:dyDescent="0.25">
      <c r="A105" s="218"/>
      <c r="B105" s="218"/>
      <c r="C105" s="195"/>
      <c r="D105" s="195"/>
      <c r="E105" s="195"/>
      <c r="F105" s="195"/>
      <c r="G105" s="196"/>
      <c r="H105" s="201"/>
      <c r="I105" s="202"/>
      <c r="J105" s="203"/>
      <c r="K105" s="205"/>
      <c r="L105" s="199"/>
      <c r="M105" s="203"/>
      <c r="N105" s="203"/>
      <c r="O105" s="203"/>
      <c r="P105" s="200"/>
      <c r="Q105" s="199"/>
      <c r="R105" s="199"/>
      <c r="S105" s="203"/>
      <c r="T105" s="203"/>
      <c r="U105" s="204"/>
      <c r="V105" s="196"/>
      <c r="W105" s="204"/>
      <c r="X105" s="204"/>
      <c r="Y105" s="219"/>
      <c r="Z105" s="219"/>
      <c r="AA105" s="219"/>
      <c r="AB105" s="219"/>
      <c r="AC105" s="219"/>
      <c r="AD105" s="219"/>
      <c r="AE105" s="219"/>
      <c r="AF105" s="219"/>
      <c r="AG105" s="219"/>
      <c r="AH105" s="219"/>
      <c r="AI105" s="219"/>
      <c r="AJ105" s="219"/>
      <c r="AK105" s="219"/>
    </row>
    <row r="106" spans="1:44" ht="40.5" customHeight="1" x14ac:dyDescent="0.25">
      <c r="A106" s="218"/>
      <c r="B106" s="218"/>
      <c r="C106" s="195"/>
      <c r="D106" s="195"/>
      <c r="E106" s="195"/>
      <c r="F106" s="195"/>
      <c r="G106" s="196"/>
      <c r="H106" s="201"/>
      <c r="I106" s="202"/>
      <c r="J106" s="203"/>
      <c r="K106" s="205"/>
      <c r="L106" s="199"/>
      <c r="M106" s="203"/>
      <c r="N106" s="203"/>
      <c r="O106" s="203"/>
      <c r="P106" s="200"/>
      <c r="Q106" s="199"/>
      <c r="R106" s="199"/>
      <c r="S106" s="203"/>
      <c r="T106" s="203"/>
      <c r="U106" s="204"/>
      <c r="V106" s="196"/>
      <c r="W106" s="204"/>
      <c r="X106" s="204"/>
      <c r="Y106" s="219"/>
      <c r="Z106" s="219"/>
      <c r="AA106" s="219"/>
      <c r="AB106" s="219"/>
      <c r="AC106" s="219"/>
      <c r="AD106" s="219"/>
      <c r="AE106" s="219"/>
      <c r="AF106" s="219"/>
      <c r="AG106" s="219"/>
      <c r="AH106" s="219"/>
      <c r="AI106" s="219"/>
      <c r="AJ106" s="219"/>
      <c r="AK106" s="219"/>
    </row>
    <row r="107" spans="1:44" ht="40.5" customHeight="1" x14ac:dyDescent="0.25">
      <c r="A107" s="218"/>
      <c r="B107" s="218"/>
      <c r="C107" s="195"/>
      <c r="D107" s="195"/>
      <c r="E107" s="195"/>
      <c r="F107" s="195"/>
      <c r="G107" s="196"/>
      <c r="H107" s="201"/>
      <c r="I107" s="202"/>
      <c r="J107" s="203"/>
      <c r="K107" s="205"/>
      <c r="L107" s="199"/>
      <c r="M107" s="203"/>
      <c r="N107" s="203"/>
      <c r="O107" s="203"/>
      <c r="P107" s="200"/>
      <c r="Q107" s="199"/>
      <c r="R107" s="199"/>
      <c r="S107" s="203"/>
      <c r="T107" s="203"/>
      <c r="U107" s="204"/>
      <c r="V107" s="196"/>
      <c r="W107" s="204"/>
      <c r="X107" s="204"/>
      <c r="Y107" s="219"/>
      <c r="Z107" s="219"/>
      <c r="AA107" s="219"/>
      <c r="AB107" s="219"/>
      <c r="AC107" s="219"/>
      <c r="AD107" s="219"/>
      <c r="AE107" s="219"/>
      <c r="AF107" s="219"/>
      <c r="AG107" s="219"/>
      <c r="AH107" s="219"/>
      <c r="AI107" s="219"/>
      <c r="AJ107" s="219"/>
      <c r="AK107" s="219"/>
    </row>
    <row r="108" spans="1:44" ht="40.5" customHeight="1" x14ac:dyDescent="0.25">
      <c r="A108" s="218"/>
      <c r="B108" s="218"/>
      <c r="C108" s="195"/>
      <c r="D108" s="195"/>
      <c r="E108" s="195"/>
      <c r="F108" s="195"/>
      <c r="G108" s="196"/>
      <c r="H108" s="201"/>
      <c r="I108" s="202"/>
      <c r="J108" s="203"/>
      <c r="K108" s="205"/>
      <c r="L108" s="199"/>
      <c r="M108" s="203"/>
      <c r="N108" s="203"/>
      <c r="O108" s="203"/>
      <c r="P108" s="200"/>
      <c r="Q108" s="199"/>
      <c r="R108" s="199"/>
      <c r="S108" s="203"/>
      <c r="T108" s="203"/>
      <c r="U108" s="204"/>
      <c r="V108" s="196"/>
      <c r="W108" s="204"/>
      <c r="X108" s="204"/>
      <c r="Y108" s="219"/>
      <c r="Z108" s="219"/>
      <c r="AA108" s="219"/>
      <c r="AB108" s="219"/>
      <c r="AC108" s="219"/>
      <c r="AD108" s="219"/>
      <c r="AE108" s="219"/>
      <c r="AF108" s="219"/>
      <c r="AG108" s="219"/>
      <c r="AH108" s="219"/>
      <c r="AI108" s="219"/>
      <c r="AJ108" s="219"/>
      <c r="AK108" s="219"/>
    </row>
    <row r="109" spans="1:44" ht="40.5" customHeight="1" x14ac:dyDescent="0.25">
      <c r="A109" s="218"/>
      <c r="B109" s="218"/>
      <c r="C109" s="195"/>
      <c r="D109" s="195"/>
      <c r="E109" s="195"/>
      <c r="F109" s="195"/>
      <c r="G109" s="196"/>
      <c r="H109" s="201"/>
      <c r="I109" s="202"/>
      <c r="J109" s="203"/>
      <c r="K109" s="205"/>
      <c r="L109" s="199"/>
      <c r="M109" s="203"/>
      <c r="N109" s="203"/>
      <c r="O109" s="203"/>
      <c r="P109" s="200"/>
      <c r="Q109" s="199"/>
      <c r="R109" s="199"/>
      <c r="S109" s="203"/>
      <c r="T109" s="203"/>
      <c r="U109" s="204"/>
      <c r="V109" s="196"/>
      <c r="W109" s="204"/>
      <c r="X109" s="204"/>
      <c r="Y109" s="219"/>
      <c r="Z109" s="219"/>
      <c r="AA109" s="219"/>
      <c r="AB109" s="219"/>
      <c r="AC109" s="219"/>
      <c r="AD109" s="219"/>
      <c r="AE109" s="219"/>
      <c r="AF109" s="219"/>
      <c r="AG109" s="219"/>
      <c r="AH109" s="219"/>
      <c r="AI109" s="219"/>
      <c r="AJ109" s="219"/>
      <c r="AK109" s="219"/>
    </row>
    <row r="110" spans="1:44" ht="40.5" customHeight="1" x14ac:dyDescent="0.25">
      <c r="A110" s="218"/>
      <c r="B110" s="218"/>
      <c r="C110" s="195"/>
      <c r="D110" s="195"/>
      <c r="E110" s="195"/>
      <c r="F110" s="195"/>
      <c r="G110" s="196"/>
      <c r="H110" s="201"/>
      <c r="I110" s="202"/>
      <c r="J110" s="203"/>
      <c r="K110" s="205"/>
      <c r="L110" s="199"/>
      <c r="M110" s="203"/>
      <c r="N110" s="203"/>
      <c r="O110" s="203"/>
      <c r="P110" s="200"/>
      <c r="Q110" s="199"/>
      <c r="R110" s="199"/>
      <c r="S110" s="203"/>
      <c r="T110" s="203"/>
      <c r="U110" s="204"/>
      <c r="V110" s="196"/>
      <c r="W110" s="204"/>
      <c r="X110" s="204"/>
      <c r="Y110" s="219"/>
      <c r="Z110" s="219"/>
      <c r="AA110" s="219"/>
      <c r="AB110" s="219"/>
      <c r="AC110" s="219"/>
      <c r="AD110" s="219"/>
      <c r="AE110" s="219"/>
      <c r="AF110" s="219"/>
      <c r="AG110" s="219"/>
      <c r="AH110" s="219"/>
      <c r="AI110" s="219"/>
      <c r="AJ110" s="219"/>
      <c r="AK110" s="219"/>
    </row>
    <row r="111" spans="1:44" ht="40.5" customHeight="1" x14ac:dyDescent="0.25">
      <c r="A111" s="218"/>
      <c r="B111" s="218"/>
      <c r="C111" s="195"/>
      <c r="D111" s="195"/>
      <c r="E111" s="195"/>
      <c r="F111" s="195"/>
      <c r="G111" s="196"/>
      <c r="H111" s="201"/>
      <c r="I111" s="202"/>
      <c r="J111" s="203"/>
      <c r="K111" s="205"/>
      <c r="L111" s="199"/>
      <c r="M111" s="203"/>
      <c r="N111" s="203"/>
      <c r="O111" s="203"/>
      <c r="P111" s="200"/>
      <c r="Q111" s="199"/>
      <c r="R111" s="199"/>
      <c r="S111" s="203"/>
      <c r="T111" s="203"/>
      <c r="U111" s="204"/>
      <c r="V111" s="196"/>
      <c r="W111" s="204"/>
      <c r="X111" s="204"/>
      <c r="Y111" s="219"/>
      <c r="Z111" s="219"/>
      <c r="AA111" s="219"/>
      <c r="AB111" s="219"/>
      <c r="AC111" s="219"/>
      <c r="AD111" s="219"/>
      <c r="AE111" s="219"/>
      <c r="AF111" s="219"/>
      <c r="AG111" s="219"/>
      <c r="AH111" s="219"/>
      <c r="AI111" s="219"/>
      <c r="AJ111" s="219"/>
      <c r="AK111" s="219"/>
    </row>
    <row r="112" spans="1:44" ht="40.5" customHeight="1" x14ac:dyDescent="0.25">
      <c r="A112" s="218"/>
      <c r="B112" s="218"/>
      <c r="C112" s="195"/>
      <c r="D112" s="195"/>
      <c r="E112" s="195"/>
      <c r="F112" s="195"/>
      <c r="G112" s="196"/>
      <c r="H112" s="201"/>
      <c r="I112" s="202"/>
      <c r="J112" s="203"/>
      <c r="K112" s="205"/>
      <c r="L112" s="199"/>
      <c r="M112" s="203"/>
      <c r="N112" s="203"/>
      <c r="O112" s="203"/>
      <c r="P112" s="200"/>
      <c r="Q112" s="199"/>
      <c r="R112" s="199"/>
      <c r="S112" s="203"/>
      <c r="T112" s="203"/>
      <c r="U112" s="204"/>
      <c r="V112" s="196"/>
      <c r="W112" s="204"/>
      <c r="X112" s="204"/>
      <c r="Y112" s="219"/>
      <c r="Z112" s="219"/>
      <c r="AA112" s="219"/>
      <c r="AB112" s="219"/>
      <c r="AC112" s="219"/>
      <c r="AD112" s="219"/>
      <c r="AE112" s="219"/>
      <c r="AF112" s="219"/>
      <c r="AG112" s="219"/>
      <c r="AH112" s="219"/>
      <c r="AI112" s="219"/>
      <c r="AJ112" s="219"/>
      <c r="AK112" s="219"/>
    </row>
    <row r="113" spans="1:37" ht="40.5" customHeight="1" x14ac:dyDescent="0.25">
      <c r="A113" s="218"/>
      <c r="B113" s="218"/>
      <c r="C113" s="195"/>
      <c r="D113" s="195"/>
      <c r="E113" s="195"/>
      <c r="F113" s="195"/>
      <c r="G113" s="196"/>
      <c r="H113" s="201"/>
      <c r="I113" s="202"/>
      <c r="J113" s="203"/>
      <c r="K113" s="205"/>
      <c r="L113" s="199"/>
      <c r="M113" s="203"/>
      <c r="N113" s="203"/>
      <c r="O113" s="203"/>
      <c r="P113" s="200"/>
      <c r="Q113" s="199"/>
      <c r="R113" s="199"/>
      <c r="S113" s="203"/>
      <c r="T113" s="203"/>
      <c r="U113" s="204"/>
      <c r="V113" s="196"/>
      <c r="W113" s="204"/>
      <c r="X113" s="204"/>
      <c r="Y113" s="219"/>
      <c r="Z113" s="219"/>
      <c r="AA113" s="219"/>
      <c r="AB113" s="219"/>
      <c r="AC113" s="219"/>
      <c r="AD113" s="219"/>
      <c r="AE113" s="219"/>
      <c r="AF113" s="219"/>
      <c r="AG113" s="219"/>
      <c r="AH113" s="219"/>
      <c r="AI113" s="219"/>
      <c r="AJ113" s="219"/>
      <c r="AK113" s="219"/>
    </row>
    <row r="114" spans="1:37" ht="40.5" customHeight="1" x14ac:dyDescent="0.25">
      <c r="A114" s="218"/>
      <c r="B114" s="218"/>
      <c r="C114" s="195"/>
      <c r="D114" s="195"/>
      <c r="E114" s="195"/>
      <c r="F114" s="195"/>
      <c r="G114" s="196"/>
      <c r="H114" s="201"/>
      <c r="I114" s="202"/>
      <c r="J114" s="203"/>
      <c r="K114" s="205"/>
      <c r="L114" s="199"/>
      <c r="M114" s="203"/>
      <c r="N114" s="203"/>
      <c r="O114" s="203"/>
      <c r="P114" s="200"/>
      <c r="Q114" s="199"/>
      <c r="R114" s="199"/>
      <c r="S114" s="203"/>
      <c r="T114" s="203"/>
      <c r="U114" s="204"/>
      <c r="V114" s="196"/>
      <c r="W114" s="204"/>
      <c r="X114" s="204"/>
      <c r="Y114" s="219"/>
      <c r="Z114" s="219"/>
      <c r="AA114" s="219"/>
      <c r="AB114" s="219"/>
      <c r="AC114" s="219"/>
      <c r="AD114" s="219"/>
      <c r="AE114" s="219"/>
      <c r="AF114" s="219"/>
      <c r="AG114" s="219"/>
      <c r="AH114" s="219"/>
      <c r="AI114" s="219"/>
      <c r="AJ114" s="219"/>
      <c r="AK114" s="219"/>
    </row>
    <row r="115" spans="1:37" ht="40.5" customHeight="1" x14ac:dyDescent="0.25">
      <c r="A115" s="218"/>
      <c r="B115" s="218"/>
      <c r="C115" s="195"/>
      <c r="D115" s="195"/>
      <c r="E115" s="195"/>
      <c r="F115" s="195"/>
      <c r="G115" s="196"/>
      <c r="H115" s="201"/>
      <c r="I115" s="202"/>
      <c r="J115" s="203"/>
      <c r="K115" s="205"/>
      <c r="L115" s="199"/>
      <c r="M115" s="203"/>
      <c r="N115" s="203"/>
      <c r="O115" s="203"/>
      <c r="P115" s="200"/>
      <c r="Q115" s="199"/>
      <c r="R115" s="199"/>
      <c r="S115" s="203"/>
      <c r="T115" s="203"/>
      <c r="U115" s="204"/>
      <c r="V115" s="196"/>
      <c r="W115" s="204"/>
      <c r="X115" s="204"/>
      <c r="Y115" s="219"/>
      <c r="Z115" s="219"/>
      <c r="AA115" s="219"/>
      <c r="AB115" s="219"/>
      <c r="AC115" s="219"/>
      <c r="AD115" s="219"/>
      <c r="AE115" s="219"/>
      <c r="AF115" s="219"/>
      <c r="AG115" s="219"/>
      <c r="AH115" s="219"/>
      <c r="AI115" s="219"/>
      <c r="AJ115" s="219"/>
      <c r="AK115" s="219"/>
    </row>
    <row r="116" spans="1:37" ht="40.5" customHeight="1" x14ac:dyDescent="0.25">
      <c r="A116" s="220"/>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row>
  </sheetData>
  <mergeCells count="74">
    <mergeCell ref="A1:AO1"/>
    <mergeCell ref="A2:AO2"/>
    <mergeCell ref="A3:AO3"/>
    <mergeCell ref="A5:A7"/>
    <mergeCell ref="B5:X5"/>
    <mergeCell ref="Y5:AK5"/>
    <mergeCell ref="AL5:AL7"/>
    <mergeCell ref="AM5:AM7"/>
    <mergeCell ref="AN5:AN7"/>
    <mergeCell ref="AO5:AO7"/>
    <mergeCell ref="P6:P7"/>
    <mergeCell ref="Q6:Q7"/>
    <mergeCell ref="R6:R7"/>
    <mergeCell ref="S6:S7"/>
    <mergeCell ref="AP5:AP7"/>
    <mergeCell ref="AQ5:AQ7"/>
    <mergeCell ref="B6:B7"/>
    <mergeCell ref="C6:D6"/>
    <mergeCell ref="E6:F6"/>
    <mergeCell ref="H6:I6"/>
    <mergeCell ref="J6:J7"/>
    <mergeCell ref="K6:K7"/>
    <mergeCell ref="L6:L7"/>
    <mergeCell ref="M6:M7"/>
    <mergeCell ref="V6:V7"/>
    <mergeCell ref="W6:W7"/>
    <mergeCell ref="X6:X7"/>
    <mergeCell ref="Y6:Y7"/>
    <mergeCell ref="N6:N7"/>
    <mergeCell ref="O6:O7"/>
    <mergeCell ref="A104:B104"/>
    <mergeCell ref="Y104:AK104"/>
    <mergeCell ref="AG6:AG7"/>
    <mergeCell ref="AH6:AH7"/>
    <mergeCell ref="AI6:AI7"/>
    <mergeCell ref="AJ6:AJ7"/>
    <mergeCell ref="AK6:AK7"/>
    <mergeCell ref="A99:B99"/>
    <mergeCell ref="Z6:AA6"/>
    <mergeCell ref="AB6:AB7"/>
    <mergeCell ref="AC6:AC7"/>
    <mergeCell ref="AD6:AD7"/>
    <mergeCell ref="AE6:AE7"/>
    <mergeCell ref="AF6:AF7"/>
    <mergeCell ref="T6:T7"/>
    <mergeCell ref="U6:U7"/>
    <mergeCell ref="A100:AL100"/>
    <mergeCell ref="A101:AL101"/>
    <mergeCell ref="A102:AK102"/>
    <mergeCell ref="A103:B103"/>
    <mergeCell ref="Y103:AK103"/>
    <mergeCell ref="A105:B105"/>
    <mergeCell ref="Y105:AK105"/>
    <mergeCell ref="A106:B106"/>
    <mergeCell ref="Y106:AK106"/>
    <mergeCell ref="A107:B107"/>
    <mergeCell ref="Y107:AK107"/>
    <mergeCell ref="A108:B108"/>
    <mergeCell ref="Y108:AK108"/>
    <mergeCell ref="A109:B109"/>
    <mergeCell ref="Y109:AK109"/>
    <mergeCell ref="A110:B110"/>
    <mergeCell ref="Y110:AK110"/>
    <mergeCell ref="A111:B111"/>
    <mergeCell ref="Y111:AK111"/>
    <mergeCell ref="A112:B112"/>
    <mergeCell ref="Y112:AK112"/>
    <mergeCell ref="A113:B113"/>
    <mergeCell ref="Y113:AK113"/>
    <mergeCell ref="A114:B114"/>
    <mergeCell ref="Y114:AK114"/>
    <mergeCell ref="A115:B115"/>
    <mergeCell ref="Y115:AK115"/>
    <mergeCell ref="A116:AK116"/>
  </mergeCells>
  <pageMargins left="0.7" right="0.7" top="0.75" bottom="0.75" header="0.3" footer="0.3"/>
  <pageSetup orientation="portrait" r:id="rId1"/>
  <ignoredErrors>
    <ignoredError sqref="H13:I99 AB8:AH9 AB32:AH99 AC31:AH31 AB11:AH19 AC10:AH10 AB21:AH30 AC20 AE20:AH20 V85" 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'D:\LEIDY\MATRIZ DE SEGUIMIENTO\MATRIZ DE SEGUIMIENTO 2021\CONSOLIDACION 2021\[Formatos SINA - PAI 2021_10022022.xlsx]Hoja1'!#REF!</xm:f>
          </x14:formula1>
          <xm:sqref>AM8:AM98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2022-07-22T16:27:37Z</dcterms:modified>
</cp:coreProperties>
</file>