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rawings/drawing4.xml" ContentType="application/vnd.openxmlformats-officedocument.drawing+xml"/>
  <Override PartName="/xl/comments10.xml" ContentType="application/vnd.openxmlformats-officedocument.spreadsheetml.comments+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comments13.xml" ContentType="application/vnd.openxmlformats-officedocument.spreadsheetml.comments+xml"/>
  <Override PartName="/xl/drawings/drawing6.xml" ContentType="application/vnd.openxmlformats-officedocument.drawing+xml"/>
  <Override PartName="/xl/comments14.xml" ContentType="application/vnd.openxmlformats-officedocument.spreadsheetml.comments+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rawings/drawing7.xml" ContentType="application/vnd.openxmlformats-officedocument.drawing+xml"/>
  <Override PartName="/xl/comments15.xml" ContentType="application/vnd.openxmlformats-officedocument.spreadsheetml.comments+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rawings/drawing8.xml" ContentType="application/vnd.openxmlformats-officedocument.drawing+xml"/>
  <Override PartName="/xl/comments16.xml" ContentType="application/vnd.openxmlformats-officedocument.spreadsheetml.comments+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comments17.xml" ContentType="application/vnd.openxmlformats-officedocument.spreadsheetml.comments+xml"/>
  <Override PartName="/xl/drawings/drawing9.xml" ContentType="application/vnd.openxmlformats-officedocument.drawing+xml"/>
  <Override PartName="/xl/comments18.xml" ContentType="application/vnd.openxmlformats-officedocument.spreadsheetml.comments+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diagrams/data24.xml" ContentType="application/vnd.openxmlformats-officedocument.drawingml.diagramData+xml"/>
  <Override PartName="/xl/diagrams/layout24.xml" ContentType="application/vnd.openxmlformats-officedocument.drawingml.diagramLayout+xml"/>
  <Override PartName="/xl/diagrams/quickStyle24.xml" ContentType="application/vnd.openxmlformats-officedocument.drawingml.diagramStyle+xml"/>
  <Override PartName="/xl/diagrams/colors24.xml" ContentType="application/vnd.openxmlformats-officedocument.drawingml.diagramColors+xml"/>
  <Override PartName="/xl/diagrams/drawing24.xml" ContentType="application/vnd.ms-office.drawingml.diagramDrawing+xml"/>
  <Override PartName="/xl/comments19.xml" ContentType="application/vnd.openxmlformats-officedocument.spreadsheetml.comments+xml"/>
  <Override PartName="/xl/drawings/drawing10.xml" ContentType="application/vnd.openxmlformats-officedocument.drawing+xml"/>
  <Override PartName="/xl/comments20.xml" ContentType="application/vnd.openxmlformats-officedocument.spreadsheetml.comments+xml"/>
  <Override PartName="/xl/diagrams/data25.xml" ContentType="application/vnd.openxmlformats-officedocument.drawingml.diagramData+xml"/>
  <Override PartName="/xl/diagrams/layout25.xml" ContentType="application/vnd.openxmlformats-officedocument.drawingml.diagramLayout+xml"/>
  <Override PartName="/xl/diagrams/quickStyle25.xml" ContentType="application/vnd.openxmlformats-officedocument.drawingml.diagramStyle+xml"/>
  <Override PartName="/xl/diagrams/colors25.xml" ContentType="application/vnd.openxmlformats-officedocument.drawingml.diagramColors+xml"/>
  <Override PartName="/xl/diagrams/drawing25.xml" ContentType="application/vnd.ms-office.drawingml.diagramDrawing+xml"/>
  <Override PartName="/xl/diagrams/data26.xml" ContentType="application/vnd.openxmlformats-officedocument.drawingml.diagramData+xml"/>
  <Override PartName="/xl/diagrams/layout26.xml" ContentType="application/vnd.openxmlformats-officedocument.drawingml.diagramLayout+xml"/>
  <Override PartName="/xl/diagrams/quickStyle26.xml" ContentType="application/vnd.openxmlformats-officedocument.drawingml.diagramStyle+xml"/>
  <Override PartName="/xl/diagrams/colors26.xml" ContentType="application/vnd.openxmlformats-officedocument.drawingml.diagramColors+xml"/>
  <Override PartName="/xl/diagrams/drawing26.xml" ContentType="application/vnd.ms-office.drawingml.diagramDrawing+xml"/>
  <Override PartName="/xl/diagrams/data27.xml" ContentType="application/vnd.openxmlformats-officedocument.drawingml.diagramData+xml"/>
  <Override PartName="/xl/diagrams/layout27.xml" ContentType="application/vnd.openxmlformats-officedocument.drawingml.diagramLayout+xml"/>
  <Override PartName="/xl/diagrams/quickStyle27.xml" ContentType="application/vnd.openxmlformats-officedocument.drawingml.diagramStyle+xml"/>
  <Override PartName="/xl/diagrams/colors27.xml" ContentType="application/vnd.openxmlformats-officedocument.drawingml.diagramColors+xml"/>
  <Override PartName="/xl/diagrams/drawing27.xml" ContentType="application/vnd.ms-office.drawingml.diagramDrawing+xml"/>
  <Override PartName="/xl/comments21.xml" ContentType="application/vnd.openxmlformats-officedocument.spreadsheetml.comments+xml"/>
  <Override PartName="/xl/drawings/drawing11.xml" ContentType="application/vnd.openxmlformats-officedocument.drawing+xml"/>
  <Override PartName="/xl/comments22.xml" ContentType="application/vnd.openxmlformats-officedocument.spreadsheetml.comments+xml"/>
  <Override PartName="/xl/diagrams/data28.xml" ContentType="application/vnd.openxmlformats-officedocument.drawingml.diagramData+xml"/>
  <Override PartName="/xl/diagrams/layout28.xml" ContentType="application/vnd.openxmlformats-officedocument.drawingml.diagramLayout+xml"/>
  <Override PartName="/xl/diagrams/quickStyle28.xml" ContentType="application/vnd.openxmlformats-officedocument.drawingml.diagramStyle+xml"/>
  <Override PartName="/xl/diagrams/colors28.xml" ContentType="application/vnd.openxmlformats-officedocument.drawingml.diagramColors+xml"/>
  <Override PartName="/xl/diagrams/drawing28.xml" ContentType="application/vnd.ms-office.drawingml.diagramDrawing+xml"/>
  <Override PartName="/xl/diagrams/data29.xml" ContentType="application/vnd.openxmlformats-officedocument.drawingml.diagramData+xml"/>
  <Override PartName="/xl/diagrams/layout29.xml" ContentType="application/vnd.openxmlformats-officedocument.drawingml.diagramLayout+xml"/>
  <Override PartName="/xl/diagrams/quickStyle29.xml" ContentType="application/vnd.openxmlformats-officedocument.drawingml.diagramStyle+xml"/>
  <Override PartName="/xl/diagrams/colors29.xml" ContentType="application/vnd.openxmlformats-officedocument.drawingml.diagramColors+xml"/>
  <Override PartName="/xl/diagrams/drawing29.xml" ContentType="application/vnd.ms-office.drawingml.diagramDrawing+xml"/>
  <Override PartName="/xl/diagrams/data30.xml" ContentType="application/vnd.openxmlformats-officedocument.drawingml.diagramData+xml"/>
  <Override PartName="/xl/diagrams/layout30.xml" ContentType="application/vnd.openxmlformats-officedocument.drawingml.diagramLayout+xml"/>
  <Override PartName="/xl/diagrams/quickStyle30.xml" ContentType="application/vnd.openxmlformats-officedocument.drawingml.diagramStyle+xml"/>
  <Override PartName="/xl/diagrams/colors30.xml" ContentType="application/vnd.openxmlformats-officedocument.drawingml.diagramColors+xml"/>
  <Override PartName="/xl/diagrams/drawing30.xml" ContentType="application/vnd.ms-office.drawingml.diagramDrawing+xml"/>
  <Override PartName="/xl/comments23.xml" ContentType="application/vnd.openxmlformats-officedocument.spreadsheetml.comments+xml"/>
  <Override PartName="/xl/drawings/drawing12.xml" ContentType="application/vnd.openxmlformats-officedocument.drawing+xml"/>
  <Override PartName="/xl/comments24.xml" ContentType="application/vnd.openxmlformats-officedocument.spreadsheetml.comments+xml"/>
  <Override PartName="/xl/diagrams/data31.xml" ContentType="application/vnd.openxmlformats-officedocument.drawingml.diagramData+xml"/>
  <Override PartName="/xl/diagrams/layout31.xml" ContentType="application/vnd.openxmlformats-officedocument.drawingml.diagramLayout+xml"/>
  <Override PartName="/xl/diagrams/quickStyle31.xml" ContentType="application/vnd.openxmlformats-officedocument.drawingml.diagramStyle+xml"/>
  <Override PartName="/xl/diagrams/colors31.xml" ContentType="application/vnd.openxmlformats-officedocument.drawingml.diagramColors+xml"/>
  <Override PartName="/xl/diagrams/drawing31.xml" ContentType="application/vnd.ms-office.drawingml.diagramDrawing+xml"/>
  <Override PartName="/xl/diagrams/data32.xml" ContentType="application/vnd.openxmlformats-officedocument.drawingml.diagramData+xml"/>
  <Override PartName="/xl/diagrams/layout32.xml" ContentType="application/vnd.openxmlformats-officedocument.drawingml.diagramLayout+xml"/>
  <Override PartName="/xl/diagrams/quickStyle32.xml" ContentType="application/vnd.openxmlformats-officedocument.drawingml.diagramStyle+xml"/>
  <Override PartName="/xl/diagrams/colors32.xml" ContentType="application/vnd.openxmlformats-officedocument.drawingml.diagramColors+xml"/>
  <Override PartName="/xl/diagrams/drawing32.xml" ContentType="application/vnd.ms-office.drawingml.diagramDrawing+xml"/>
  <Override PartName="/xl/diagrams/data33.xml" ContentType="application/vnd.openxmlformats-officedocument.drawingml.diagramData+xml"/>
  <Override PartName="/xl/diagrams/layout33.xml" ContentType="application/vnd.openxmlformats-officedocument.drawingml.diagramLayout+xml"/>
  <Override PartName="/xl/diagrams/quickStyle33.xml" ContentType="application/vnd.openxmlformats-officedocument.drawingml.diagramStyle+xml"/>
  <Override PartName="/xl/diagrams/colors33.xml" ContentType="application/vnd.openxmlformats-officedocument.drawingml.diagramColors+xml"/>
  <Override PartName="/xl/diagrams/drawing33.xml" ContentType="application/vnd.ms-office.drawingml.diagramDrawing+xml"/>
  <Override PartName="/xl/comments25.xml" ContentType="application/vnd.openxmlformats-officedocument.spreadsheetml.comments+xml"/>
  <Override PartName="/xl/drawings/drawing13.xml" ContentType="application/vnd.openxmlformats-officedocument.drawing+xml"/>
  <Override PartName="/xl/comments26.xml" ContentType="application/vnd.openxmlformats-officedocument.spreadsheetml.comments+xml"/>
  <Override PartName="/xl/diagrams/data34.xml" ContentType="application/vnd.openxmlformats-officedocument.drawingml.diagramData+xml"/>
  <Override PartName="/xl/diagrams/layout34.xml" ContentType="application/vnd.openxmlformats-officedocument.drawingml.diagramLayout+xml"/>
  <Override PartName="/xl/diagrams/quickStyle34.xml" ContentType="application/vnd.openxmlformats-officedocument.drawingml.diagramStyle+xml"/>
  <Override PartName="/xl/diagrams/colors34.xml" ContentType="application/vnd.openxmlformats-officedocument.drawingml.diagramColors+xml"/>
  <Override PartName="/xl/diagrams/drawing34.xml" ContentType="application/vnd.ms-office.drawingml.diagramDrawing+xml"/>
  <Override PartName="/xl/diagrams/data35.xml" ContentType="application/vnd.openxmlformats-officedocument.drawingml.diagramData+xml"/>
  <Override PartName="/xl/diagrams/layout35.xml" ContentType="application/vnd.openxmlformats-officedocument.drawingml.diagramLayout+xml"/>
  <Override PartName="/xl/diagrams/quickStyle35.xml" ContentType="application/vnd.openxmlformats-officedocument.drawingml.diagramStyle+xml"/>
  <Override PartName="/xl/diagrams/colors35.xml" ContentType="application/vnd.openxmlformats-officedocument.drawingml.diagramColors+xml"/>
  <Override PartName="/xl/diagrams/drawing35.xml" ContentType="application/vnd.ms-office.drawingml.diagramDrawing+xml"/>
  <Override PartName="/xl/diagrams/data36.xml" ContentType="application/vnd.openxmlformats-officedocument.drawingml.diagramData+xml"/>
  <Override PartName="/xl/diagrams/layout36.xml" ContentType="application/vnd.openxmlformats-officedocument.drawingml.diagramLayout+xml"/>
  <Override PartName="/xl/diagrams/quickStyle36.xml" ContentType="application/vnd.openxmlformats-officedocument.drawingml.diagramStyle+xml"/>
  <Override PartName="/xl/diagrams/colors36.xml" ContentType="application/vnd.openxmlformats-officedocument.drawingml.diagramColors+xml"/>
  <Override PartName="/xl/diagrams/drawing36.xml" ContentType="application/vnd.ms-office.drawingml.diagramDrawing+xml"/>
  <Override PartName="/xl/comments27.xml" ContentType="application/vnd.openxmlformats-officedocument.spreadsheetml.comments+xml"/>
  <Override PartName="/xl/drawings/drawing14.xml" ContentType="application/vnd.openxmlformats-officedocument.drawing+xml"/>
  <Override PartName="/xl/comments28.xml" ContentType="application/vnd.openxmlformats-officedocument.spreadsheetml.comments+xml"/>
  <Override PartName="/xl/diagrams/data37.xml" ContentType="application/vnd.openxmlformats-officedocument.drawingml.diagramData+xml"/>
  <Override PartName="/xl/diagrams/layout37.xml" ContentType="application/vnd.openxmlformats-officedocument.drawingml.diagramLayout+xml"/>
  <Override PartName="/xl/diagrams/quickStyle37.xml" ContentType="application/vnd.openxmlformats-officedocument.drawingml.diagramStyle+xml"/>
  <Override PartName="/xl/diagrams/colors37.xml" ContentType="application/vnd.openxmlformats-officedocument.drawingml.diagramColors+xml"/>
  <Override PartName="/xl/diagrams/drawing37.xml" ContentType="application/vnd.ms-office.drawingml.diagramDrawing+xml"/>
  <Override PartName="/xl/diagrams/data38.xml" ContentType="application/vnd.openxmlformats-officedocument.drawingml.diagramData+xml"/>
  <Override PartName="/xl/diagrams/layout38.xml" ContentType="application/vnd.openxmlformats-officedocument.drawingml.diagramLayout+xml"/>
  <Override PartName="/xl/diagrams/quickStyle38.xml" ContentType="application/vnd.openxmlformats-officedocument.drawingml.diagramStyle+xml"/>
  <Override PartName="/xl/diagrams/colors38.xml" ContentType="application/vnd.openxmlformats-officedocument.drawingml.diagramColors+xml"/>
  <Override PartName="/xl/diagrams/drawing38.xml" ContentType="application/vnd.ms-office.drawingml.diagramDrawing+xml"/>
  <Override PartName="/xl/diagrams/data39.xml" ContentType="application/vnd.openxmlformats-officedocument.drawingml.diagramData+xml"/>
  <Override PartName="/xl/diagrams/layout39.xml" ContentType="application/vnd.openxmlformats-officedocument.drawingml.diagramLayout+xml"/>
  <Override PartName="/xl/diagrams/quickStyle39.xml" ContentType="application/vnd.openxmlformats-officedocument.drawingml.diagramStyle+xml"/>
  <Override PartName="/xl/diagrams/colors39.xml" ContentType="application/vnd.openxmlformats-officedocument.drawingml.diagramColors+xml"/>
  <Override PartName="/xl/diagrams/drawing39.xml" ContentType="application/vnd.ms-office.drawingml.diagramDrawing+xml"/>
  <Override PartName="/xl/comments29.xml" ContentType="application/vnd.openxmlformats-officedocument.spreadsheetml.comments+xml"/>
  <Override PartName="/xl/drawings/drawing15.xml" ContentType="application/vnd.openxmlformats-officedocument.drawing+xml"/>
  <Override PartName="/xl/comments30.xml" ContentType="application/vnd.openxmlformats-officedocument.spreadsheetml.comments+xml"/>
  <Override PartName="/xl/diagrams/data40.xml" ContentType="application/vnd.openxmlformats-officedocument.drawingml.diagramData+xml"/>
  <Override PartName="/xl/diagrams/layout40.xml" ContentType="application/vnd.openxmlformats-officedocument.drawingml.diagramLayout+xml"/>
  <Override PartName="/xl/diagrams/quickStyle40.xml" ContentType="application/vnd.openxmlformats-officedocument.drawingml.diagramStyle+xml"/>
  <Override PartName="/xl/diagrams/colors40.xml" ContentType="application/vnd.openxmlformats-officedocument.drawingml.diagramColors+xml"/>
  <Override PartName="/xl/diagrams/drawing40.xml" ContentType="application/vnd.ms-office.drawingml.diagramDrawing+xml"/>
  <Override PartName="/xl/diagrams/data41.xml" ContentType="application/vnd.openxmlformats-officedocument.drawingml.diagramData+xml"/>
  <Override PartName="/xl/diagrams/layout41.xml" ContentType="application/vnd.openxmlformats-officedocument.drawingml.diagramLayout+xml"/>
  <Override PartName="/xl/diagrams/quickStyle41.xml" ContentType="application/vnd.openxmlformats-officedocument.drawingml.diagramStyle+xml"/>
  <Override PartName="/xl/diagrams/colors41.xml" ContentType="application/vnd.openxmlformats-officedocument.drawingml.diagramColors+xml"/>
  <Override PartName="/xl/diagrams/drawing41.xml" ContentType="application/vnd.ms-office.drawingml.diagramDrawing+xml"/>
  <Override PartName="/xl/diagrams/data42.xml" ContentType="application/vnd.openxmlformats-officedocument.drawingml.diagramData+xml"/>
  <Override PartName="/xl/diagrams/layout42.xml" ContentType="application/vnd.openxmlformats-officedocument.drawingml.diagramLayout+xml"/>
  <Override PartName="/xl/diagrams/quickStyle42.xml" ContentType="application/vnd.openxmlformats-officedocument.drawingml.diagramStyle+xml"/>
  <Override PartName="/xl/diagrams/colors42.xml" ContentType="application/vnd.openxmlformats-officedocument.drawingml.diagramColors+xml"/>
  <Override PartName="/xl/diagrams/drawing42.xml" ContentType="application/vnd.ms-office.drawingml.diagramDrawing+xml"/>
  <Override PartName="/xl/drawings/drawing16.xml" ContentType="application/vnd.openxmlformats-officedocument.drawing+xml"/>
  <Override PartName="/xl/comments31.xml" ContentType="application/vnd.openxmlformats-officedocument.spreadsheetml.comments+xml"/>
  <Override PartName="/xl/diagrams/data43.xml" ContentType="application/vnd.openxmlformats-officedocument.drawingml.diagramData+xml"/>
  <Override PartName="/xl/diagrams/layout43.xml" ContentType="application/vnd.openxmlformats-officedocument.drawingml.diagramLayout+xml"/>
  <Override PartName="/xl/diagrams/quickStyle43.xml" ContentType="application/vnd.openxmlformats-officedocument.drawingml.diagramStyle+xml"/>
  <Override PartName="/xl/diagrams/colors43.xml" ContentType="application/vnd.openxmlformats-officedocument.drawingml.diagramColors+xml"/>
  <Override PartName="/xl/diagrams/drawing43.xml" ContentType="application/vnd.ms-office.drawingml.diagramDrawing+xml"/>
  <Override PartName="/xl/diagrams/data44.xml" ContentType="application/vnd.openxmlformats-officedocument.drawingml.diagramData+xml"/>
  <Override PartName="/xl/diagrams/layout44.xml" ContentType="application/vnd.openxmlformats-officedocument.drawingml.diagramLayout+xml"/>
  <Override PartName="/xl/diagrams/quickStyle44.xml" ContentType="application/vnd.openxmlformats-officedocument.drawingml.diagramStyle+xml"/>
  <Override PartName="/xl/diagrams/colors44.xml" ContentType="application/vnd.openxmlformats-officedocument.drawingml.diagramColors+xml"/>
  <Override PartName="/xl/diagrams/drawing44.xml" ContentType="application/vnd.ms-office.drawingml.diagramDrawing+xml"/>
  <Override PartName="/xl/diagrams/data45.xml" ContentType="application/vnd.openxmlformats-officedocument.drawingml.diagramData+xml"/>
  <Override PartName="/xl/diagrams/layout45.xml" ContentType="application/vnd.openxmlformats-officedocument.drawingml.diagramLayout+xml"/>
  <Override PartName="/xl/diagrams/quickStyle45.xml" ContentType="application/vnd.openxmlformats-officedocument.drawingml.diagramStyle+xml"/>
  <Override PartName="/xl/diagrams/colors45.xml" ContentType="application/vnd.openxmlformats-officedocument.drawingml.diagramColors+xml"/>
  <Override PartName="/xl/diagrams/drawing45.xml" ContentType="application/vnd.ms-office.drawingml.diagramDrawing+xml"/>
  <Override PartName="/xl/drawings/drawing17.xml" ContentType="application/vnd.openxmlformats-officedocument.drawing+xml"/>
  <Override PartName="/xl/comments32.xml" ContentType="application/vnd.openxmlformats-officedocument.spreadsheetml.comments+xml"/>
  <Override PartName="/xl/diagrams/data46.xml" ContentType="application/vnd.openxmlformats-officedocument.drawingml.diagramData+xml"/>
  <Override PartName="/xl/diagrams/layout46.xml" ContentType="application/vnd.openxmlformats-officedocument.drawingml.diagramLayout+xml"/>
  <Override PartName="/xl/diagrams/quickStyle46.xml" ContentType="application/vnd.openxmlformats-officedocument.drawingml.diagramStyle+xml"/>
  <Override PartName="/xl/diagrams/colors46.xml" ContentType="application/vnd.openxmlformats-officedocument.drawingml.diagramColors+xml"/>
  <Override PartName="/xl/diagrams/drawing46.xml" ContentType="application/vnd.ms-office.drawingml.diagramDrawing+xml"/>
  <Override PartName="/xl/diagrams/data47.xml" ContentType="application/vnd.openxmlformats-officedocument.drawingml.diagramData+xml"/>
  <Override PartName="/xl/diagrams/layout47.xml" ContentType="application/vnd.openxmlformats-officedocument.drawingml.diagramLayout+xml"/>
  <Override PartName="/xl/diagrams/quickStyle47.xml" ContentType="application/vnd.openxmlformats-officedocument.drawingml.diagramStyle+xml"/>
  <Override PartName="/xl/diagrams/colors47.xml" ContentType="application/vnd.openxmlformats-officedocument.drawingml.diagramColors+xml"/>
  <Override PartName="/xl/diagrams/drawing47.xml" ContentType="application/vnd.ms-office.drawingml.diagramDrawing+xml"/>
  <Override PartName="/xl/diagrams/data48.xml" ContentType="application/vnd.openxmlformats-officedocument.drawingml.diagramData+xml"/>
  <Override PartName="/xl/diagrams/layout48.xml" ContentType="application/vnd.openxmlformats-officedocument.drawingml.diagramLayout+xml"/>
  <Override PartName="/xl/diagrams/quickStyle48.xml" ContentType="application/vnd.openxmlformats-officedocument.drawingml.diagramStyle+xml"/>
  <Override PartName="/xl/diagrams/colors48.xml" ContentType="application/vnd.openxmlformats-officedocument.drawingml.diagramColors+xml"/>
  <Override PartName="/xl/diagrams/drawing48.xml" ContentType="application/vnd.ms-office.drawingml.diagramDrawing+xml"/>
  <Override PartName="/xl/comments33.xml" ContentType="application/vnd.openxmlformats-officedocument.spreadsheetml.comments+xml"/>
  <Override PartName="/xl/drawings/drawing18.xml" ContentType="application/vnd.openxmlformats-officedocument.drawing+xml"/>
  <Override PartName="/xl/comments34.xml" ContentType="application/vnd.openxmlformats-officedocument.spreadsheetml.comments+xml"/>
  <Override PartName="/xl/diagrams/data49.xml" ContentType="application/vnd.openxmlformats-officedocument.drawingml.diagramData+xml"/>
  <Override PartName="/xl/diagrams/layout49.xml" ContentType="application/vnd.openxmlformats-officedocument.drawingml.diagramLayout+xml"/>
  <Override PartName="/xl/diagrams/quickStyle49.xml" ContentType="application/vnd.openxmlformats-officedocument.drawingml.diagramStyle+xml"/>
  <Override PartName="/xl/diagrams/colors49.xml" ContentType="application/vnd.openxmlformats-officedocument.drawingml.diagramColors+xml"/>
  <Override PartName="/xl/diagrams/drawing49.xml" ContentType="application/vnd.ms-office.drawingml.diagramDrawing+xml"/>
  <Override PartName="/xl/diagrams/data50.xml" ContentType="application/vnd.openxmlformats-officedocument.drawingml.diagramData+xml"/>
  <Override PartName="/xl/diagrams/layout50.xml" ContentType="application/vnd.openxmlformats-officedocument.drawingml.diagramLayout+xml"/>
  <Override PartName="/xl/diagrams/quickStyle50.xml" ContentType="application/vnd.openxmlformats-officedocument.drawingml.diagramStyle+xml"/>
  <Override PartName="/xl/diagrams/colors50.xml" ContentType="application/vnd.openxmlformats-officedocument.drawingml.diagramColors+xml"/>
  <Override PartName="/xl/diagrams/drawing50.xml" ContentType="application/vnd.ms-office.drawingml.diagramDrawing+xml"/>
  <Override PartName="/xl/diagrams/data51.xml" ContentType="application/vnd.openxmlformats-officedocument.drawingml.diagramData+xml"/>
  <Override PartName="/xl/diagrams/layout51.xml" ContentType="application/vnd.openxmlformats-officedocument.drawingml.diagramLayout+xml"/>
  <Override PartName="/xl/diagrams/quickStyle51.xml" ContentType="application/vnd.openxmlformats-officedocument.drawingml.diagramStyle+xml"/>
  <Override PartName="/xl/diagrams/colors51.xml" ContentType="application/vnd.openxmlformats-officedocument.drawingml.diagramColors+xml"/>
  <Override PartName="/xl/diagrams/drawing5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LEIDY\2. POAI\POAI 2022\POAI DICIEMBRE\POAI FINAL 2022\"/>
    </mc:Choice>
  </mc:AlternateContent>
  <bookViews>
    <workbookView xWindow="0" yWindow="0" windowWidth="24000" windowHeight="9030" firstSheet="27" activeTab="39"/>
  </bookViews>
  <sheets>
    <sheet name="Estr prop" sheetId="30" state="hidden" r:id="rId1"/>
    <sheet name="Estr actual" sheetId="58" state="hidden" r:id="rId2"/>
    <sheet name="FUENTES" sheetId="79" state="hidden" r:id="rId3"/>
    <sheet name="NOMINA" sheetId="77" state="hidden" r:id="rId4"/>
    <sheet name="COMPARATIVO INDIC" sheetId="80" state="hidden" r:id="rId5"/>
    <sheet name="2021" sheetId="78" state="hidden" r:id="rId6"/>
    <sheet name="Matriz indic " sheetId="82" r:id="rId7"/>
    <sheet name="INDIC" sheetId="61" r:id="rId8"/>
    <sheet name="CONSOLIDADO" sheetId="40" state="hidden" r:id="rId9"/>
    <sheet name="320101" sheetId="41" r:id="rId10"/>
    <sheet name="ACCIONES 320101" sheetId="62" r:id="rId11"/>
    <sheet name="320102" sheetId="42" r:id="rId12"/>
    <sheet name="ACCIONES 320102" sheetId="63" r:id="rId13"/>
    <sheet name="320103" sheetId="43" r:id="rId14"/>
    <sheet name="ACCIONES 320103" sheetId="64" r:id="rId15"/>
    <sheet name="320201" sheetId="44" r:id="rId16"/>
    <sheet name="ACCIONES 320201" sheetId="65" r:id="rId17"/>
    <sheet name="320202" sheetId="45" r:id="rId18"/>
    <sheet name="ACCIONES 320202" sheetId="66" r:id="rId19"/>
    <sheet name="320203" sheetId="57" r:id="rId20"/>
    <sheet name="ACCIONES 320203" sheetId="67" r:id="rId21"/>
    <sheet name="320301" sheetId="47" r:id="rId22"/>
    <sheet name="ACCIONES 320301" sheetId="76" r:id="rId23"/>
    <sheet name="320302" sheetId="48" r:id="rId24"/>
    <sheet name="ACCIONES 320302" sheetId="68" r:id="rId25"/>
    <sheet name="320401" sheetId="49" r:id="rId26"/>
    <sheet name="ACCIONES 320401" sheetId="69" r:id="rId27"/>
    <sheet name="320501" sheetId="50" r:id="rId28"/>
    <sheet name="ACCIONES 320501" sheetId="70" r:id="rId29"/>
    <sheet name="320502" sheetId="52" r:id="rId30"/>
    <sheet name="ACCIONES 320502" sheetId="71" r:id="rId31"/>
    <sheet name="320503" sheetId="53" r:id="rId32"/>
    <sheet name="ACCIONES 320503" sheetId="72" r:id="rId33"/>
    <sheet name="320504" sheetId="59" r:id="rId34"/>
    <sheet name="320601" sheetId="54" r:id="rId35"/>
    <sheet name="ACCIONES 320601" sheetId="73" r:id="rId36"/>
    <sheet name="320801" sheetId="51" r:id="rId37"/>
    <sheet name="ACCIONES 320801" sheetId="74" r:id="rId38"/>
    <sheet name="329901" sheetId="55" r:id="rId39"/>
    <sheet name="ACCIONES 329901" sheetId="75" r:id="rId40"/>
  </sheets>
  <externalReferences>
    <externalReference r:id="rId41"/>
    <externalReference r:id="rId4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5" i="75" l="1"/>
  <c r="J7" i="63" l="1"/>
  <c r="H7" i="63"/>
  <c r="G7" i="63"/>
  <c r="E7" i="42" s="1"/>
  <c r="N30" i="63"/>
  <c r="N7" i="63"/>
  <c r="L7" i="63"/>
  <c r="N27" i="63"/>
  <c r="I45" i="62" l="1"/>
  <c r="I23" i="62"/>
  <c r="I22" i="62"/>
  <c r="I12" i="70"/>
  <c r="I13" i="70"/>
  <c r="I19" i="70"/>
  <c r="G31" i="67" l="1"/>
  <c r="G30" i="67"/>
  <c r="N94" i="64" l="1"/>
  <c r="N216" i="64"/>
  <c r="N106" i="64"/>
  <c r="N32" i="64"/>
  <c r="G149" i="64" l="1"/>
  <c r="O106" i="64"/>
  <c r="J106" i="64"/>
  <c r="Q106" i="64" l="1"/>
  <c r="G23" i="47" l="1"/>
  <c r="K41" i="44"/>
  <c r="G41" i="44"/>
  <c r="P28" i="43" l="1"/>
  <c r="P27" i="43"/>
  <c r="O27" i="43"/>
  <c r="M216" i="64" l="1"/>
  <c r="N93" i="64"/>
  <c r="M166" i="64"/>
  <c r="M29" i="64"/>
  <c r="K42" i="75" l="1"/>
  <c r="K78" i="75"/>
  <c r="O42" i="75"/>
  <c r="O50" i="75"/>
  <c r="O55" i="75"/>
  <c r="O56" i="75"/>
  <c r="O7" i="75" l="1"/>
  <c r="O69" i="75" l="1"/>
  <c r="L62" i="75"/>
  <c r="L42" i="75"/>
  <c r="K47" i="75"/>
  <c r="J34" i="75" l="1"/>
  <c r="O64" i="75" l="1"/>
  <c r="O29" i="75" l="1"/>
  <c r="O112" i="64" l="1"/>
  <c r="Q112" i="64" s="1"/>
  <c r="O46" i="64"/>
  <c r="Q46" i="64" s="1"/>
  <c r="G21" i="69" l="1"/>
  <c r="G12" i="69"/>
  <c r="H29" i="69" l="1"/>
  <c r="I29" i="69" s="1"/>
  <c r="I24" i="69"/>
  <c r="I22" i="69"/>
  <c r="Q49" i="66"/>
  <c r="O49" i="66"/>
  <c r="R115" i="66"/>
  <c r="O115" i="66"/>
  <c r="Q115" i="66" s="1"/>
  <c r="I115" i="66"/>
  <c r="R105" i="66"/>
  <c r="O105" i="66"/>
  <c r="N105" i="66"/>
  <c r="I105" i="66"/>
  <c r="O100" i="66"/>
  <c r="Q100" i="66" s="1"/>
  <c r="O83" i="66"/>
  <c r="Q83" i="66" s="1"/>
  <c r="O76" i="66"/>
  <c r="I76" i="66"/>
  <c r="Q76" i="66" s="1"/>
  <c r="R76" i="66" s="1"/>
  <c r="O48" i="66"/>
  <c r="Q48" i="66" s="1"/>
  <c r="I46" i="66"/>
  <c r="Q46" i="66" s="1"/>
  <c r="Q105" i="66" l="1"/>
  <c r="I50" i="74" l="1"/>
  <c r="J42" i="74"/>
  <c r="I41" i="74"/>
  <c r="K41" i="74" s="1"/>
  <c r="I40" i="74"/>
  <c r="K40" i="74" s="1"/>
  <c r="I35" i="74"/>
  <c r="K35" i="74" s="1"/>
  <c r="J31" i="74"/>
  <c r="F41" i="74"/>
  <c r="G41" i="74" s="1"/>
  <c r="F37" i="74"/>
  <c r="G37" i="74" s="1"/>
  <c r="F36" i="74"/>
  <c r="F22" i="74"/>
  <c r="K50" i="74"/>
  <c r="O50" i="74" s="1"/>
  <c r="G40" i="74"/>
  <c r="G35" i="74"/>
  <c r="K44" i="74"/>
  <c r="G44" i="74"/>
  <c r="O44" i="74" s="1"/>
  <c r="K37" i="74"/>
  <c r="K36" i="74"/>
  <c r="G36" i="74"/>
  <c r="O36" i="74" s="1"/>
  <c r="K22" i="74"/>
  <c r="G22" i="74"/>
  <c r="K16" i="74"/>
  <c r="G16" i="74"/>
  <c r="O16" i="74" s="1"/>
  <c r="O22" i="74" l="1"/>
  <c r="O37" i="74"/>
  <c r="O40" i="74"/>
  <c r="O41" i="74"/>
  <c r="O35" i="74"/>
  <c r="H16" i="76" l="1"/>
  <c r="H27" i="76" l="1"/>
  <c r="Q64" i="75" l="1"/>
  <c r="L75" i="61" l="1"/>
  <c r="L71" i="61"/>
  <c r="L68" i="61"/>
  <c r="L58" i="61"/>
  <c r="L57" i="61"/>
  <c r="L56" i="61"/>
  <c r="L55" i="61"/>
  <c r="L54" i="61"/>
  <c r="L53" i="61"/>
  <c r="L52" i="61"/>
  <c r="L50" i="61"/>
  <c r="L48" i="61"/>
  <c r="L42" i="61"/>
  <c r="L45" i="61"/>
  <c r="L43" i="61"/>
  <c r="L41" i="61"/>
  <c r="L76" i="61" l="1"/>
  <c r="L72" i="61"/>
  <c r="L69" i="61"/>
  <c r="R36" i="44"/>
  <c r="H8" i="61"/>
  <c r="AG22" i="40" l="1"/>
  <c r="Z22" i="40"/>
  <c r="L19" i="63"/>
  <c r="A123" i="82" l="1"/>
  <c r="A122" i="82"/>
  <c r="A121" i="82"/>
  <c r="A120" i="82"/>
  <c r="A119" i="82"/>
  <c r="A118" i="82"/>
  <c r="A115" i="82"/>
  <c r="A113" i="82"/>
  <c r="A112" i="82"/>
  <c r="A111" i="82"/>
  <c r="I52" i="82"/>
  <c r="G39" i="82"/>
  <c r="H39" i="82" s="1"/>
  <c r="F39" i="82"/>
  <c r="F25" i="82"/>
  <c r="G25" i="82" s="1"/>
  <c r="H25" i="82" s="1"/>
  <c r="O49" i="75" l="1"/>
  <c r="Z18" i="40" l="1"/>
  <c r="Z17" i="40"/>
  <c r="Z16" i="40"/>
  <c r="Z15" i="40"/>
  <c r="Z12" i="40"/>
  <c r="P33" i="44"/>
  <c r="M42" i="75" l="1"/>
  <c r="O73" i="75"/>
  <c r="O66" i="75"/>
  <c r="O23" i="75"/>
  <c r="M62" i="75"/>
  <c r="O72" i="75"/>
  <c r="O68" i="75"/>
  <c r="O65" i="75"/>
  <c r="O40" i="75" l="1"/>
  <c r="O26" i="75"/>
  <c r="O25" i="75"/>
  <c r="S159" i="65" l="1"/>
  <c r="S54" i="65"/>
  <c r="S53" i="65"/>
  <c r="Q153" i="65"/>
  <c r="P32" i="44" s="1"/>
  <c r="Q150" i="65"/>
  <c r="Q140" i="65"/>
  <c r="P29" i="44" s="1"/>
  <c r="Q134" i="65"/>
  <c r="P28" i="44" s="1"/>
  <c r="Q120" i="65"/>
  <c r="Q114" i="65"/>
  <c r="P25" i="44" s="1"/>
  <c r="Q85" i="65"/>
  <c r="P23" i="44" s="1"/>
  <c r="Q70" i="65"/>
  <c r="P22" i="44" s="1"/>
  <c r="Q66" i="65"/>
  <c r="P21" i="44" s="1"/>
  <c r="Q63" i="65"/>
  <c r="Q57" i="65"/>
  <c r="P17" i="44" s="1"/>
  <c r="Q47" i="65"/>
  <c r="Q44" i="65"/>
  <c r="P13" i="44" s="1"/>
  <c r="Q25" i="65"/>
  <c r="P11" i="44" s="1"/>
  <c r="Q11" i="65"/>
  <c r="Q8" i="65"/>
  <c r="P8" i="44" s="1"/>
  <c r="Q24" i="65" l="1"/>
  <c r="P10" i="44" s="1"/>
  <c r="Q46" i="65"/>
  <c r="P14" i="44" s="1"/>
  <c r="P15" i="44"/>
  <c r="Q56" i="65"/>
  <c r="P16" i="44" s="1"/>
  <c r="Q113" i="65"/>
  <c r="P24" i="44" s="1"/>
  <c r="P26" i="44"/>
  <c r="Q7" i="65"/>
  <c r="P9" i="44"/>
  <c r="Q62" i="65"/>
  <c r="P18" i="44" s="1"/>
  <c r="P19" i="44"/>
  <c r="Q65" i="65"/>
  <c r="P20" i="44" s="1"/>
  <c r="Q149" i="65"/>
  <c r="P30" i="44" s="1"/>
  <c r="P31" i="44"/>
  <c r="Q43" i="65"/>
  <c r="P12" i="44" s="1"/>
  <c r="Q133" i="65"/>
  <c r="P27" i="44" s="1"/>
  <c r="P7" i="44" l="1"/>
  <c r="P34" i="44" s="1"/>
  <c r="Q157" i="65"/>
  <c r="H17" i="65"/>
  <c r="F147" i="65"/>
  <c r="P38" i="44" l="1"/>
  <c r="AH8" i="40"/>
  <c r="AH21" i="40" s="1"/>
  <c r="AH23" i="40" s="1"/>
  <c r="G110" i="65"/>
  <c r="M111" i="65"/>
  <c r="K110" i="65"/>
  <c r="I100" i="65"/>
  <c r="F89" i="65" l="1"/>
  <c r="M40" i="65"/>
  <c r="O40" i="65" s="1"/>
  <c r="F40" i="65"/>
  <c r="F148" i="65" l="1"/>
  <c r="F146" i="65"/>
  <c r="F127" i="65"/>
  <c r="F126" i="65"/>
  <c r="F125" i="65"/>
  <c r="F124" i="65"/>
  <c r="F112" i="65" l="1"/>
  <c r="F87" i="65"/>
  <c r="F88" i="65"/>
  <c r="F90" i="65" l="1"/>
  <c r="L8" i="63" l="1"/>
  <c r="J8" i="63"/>
  <c r="G13" i="63" l="1"/>
  <c r="G8" i="63"/>
  <c r="N41" i="62"/>
  <c r="N40" i="62" s="1"/>
  <c r="N14" i="62"/>
  <c r="L38" i="62"/>
  <c r="L44" i="62"/>
  <c r="L43" i="62"/>
  <c r="L42" i="62"/>
  <c r="L39" i="62"/>
  <c r="L37" i="62"/>
  <c r="L36" i="62"/>
  <c r="L35" i="62" s="1"/>
  <c r="L9" i="62"/>
  <c r="G25" i="62"/>
  <c r="G12" i="62"/>
  <c r="G45" i="62"/>
  <c r="G43" i="62"/>
  <c r="P43" i="62" s="1"/>
  <c r="G42" i="62"/>
  <c r="G37" i="62"/>
  <c r="P37" i="62" s="1"/>
  <c r="G36" i="62"/>
  <c r="G34" i="62"/>
  <c r="G32" i="62"/>
  <c r="G31" i="62"/>
  <c r="G30" i="62"/>
  <c r="G27" i="62"/>
  <c r="G26" i="62"/>
  <c r="G24" i="62"/>
  <c r="G23" i="62"/>
  <c r="G22" i="62"/>
  <c r="G21" i="62"/>
  <c r="G20" i="62"/>
  <c r="G17" i="62"/>
  <c r="G15" i="62"/>
  <c r="G13" i="62"/>
  <c r="G11" i="62"/>
  <c r="G10" i="62"/>
  <c r="H51" i="62"/>
  <c r="M36" i="44"/>
  <c r="N36" i="44" s="1"/>
  <c r="L36" i="44"/>
  <c r="K36" i="44"/>
  <c r="H36" i="44"/>
  <c r="G36" i="44"/>
  <c r="E36" i="44"/>
  <c r="G35" i="62" l="1"/>
  <c r="P42" i="62"/>
  <c r="H159" i="65"/>
  <c r="M159" i="65"/>
  <c r="F159" i="65"/>
  <c r="I20" i="41" l="1"/>
  <c r="H20" i="41"/>
  <c r="E20" i="41"/>
  <c r="F20" i="41" s="1"/>
  <c r="N16" i="47"/>
  <c r="O16" i="47" s="1"/>
  <c r="Q16" i="47" s="1"/>
  <c r="E16" i="47"/>
  <c r="L28" i="48"/>
  <c r="K28" i="48"/>
  <c r="J28" i="48"/>
  <c r="M28" i="48" s="1"/>
  <c r="G28" i="48"/>
  <c r="E28" i="48"/>
  <c r="H28" i="48" s="1"/>
  <c r="O28" i="48" s="1"/>
  <c r="F14" i="49"/>
  <c r="E14" i="49"/>
  <c r="G20" i="52"/>
  <c r="F20" i="52"/>
  <c r="E20" i="52"/>
  <c r="I18" i="51"/>
  <c r="J18" i="51" s="1"/>
  <c r="N18" i="51" s="1"/>
  <c r="I27" i="55"/>
  <c r="K27" i="55" s="1"/>
  <c r="F27" i="55"/>
  <c r="E27" i="55"/>
  <c r="O81" i="75"/>
  <c r="Q81" i="75" s="1"/>
  <c r="L81" i="75"/>
  <c r="K81" i="75"/>
  <c r="J59" i="74"/>
  <c r="K59" i="74" s="1"/>
  <c r="O59" i="74" s="1"/>
  <c r="G50" i="71"/>
  <c r="H50" i="71" s="1"/>
  <c r="F50" i="71"/>
  <c r="AH22" i="70"/>
  <c r="H35" i="69"/>
  <c r="G35" i="69"/>
  <c r="M141" i="68"/>
  <c r="L141" i="68"/>
  <c r="K141" i="68"/>
  <c r="N141" i="68" s="1"/>
  <c r="H141" i="68"/>
  <c r="F141" i="68"/>
  <c r="I141" i="68" s="1"/>
  <c r="P141" i="68" s="1"/>
  <c r="Q39" i="76"/>
  <c r="R39" i="76" s="1"/>
  <c r="T39" i="76" s="1"/>
  <c r="H39" i="76"/>
  <c r="J48" i="62"/>
  <c r="I48" i="62"/>
  <c r="F48" i="62"/>
  <c r="G48" i="62" l="1"/>
  <c r="F7" i="50"/>
  <c r="G7" i="50"/>
  <c r="F8" i="50"/>
  <c r="H8" i="50"/>
  <c r="F9" i="50"/>
  <c r="G9" i="50"/>
  <c r="H9" i="50"/>
  <c r="I9" i="50"/>
  <c r="F10" i="50"/>
  <c r="G10" i="50"/>
  <c r="H10" i="50"/>
  <c r="I10" i="50"/>
  <c r="F11" i="50"/>
  <c r="G11" i="50"/>
  <c r="H11" i="50"/>
  <c r="I11" i="50"/>
  <c r="E11" i="50"/>
  <c r="E10" i="50"/>
  <c r="J24" i="70"/>
  <c r="J20" i="70"/>
  <c r="N18" i="70"/>
  <c r="N19" i="70"/>
  <c r="N17" i="70"/>
  <c r="J8" i="70"/>
  <c r="J7" i="70" s="1"/>
  <c r="K8" i="70"/>
  <c r="G8" i="50" s="1"/>
  <c r="L8" i="70"/>
  <c r="M8" i="70"/>
  <c r="I8" i="50" s="1"/>
  <c r="I8" i="70"/>
  <c r="E8" i="50" s="1"/>
  <c r="N10" i="70"/>
  <c r="N11" i="70"/>
  <c r="N12" i="70"/>
  <c r="N13" i="70"/>
  <c r="N14" i="70"/>
  <c r="N9" i="70"/>
  <c r="L7" i="70"/>
  <c r="L20" i="70" s="1"/>
  <c r="L24" i="70" s="1"/>
  <c r="K7" i="70"/>
  <c r="K20" i="70" s="1"/>
  <c r="K24" i="70" s="1"/>
  <c r="N8" i="70" l="1"/>
  <c r="F12" i="50"/>
  <c r="R14" i="40" s="1"/>
  <c r="G12" i="50"/>
  <c r="N14" i="40" s="1"/>
  <c r="M7" i="70"/>
  <c r="H7" i="50"/>
  <c r="H12" i="50" s="1"/>
  <c r="X14" i="40"/>
  <c r="L68" i="75"/>
  <c r="K68" i="75"/>
  <c r="G24" i="71"/>
  <c r="G43" i="71"/>
  <c r="G42" i="71"/>
  <c r="G41" i="71"/>
  <c r="G40" i="71"/>
  <c r="G39" i="71"/>
  <c r="G38" i="71"/>
  <c r="G37" i="71"/>
  <c r="G36" i="71"/>
  <c r="G35" i="71"/>
  <c r="G34" i="71"/>
  <c r="G33" i="71"/>
  <c r="G18" i="69"/>
  <c r="F118" i="68"/>
  <c r="M118" i="68"/>
  <c r="L118" i="68"/>
  <c r="H43" i="76"/>
  <c r="F43" i="76"/>
  <c r="M20" i="70" l="1"/>
  <c r="M24" i="70" s="1"/>
  <c r="I7" i="50"/>
  <c r="I12" i="50" s="1"/>
  <c r="U14" i="40" s="1"/>
  <c r="H33" i="76"/>
  <c r="H31" i="76"/>
  <c r="H30" i="76"/>
  <c r="H25" i="76"/>
  <c r="F29" i="62"/>
  <c r="G29" i="62" s="1"/>
  <c r="J34" i="62" l="1"/>
  <c r="J32" i="62"/>
  <c r="I32" i="62"/>
  <c r="I31" i="62"/>
  <c r="I30" i="62"/>
  <c r="J29" i="62"/>
  <c r="I29" i="62"/>
  <c r="F33" i="62"/>
  <c r="G33" i="62" s="1"/>
  <c r="I24" i="62"/>
  <c r="I21" i="62"/>
  <c r="I17" i="62"/>
  <c r="F19" i="62"/>
  <c r="G19" i="62" s="1"/>
  <c r="F18" i="62"/>
  <c r="G18" i="62" s="1"/>
  <c r="F16" i="62"/>
  <c r="G16" i="62" s="1"/>
  <c r="G14" i="62" l="1"/>
  <c r="G28" i="62"/>
  <c r="M36" i="65"/>
  <c r="I41" i="65" l="1"/>
  <c r="I40" i="65"/>
  <c r="F8" i="65"/>
  <c r="S40" i="65" l="1"/>
  <c r="O111" i="65"/>
  <c r="I112" i="65"/>
  <c r="N112" i="65"/>
  <c r="O112" i="65" s="1"/>
  <c r="F110" i="65"/>
  <c r="F86" i="65"/>
  <c r="F61" i="65"/>
  <c r="O36" i="65"/>
  <c r="F29" i="65"/>
  <c r="F28" i="65"/>
  <c r="F27" i="65"/>
  <c r="F26" i="65"/>
  <c r="S112" i="65" l="1"/>
  <c r="H152" i="65"/>
  <c r="H108" i="65"/>
  <c r="H104" i="65"/>
  <c r="H103" i="65"/>
  <c r="O42" i="65"/>
  <c r="I42" i="65"/>
  <c r="O41" i="65"/>
  <c r="S41" i="65" s="1"/>
  <c r="H16" i="65"/>
  <c r="H15" i="65"/>
  <c r="H14" i="65"/>
  <c r="H13" i="65"/>
  <c r="S42" i="65" l="1"/>
  <c r="O110" i="65"/>
  <c r="I110" i="65"/>
  <c r="S110" i="65" s="1"/>
  <c r="O48" i="75" l="1"/>
  <c r="O32" i="75"/>
  <c r="J18" i="64" l="1"/>
  <c r="J17" i="64"/>
  <c r="N36" i="62"/>
  <c r="N35" i="62" l="1"/>
  <c r="P36" i="62"/>
  <c r="P35" i="62" s="1"/>
  <c r="N23" i="72"/>
  <c r="H26" i="76" l="1"/>
  <c r="L18" i="76" l="1"/>
  <c r="L16" i="76"/>
  <c r="L15" i="76"/>
  <c r="L35" i="76"/>
  <c r="L8" i="76"/>
  <c r="J25" i="65" l="1"/>
  <c r="K25" i="65"/>
  <c r="L25" i="65"/>
  <c r="G25" i="65"/>
  <c r="G24" i="65" s="1"/>
  <c r="N25" i="65"/>
  <c r="N85" i="65"/>
  <c r="M85" i="65"/>
  <c r="I18" i="69" l="1"/>
  <c r="J31" i="67" l="1"/>
  <c r="I33" i="67"/>
  <c r="G34" i="67"/>
  <c r="G25" i="67"/>
  <c r="I18" i="67"/>
  <c r="I3" i="67"/>
  <c r="G15" i="67"/>
  <c r="G14" i="67"/>
  <c r="G9" i="67"/>
  <c r="G68" i="66" l="1"/>
  <c r="I17" i="70" l="1"/>
  <c r="I18" i="70"/>
  <c r="L17" i="75"/>
  <c r="K17" i="75"/>
  <c r="K41" i="75" l="1"/>
  <c r="K22" i="75"/>
  <c r="O70" i="75"/>
  <c r="O54" i="75"/>
  <c r="O45" i="75"/>
  <c r="O44" i="75"/>
  <c r="O43" i="75"/>
  <c r="O39" i="75"/>
  <c r="M17" i="75" l="1"/>
  <c r="Q17" i="75" s="1"/>
  <c r="G16" i="67" l="1"/>
  <c r="L27" i="67"/>
  <c r="I14" i="73"/>
  <c r="H13" i="73"/>
  <c r="H12" i="73"/>
  <c r="R33" i="76"/>
  <c r="L33" i="76"/>
  <c r="T33" i="76" s="1"/>
  <c r="H34" i="76"/>
  <c r="L34" i="76" s="1"/>
  <c r="J2" i="76"/>
  <c r="I3" i="76"/>
  <c r="R34" i="76" l="1"/>
  <c r="T34" i="76" s="1"/>
  <c r="O14" i="76"/>
  <c r="P14" i="76"/>
  <c r="Q14" i="76"/>
  <c r="N14" i="76"/>
  <c r="J14" i="76"/>
  <c r="H20" i="76" l="1"/>
  <c r="H32" i="76"/>
  <c r="H29" i="76"/>
  <c r="H28" i="76"/>
  <c r="H24" i="76"/>
  <c r="H22" i="76"/>
  <c r="H21" i="76"/>
  <c r="H19" i="76"/>
  <c r="H18" i="76"/>
  <c r="K9" i="76"/>
  <c r="H9" i="76"/>
  <c r="Q31" i="75" l="1"/>
  <c r="O75" i="75" l="1"/>
  <c r="O74" i="75" s="1"/>
  <c r="O67" i="75"/>
  <c r="O41" i="75"/>
  <c r="O34" i="75"/>
  <c r="O33" i="75" s="1"/>
  <c r="Q42" i="75" l="1"/>
  <c r="O114" i="66" l="1"/>
  <c r="Q114" i="66" s="1"/>
  <c r="O113" i="66"/>
  <c r="Q113" i="66" s="1"/>
  <c r="O112" i="66"/>
  <c r="Q112" i="66" s="1"/>
  <c r="I112" i="66"/>
  <c r="H101" i="65" l="1"/>
  <c r="F83" i="65"/>
  <c r="F82" i="65"/>
  <c r="F81" i="65"/>
  <c r="H64" i="65"/>
  <c r="F30" i="65"/>
  <c r="I30" i="65" s="1"/>
  <c r="G21" i="65"/>
  <c r="H22" i="65"/>
  <c r="F33" i="65" l="1"/>
  <c r="F32" i="65"/>
  <c r="F31" i="65"/>
  <c r="F19" i="65"/>
  <c r="F18" i="65"/>
  <c r="F77" i="65"/>
  <c r="G153" i="65"/>
  <c r="F153" i="65"/>
  <c r="G150" i="65"/>
  <c r="F150" i="65"/>
  <c r="H154" i="65"/>
  <c r="G32" i="44" s="1"/>
  <c r="H151" i="65"/>
  <c r="H150" i="65" s="1"/>
  <c r="G31" i="44" s="1"/>
  <c r="O155" i="65"/>
  <c r="I155" i="65"/>
  <c r="S155" i="65" s="1"/>
  <c r="O152" i="65"/>
  <c r="I152" i="65"/>
  <c r="H145" i="65"/>
  <c r="H144" i="65"/>
  <c r="H141" i="65"/>
  <c r="F138" i="65"/>
  <c r="F130" i="65"/>
  <c r="F129" i="65"/>
  <c r="F128" i="65"/>
  <c r="H122" i="65"/>
  <c r="F122" i="65"/>
  <c r="H109" i="65"/>
  <c r="J85" i="65"/>
  <c r="P85" i="65"/>
  <c r="I111" i="65"/>
  <c r="S111" i="65" s="1"/>
  <c r="H106" i="65"/>
  <c r="H105" i="65"/>
  <c r="K85" i="65"/>
  <c r="H99" i="65"/>
  <c r="H97" i="65"/>
  <c r="G96" i="65"/>
  <c r="G85" i="65" s="1"/>
  <c r="F94" i="65"/>
  <c r="H61" i="65"/>
  <c r="F60" i="65"/>
  <c r="F58" i="65"/>
  <c r="M55" i="65"/>
  <c r="F55" i="65"/>
  <c r="F48" i="65"/>
  <c r="H39" i="65"/>
  <c r="H25" i="65" s="1"/>
  <c r="H24" i="65" s="1"/>
  <c r="F39" i="65"/>
  <c r="F37" i="65"/>
  <c r="M25" i="65"/>
  <c r="S152" i="65" l="1"/>
  <c r="I39" i="65"/>
  <c r="F25" i="65"/>
  <c r="F24" i="65" s="1"/>
  <c r="H85" i="65"/>
  <c r="H153" i="65"/>
  <c r="H149" i="65" s="1"/>
  <c r="N7" i="47" l="1"/>
  <c r="N8" i="47"/>
  <c r="N9" i="47"/>
  <c r="N10" i="47"/>
  <c r="N159" i="65" l="1"/>
  <c r="I159" i="65"/>
  <c r="M131" i="68"/>
  <c r="M130" i="68" s="1"/>
  <c r="N51" i="68"/>
  <c r="K74" i="68" l="1"/>
  <c r="K132" i="68"/>
  <c r="N132" i="68" s="1"/>
  <c r="M115" i="68"/>
  <c r="N55" i="68"/>
  <c r="I55" i="68"/>
  <c r="P55" i="68" s="1"/>
  <c r="I51" i="68"/>
  <c r="P51" i="68" l="1"/>
  <c r="M106" i="68"/>
  <c r="F106" i="68"/>
  <c r="F127" i="68"/>
  <c r="F93" i="68"/>
  <c r="F74" i="68"/>
  <c r="F92" i="68"/>
  <c r="M114" i="68"/>
  <c r="F114" i="68"/>
  <c r="P25" i="65"/>
  <c r="F30" i="71"/>
  <c r="L159" i="65" l="1"/>
  <c r="L121" i="65"/>
  <c r="L100" i="65"/>
  <c r="L85" i="65" s="1"/>
  <c r="Q36" i="76"/>
  <c r="R36" i="76"/>
  <c r="Q35" i="76"/>
  <c r="Q37" i="76" l="1"/>
  <c r="N13" i="47" s="1"/>
  <c r="N12" i="47"/>
  <c r="N11" i="47"/>
  <c r="N18" i="47" l="1"/>
  <c r="V11" i="40"/>
  <c r="K14" i="53"/>
  <c r="M14" i="53" s="1"/>
  <c r="J14" i="53"/>
  <c r="K23" i="72"/>
  <c r="L23" i="72" s="1"/>
  <c r="K12" i="72"/>
  <c r="K42" i="74" l="1"/>
  <c r="G42" i="74"/>
  <c r="J21" i="74"/>
  <c r="M21" i="74"/>
  <c r="N21" i="74"/>
  <c r="O42" i="74" l="1"/>
  <c r="K8" i="72"/>
  <c r="J8" i="72"/>
  <c r="H17" i="72"/>
  <c r="N17" i="72" s="1"/>
  <c r="H18" i="72"/>
  <c r="N18" i="72" s="1"/>
  <c r="F8" i="72"/>
  <c r="F13" i="72"/>
  <c r="G12" i="72"/>
  <c r="G8" i="72" s="1"/>
  <c r="G7" i="72" s="1"/>
  <c r="F12" i="72"/>
  <c r="H14" i="72" l="1"/>
  <c r="N14" i="72" s="1"/>
  <c r="AF25" i="70" l="1"/>
  <c r="AF27" i="70" s="1"/>
  <c r="AF21" i="70"/>
  <c r="L12" i="72" l="1"/>
  <c r="H12" i="72"/>
  <c r="N12" i="72" l="1"/>
  <c r="Q73" i="75" l="1"/>
  <c r="L60" i="75"/>
  <c r="M60" i="75"/>
  <c r="Q66" i="75"/>
  <c r="L17" i="76" l="1"/>
  <c r="T17" i="76" s="1"/>
  <c r="G46" i="71" l="1"/>
  <c r="I46" i="71" s="1"/>
  <c r="H47" i="71"/>
  <c r="G27" i="71"/>
  <c r="H15" i="71"/>
  <c r="I21" i="69"/>
  <c r="I20" i="69"/>
  <c r="I132" i="68"/>
  <c r="N114" i="68"/>
  <c r="I114" i="68"/>
  <c r="I105" i="68"/>
  <c r="I95" i="68"/>
  <c r="P95" i="68" s="1"/>
  <c r="I94" i="68"/>
  <c r="P94" i="68" s="1"/>
  <c r="I86" i="66"/>
  <c r="I17" i="66"/>
  <c r="H66" i="66"/>
  <c r="G66" i="66"/>
  <c r="I95" i="66"/>
  <c r="I93" i="66"/>
  <c r="I81" i="66"/>
  <c r="R81" i="66"/>
  <c r="G82" i="66"/>
  <c r="I82" i="66" s="1"/>
  <c r="Q82" i="66" s="1"/>
  <c r="P73" i="66"/>
  <c r="N73" i="66"/>
  <c r="G77" i="66"/>
  <c r="I77" i="66" s="1"/>
  <c r="Q77" i="66" s="1"/>
  <c r="H75" i="66"/>
  <c r="N70" i="66"/>
  <c r="O68" i="66"/>
  <c r="I68" i="66"/>
  <c r="I62" i="66"/>
  <c r="I63" i="66"/>
  <c r="I64" i="66"/>
  <c r="I61" i="66"/>
  <c r="I39" i="66"/>
  <c r="I38" i="66"/>
  <c r="I27" i="66"/>
  <c r="O23" i="66"/>
  <c r="I23" i="66"/>
  <c r="G22" i="66"/>
  <c r="R22" i="66"/>
  <c r="L108" i="64"/>
  <c r="N147" i="64"/>
  <c r="N171" i="64"/>
  <c r="O217" i="64"/>
  <c r="Q217" i="64" s="1"/>
  <c r="H216" i="64"/>
  <c r="J216" i="64" s="1"/>
  <c r="N188" i="64"/>
  <c r="N187" i="64"/>
  <c r="N197" i="64"/>
  <c r="N196" i="64"/>
  <c r="J173" i="64"/>
  <c r="J174" i="64"/>
  <c r="J175" i="64"/>
  <c r="J176" i="64"/>
  <c r="J177" i="64"/>
  <c r="J178" i="64"/>
  <c r="J179" i="64"/>
  <c r="N151" i="64"/>
  <c r="M99" i="64"/>
  <c r="N90" i="64"/>
  <c r="J78" i="64"/>
  <c r="J74" i="64"/>
  <c r="O76" i="64"/>
  <c r="O77" i="64"/>
  <c r="O78" i="64"/>
  <c r="O79" i="64"/>
  <c r="J77" i="64"/>
  <c r="J79" i="64"/>
  <c r="L59" i="64"/>
  <c r="O59" i="64" s="1"/>
  <c r="M39" i="64"/>
  <c r="G36" i="64"/>
  <c r="M24" i="64"/>
  <c r="Q79" i="64" l="1"/>
  <c r="Q77" i="64"/>
  <c r="Q78" i="64"/>
  <c r="Q68" i="66"/>
  <c r="G45" i="71"/>
  <c r="P114" i="68"/>
  <c r="Q23" i="66"/>
  <c r="O53" i="75" l="1"/>
  <c r="L17" i="42" l="1"/>
  <c r="L23" i="63"/>
  <c r="L22" i="63" s="1"/>
  <c r="J12" i="42" s="1"/>
  <c r="L16" i="63"/>
  <c r="J10" i="42" s="1"/>
  <c r="L13" i="63"/>
  <c r="J13" i="63"/>
  <c r="H21" i="63"/>
  <c r="N21" i="63" s="1"/>
  <c r="H20" i="63"/>
  <c r="H18" i="63"/>
  <c r="H17" i="63"/>
  <c r="H15" i="63"/>
  <c r="N15" i="63" s="1"/>
  <c r="H14" i="63"/>
  <c r="H10" i="63"/>
  <c r="H11" i="63"/>
  <c r="N11" i="63" s="1"/>
  <c r="H12" i="63"/>
  <c r="N12" i="63" s="1"/>
  <c r="H9" i="63"/>
  <c r="H8" i="63" s="1"/>
  <c r="H25" i="63"/>
  <c r="N26" i="63"/>
  <c r="J14" i="42"/>
  <c r="J11" i="42"/>
  <c r="J9" i="42"/>
  <c r="J8" i="42"/>
  <c r="E10" i="42"/>
  <c r="E11" i="42"/>
  <c r="H16" i="63" l="1"/>
  <c r="H13" i="63"/>
  <c r="H19" i="63"/>
  <c r="M17" i="41"/>
  <c r="M12" i="41"/>
  <c r="H17" i="41"/>
  <c r="I17" i="41"/>
  <c r="J17" i="41"/>
  <c r="N38" i="62"/>
  <c r="M14" i="41" s="1"/>
  <c r="M13" i="41"/>
  <c r="N28" i="62"/>
  <c r="K13" i="41"/>
  <c r="H35" i="62"/>
  <c r="I35" i="62"/>
  <c r="H13" i="41" s="1"/>
  <c r="J35" i="62"/>
  <c r="I13" i="41" s="1"/>
  <c r="K35" i="62"/>
  <c r="J13" i="41" s="1"/>
  <c r="F35" i="62"/>
  <c r="E13" i="41" s="1"/>
  <c r="N25" i="62"/>
  <c r="M11" i="41" s="1"/>
  <c r="M10" i="41"/>
  <c r="N12" i="62"/>
  <c r="M9" i="41" s="1"/>
  <c r="N8" i="62"/>
  <c r="N7" i="62" s="1"/>
  <c r="M8" i="41" l="1"/>
  <c r="M7" i="41"/>
  <c r="M15" i="41"/>
  <c r="M16" i="41"/>
  <c r="J7" i="42"/>
  <c r="J15" i="42" s="1"/>
  <c r="AG6" i="40" s="1"/>
  <c r="L27" i="63"/>
  <c r="L33" i="63" s="1"/>
  <c r="O13" i="41"/>
  <c r="M18" i="41"/>
  <c r="AG5" i="40" s="1"/>
  <c r="F13" i="41"/>
  <c r="N46" i="62"/>
  <c r="N51" i="62" s="1"/>
  <c r="L19" i="62"/>
  <c r="P19" i="62" s="1"/>
  <c r="F14" i="62"/>
  <c r="I21" i="74" l="1"/>
  <c r="F21" i="74"/>
  <c r="K38" i="74"/>
  <c r="K39" i="74"/>
  <c r="G38" i="74"/>
  <c r="G39" i="74"/>
  <c r="K33" i="74"/>
  <c r="K34" i="74"/>
  <c r="G33" i="74"/>
  <c r="G34" i="74"/>
  <c r="G24" i="74"/>
  <c r="G25" i="74"/>
  <c r="G26" i="74"/>
  <c r="G27" i="74"/>
  <c r="G28" i="74"/>
  <c r="O28" i="74" s="1"/>
  <c r="G29" i="74"/>
  <c r="G30" i="74"/>
  <c r="K24" i="74"/>
  <c r="K25" i="74"/>
  <c r="K26" i="74"/>
  <c r="K27" i="74"/>
  <c r="K28" i="74"/>
  <c r="K29" i="74"/>
  <c r="K30" i="74"/>
  <c r="K31" i="74"/>
  <c r="G23" i="74"/>
  <c r="K23" i="74"/>
  <c r="O34" i="74" l="1"/>
  <c r="O33" i="74"/>
  <c r="O39" i="74"/>
  <c r="O24" i="74"/>
  <c r="O23" i="74"/>
  <c r="O38" i="74"/>
  <c r="O26" i="74"/>
  <c r="O30" i="74"/>
  <c r="O27" i="74"/>
  <c r="O29" i="74"/>
  <c r="O25" i="74"/>
  <c r="I144" i="65"/>
  <c r="S144" i="65" s="1"/>
  <c r="I145" i="65"/>
  <c r="S145" i="65" s="1"/>
  <c r="I146" i="65"/>
  <c r="S146" i="65" s="1"/>
  <c r="I143" i="65"/>
  <c r="S143" i="65" s="1"/>
  <c r="I142" i="65"/>
  <c r="F91" i="65"/>
  <c r="F85" i="65" s="1"/>
  <c r="H28" i="62" l="1"/>
  <c r="I28" i="62"/>
  <c r="H12" i="41" s="1"/>
  <c r="K28" i="62"/>
  <c r="J12" i="41" s="1"/>
  <c r="L34" i="62"/>
  <c r="P34" i="62" s="1"/>
  <c r="L33" i="62"/>
  <c r="P33" i="62" s="1"/>
  <c r="L32" i="62"/>
  <c r="P32" i="62" s="1"/>
  <c r="J28" i="62"/>
  <c r="I12" i="41" s="1"/>
  <c r="L31" i="62"/>
  <c r="P31" i="62" s="1"/>
  <c r="L30" i="62"/>
  <c r="P30" i="62" s="1"/>
  <c r="L29" i="62"/>
  <c r="K12" i="62"/>
  <c r="J9" i="41" s="1"/>
  <c r="L24" i="62"/>
  <c r="P24" i="62" s="1"/>
  <c r="L23" i="62"/>
  <c r="P23" i="62" s="1"/>
  <c r="L21" i="62"/>
  <c r="P21" i="62" s="1"/>
  <c r="L18" i="62"/>
  <c r="P18" i="62" s="1"/>
  <c r="L17" i="62"/>
  <c r="P17" i="62" s="1"/>
  <c r="L16" i="62"/>
  <c r="P16" i="62" s="1"/>
  <c r="H12" i="62"/>
  <c r="I12" i="62"/>
  <c r="H9" i="41" s="1"/>
  <c r="J12" i="62"/>
  <c r="I9" i="41" s="1"/>
  <c r="F12" i="62"/>
  <c r="L13" i="62"/>
  <c r="L12" i="62" l="1"/>
  <c r="P13" i="62"/>
  <c r="P12" i="62" s="1"/>
  <c r="L28" i="62"/>
  <c r="P29" i="62"/>
  <c r="P28" i="62" s="1"/>
  <c r="F28" i="62"/>
  <c r="I14" i="62"/>
  <c r="H10" i="41" s="1"/>
  <c r="L22" i="62"/>
  <c r="G104" i="66"/>
  <c r="F75" i="68"/>
  <c r="I110" i="68"/>
  <c r="P22" i="62" l="1"/>
  <c r="F111" i="68"/>
  <c r="I111" i="68" s="1"/>
  <c r="F9" i="71"/>
  <c r="I15" i="51" l="1"/>
  <c r="H15" i="51"/>
  <c r="E17" i="41" l="1"/>
  <c r="E14" i="41"/>
  <c r="J20" i="67" l="1"/>
  <c r="J19" i="67"/>
  <c r="I17" i="67"/>
  <c r="J18" i="67" l="1"/>
  <c r="J17" i="67" s="1"/>
  <c r="N18" i="67" l="1"/>
  <c r="F32" i="71" l="1"/>
  <c r="H37" i="71"/>
  <c r="H43" i="71"/>
  <c r="H42" i="71"/>
  <c r="H41" i="71"/>
  <c r="H40" i="71"/>
  <c r="H39" i="71"/>
  <c r="H38" i="71"/>
  <c r="H36" i="71"/>
  <c r="H35" i="71"/>
  <c r="H34" i="71"/>
  <c r="G32" i="71"/>
  <c r="H24" i="71"/>
  <c r="H18" i="71"/>
  <c r="I15" i="69"/>
  <c r="I10" i="69"/>
  <c r="I9" i="69"/>
  <c r="I118" i="68"/>
  <c r="N72" i="68" l="1"/>
  <c r="I72" i="68"/>
  <c r="P132" i="68"/>
  <c r="N99" i="68"/>
  <c r="I99" i="68"/>
  <c r="F99" i="68"/>
  <c r="N97" i="68"/>
  <c r="F97" i="68"/>
  <c r="I93" i="68" s="1"/>
  <c r="P93" i="68" s="1"/>
  <c r="N92" i="68"/>
  <c r="N90" i="68"/>
  <c r="H90" i="68"/>
  <c r="I90" i="68" s="1"/>
  <c r="N78" i="68"/>
  <c r="P78" i="68" s="1"/>
  <c r="I78" i="68"/>
  <c r="N75" i="68"/>
  <c r="I75" i="68"/>
  <c r="N66" i="68"/>
  <c r="F66" i="68"/>
  <c r="I66" i="68" s="1"/>
  <c r="N54" i="68"/>
  <c r="H54" i="68"/>
  <c r="I54" i="68" s="1"/>
  <c r="I50" i="68"/>
  <c r="P50" i="68" s="1"/>
  <c r="I49" i="68"/>
  <c r="K39" i="68"/>
  <c r="N39" i="68" s="1"/>
  <c r="I39" i="68"/>
  <c r="N66" i="66"/>
  <c r="N85" i="66"/>
  <c r="N103" i="66"/>
  <c r="N111" i="66"/>
  <c r="O104" i="66"/>
  <c r="I104" i="66"/>
  <c r="O101" i="66"/>
  <c r="Q101" i="66" s="1"/>
  <c r="O94" i="66"/>
  <c r="Q94" i="66" s="1"/>
  <c r="O89" i="66"/>
  <c r="I89" i="66"/>
  <c r="O88" i="66"/>
  <c r="I88" i="66"/>
  <c r="O87" i="66"/>
  <c r="I87" i="66"/>
  <c r="O81" i="66"/>
  <c r="Q81" i="66" s="1"/>
  <c r="M44" i="66"/>
  <c r="O44" i="66" s="1"/>
  <c r="G44" i="66"/>
  <c r="I44" i="66" s="1"/>
  <c r="Q44" i="66" s="1"/>
  <c r="O36" i="66"/>
  <c r="M36" i="66"/>
  <c r="G36" i="66"/>
  <c r="I36" i="66" s="1"/>
  <c r="O24" i="66"/>
  <c r="I24" i="66"/>
  <c r="I21" i="66"/>
  <c r="O22" i="66"/>
  <c r="I22" i="66"/>
  <c r="I15" i="66"/>
  <c r="O15" i="66"/>
  <c r="M14" i="66"/>
  <c r="O14" i="66" s="1"/>
  <c r="G14" i="66"/>
  <c r="I14" i="66" s="1"/>
  <c r="O183" i="64"/>
  <c r="O170" i="64"/>
  <c r="O169" i="64"/>
  <c r="O168" i="64"/>
  <c r="O167" i="64"/>
  <c r="O166" i="64"/>
  <c r="M165" i="64"/>
  <c r="O165" i="64" s="1"/>
  <c r="Q165" i="64" s="1"/>
  <c r="M164" i="64"/>
  <c r="M163" i="64"/>
  <c r="O163" i="64" s="1"/>
  <c r="Q163" i="64" s="1"/>
  <c r="O162" i="64"/>
  <c r="O161" i="64"/>
  <c r="O160" i="64"/>
  <c r="O159" i="64"/>
  <c r="Q159" i="64" s="1"/>
  <c r="O158" i="64"/>
  <c r="O157" i="64"/>
  <c r="O156" i="64"/>
  <c r="O155" i="64"/>
  <c r="O154" i="64"/>
  <c r="O153" i="64"/>
  <c r="O152" i="64"/>
  <c r="O151" i="64"/>
  <c r="O149" i="64"/>
  <c r="N148" i="64"/>
  <c r="O148" i="64" s="1"/>
  <c r="Q148" i="64" s="1"/>
  <c r="O147" i="64"/>
  <c r="Q147" i="64" s="1"/>
  <c r="O146" i="64"/>
  <c r="O145" i="64"/>
  <c r="N145" i="64" s="1"/>
  <c r="O144" i="64"/>
  <c r="N144" i="64" s="1"/>
  <c r="O143" i="64"/>
  <c r="O142" i="64"/>
  <c r="O141" i="64"/>
  <c r="O140" i="64"/>
  <c r="N41" i="64"/>
  <c r="O216" i="64"/>
  <c r="Q216" i="64" s="1"/>
  <c r="J158" i="64"/>
  <c r="Q158" i="64" s="1"/>
  <c r="G152" i="64"/>
  <c r="J152" i="64" s="1"/>
  <c r="J151" i="64"/>
  <c r="J133" i="64"/>
  <c r="O133" i="64"/>
  <c r="J108" i="64"/>
  <c r="O108" i="64"/>
  <c r="J36" i="64"/>
  <c r="O36" i="64"/>
  <c r="G35" i="64"/>
  <c r="J35" i="64" s="1"/>
  <c r="O164" i="64" l="1"/>
  <c r="Q164" i="64" s="1"/>
  <c r="N139" i="64"/>
  <c r="N138" i="64" s="1"/>
  <c r="Q22" i="66"/>
  <c r="O41" i="64"/>
  <c r="Q41" i="64" s="1"/>
  <c r="Q87" i="66"/>
  <c r="M8" i="66"/>
  <c r="P54" i="68"/>
  <c r="P90" i="68"/>
  <c r="Q108" i="64"/>
  <c r="P99" i="68"/>
  <c r="P49" i="68"/>
  <c r="P39" i="68"/>
  <c r="P66" i="68"/>
  <c r="I97" i="68"/>
  <c r="P97" i="68" s="1"/>
  <c r="P72" i="68"/>
  <c r="Q104" i="66"/>
  <c r="Q88" i="66"/>
  <c r="Q89" i="66"/>
  <c r="Q24" i="66"/>
  <c r="Q36" i="66"/>
  <c r="P75" i="68"/>
  <c r="I92" i="68"/>
  <c r="P92" i="68" s="1"/>
  <c r="Q14" i="66"/>
  <c r="O21" i="66"/>
  <c r="Q21" i="66" s="1"/>
  <c r="Q145" i="64"/>
  <c r="Q152" i="64"/>
  <c r="Q133" i="64"/>
  <c r="Q151" i="64"/>
  <c r="Q144" i="64"/>
  <c r="Q36" i="64"/>
  <c r="S36" i="64" s="1"/>
  <c r="M47" i="65"/>
  <c r="M11" i="65"/>
  <c r="M8" i="65"/>
  <c r="F70" i="65"/>
  <c r="G57" i="65"/>
  <c r="H57" i="65"/>
  <c r="F57" i="65"/>
  <c r="F56" i="65" s="1"/>
  <c r="F44" i="65"/>
  <c r="F43" i="65" s="1"/>
  <c r="K24" i="65"/>
  <c r="G11" i="65"/>
  <c r="H11" i="65"/>
  <c r="F11" i="65"/>
  <c r="G8" i="65"/>
  <c r="H8" i="65"/>
  <c r="O124" i="65"/>
  <c r="O125" i="65"/>
  <c r="O126" i="65"/>
  <c r="O127" i="65"/>
  <c r="O128" i="65"/>
  <c r="O129" i="65"/>
  <c r="O130" i="65"/>
  <c r="I124" i="65"/>
  <c r="I125" i="65"/>
  <c r="S125" i="65" s="1"/>
  <c r="I126" i="65"/>
  <c r="S126" i="65" s="1"/>
  <c r="I127" i="65"/>
  <c r="I128" i="65"/>
  <c r="I129" i="65"/>
  <c r="I130" i="65"/>
  <c r="S130" i="65" s="1"/>
  <c r="I131" i="65"/>
  <c r="O103" i="65"/>
  <c r="O104" i="65"/>
  <c r="O105" i="65"/>
  <c r="I103" i="65"/>
  <c r="I104" i="65"/>
  <c r="I105" i="65"/>
  <c r="O86" i="65"/>
  <c r="O87" i="65"/>
  <c r="O88" i="65"/>
  <c r="O89" i="65"/>
  <c r="O90" i="65"/>
  <c r="O91" i="65"/>
  <c r="O92" i="65"/>
  <c r="I91" i="65"/>
  <c r="S91" i="65" s="1"/>
  <c r="I92" i="65"/>
  <c r="S92" i="65" s="1"/>
  <c r="I86" i="65"/>
  <c r="I87" i="65"/>
  <c r="S87" i="65" s="1"/>
  <c r="I88" i="65"/>
  <c r="S88" i="65" s="1"/>
  <c r="I89" i="65"/>
  <c r="I90" i="65"/>
  <c r="O50" i="65"/>
  <c r="O51" i="65"/>
  <c r="O52" i="65"/>
  <c r="O55" i="65"/>
  <c r="O27" i="65"/>
  <c r="O28" i="65"/>
  <c r="O29" i="65"/>
  <c r="O30" i="65"/>
  <c r="S30" i="65" s="1"/>
  <c r="O31" i="65"/>
  <c r="O32" i="65"/>
  <c r="O33" i="65"/>
  <c r="O34" i="65"/>
  <c r="O35" i="65"/>
  <c r="O26" i="65"/>
  <c r="O23" i="65"/>
  <c r="I33" i="65"/>
  <c r="I26" i="65"/>
  <c r="I27" i="65"/>
  <c r="I28" i="65"/>
  <c r="I29" i="65"/>
  <c r="I31" i="65"/>
  <c r="S31" i="65" s="1"/>
  <c r="I9" i="65"/>
  <c r="I10" i="65"/>
  <c r="O17" i="65"/>
  <c r="O18" i="65"/>
  <c r="O19" i="65"/>
  <c r="O20" i="65"/>
  <c r="I19" i="65"/>
  <c r="O13" i="65"/>
  <c r="O14" i="65"/>
  <c r="O15" i="65"/>
  <c r="O16" i="65"/>
  <c r="I13" i="65"/>
  <c r="I14" i="65"/>
  <c r="I15" i="65"/>
  <c r="I16" i="65"/>
  <c r="S16" i="65" s="1"/>
  <c r="S129" i="65" l="1"/>
  <c r="S27" i="65"/>
  <c r="S89" i="65"/>
  <c r="S124" i="65"/>
  <c r="S19" i="65"/>
  <c r="S29" i="65"/>
  <c r="S86" i="65"/>
  <c r="S15" i="65"/>
  <c r="S28" i="65"/>
  <c r="S14" i="65"/>
  <c r="S105" i="65"/>
  <c r="S13" i="65"/>
  <c r="S26" i="65"/>
  <c r="S104" i="65"/>
  <c r="S128" i="65"/>
  <c r="S33" i="65"/>
  <c r="S90" i="65"/>
  <c r="S103" i="65"/>
  <c r="S127" i="65"/>
  <c r="I8" i="65"/>
  <c r="F7" i="65"/>
  <c r="H7" i="65"/>
  <c r="G7" i="65"/>
  <c r="M7" i="65"/>
  <c r="L29" i="76" l="1"/>
  <c r="T29" i="76" s="1"/>
  <c r="L30" i="76"/>
  <c r="F44" i="62" l="1"/>
  <c r="G44" i="62" s="1"/>
  <c r="P44" i="62" l="1"/>
  <c r="G41" i="62"/>
  <c r="G40" i="62" s="1"/>
  <c r="H55" i="65"/>
  <c r="F51" i="65"/>
  <c r="H47" i="65" l="1"/>
  <c r="F47" i="65"/>
  <c r="F46" i="65" s="1"/>
  <c r="I19" i="42"/>
  <c r="J20" i="63" l="1"/>
  <c r="I33" i="63"/>
  <c r="K33" i="63"/>
  <c r="J18" i="63"/>
  <c r="N18" i="63" s="1"/>
  <c r="J17" i="63"/>
  <c r="J16" i="63" l="1"/>
  <c r="N17" i="63"/>
  <c r="N16" i="63" s="1"/>
  <c r="J19" i="63"/>
  <c r="N20" i="63"/>
  <c r="N19" i="63" s="1"/>
  <c r="Q70" i="75"/>
  <c r="Q65" i="75"/>
  <c r="O63" i="75"/>
  <c r="O60" i="75" s="1"/>
  <c r="Q63" i="75" l="1"/>
  <c r="O52" i="75"/>
  <c r="O51" i="75" s="1"/>
  <c r="M46" i="75"/>
  <c r="Q46" i="75" s="1"/>
  <c r="Q40" i="75"/>
  <c r="I55" i="65" l="1"/>
  <c r="S55" i="65" s="1"/>
  <c r="F114" i="65"/>
  <c r="O93" i="65"/>
  <c r="O94" i="65"/>
  <c r="O95" i="65"/>
  <c r="O96" i="65"/>
  <c r="O97" i="65"/>
  <c r="O98" i="65"/>
  <c r="O99" i="65"/>
  <c r="O100" i="65"/>
  <c r="S100" i="65" s="1"/>
  <c r="O101" i="65"/>
  <c r="O102" i="65"/>
  <c r="O106" i="65"/>
  <c r="O107" i="65"/>
  <c r="O108" i="65"/>
  <c r="O109" i="65"/>
  <c r="I93" i="65"/>
  <c r="I94" i="65"/>
  <c r="I95" i="65"/>
  <c r="I96" i="65"/>
  <c r="I97" i="65"/>
  <c r="I98" i="65"/>
  <c r="I99" i="65"/>
  <c r="S99" i="65" s="1"/>
  <c r="I101" i="65"/>
  <c r="S101" i="65" s="1"/>
  <c r="I102" i="65"/>
  <c r="I106" i="65"/>
  <c r="I107" i="65"/>
  <c r="I108" i="65"/>
  <c r="I109" i="65"/>
  <c r="F66" i="65"/>
  <c r="O67" i="65"/>
  <c r="O68" i="65"/>
  <c r="O69" i="65"/>
  <c r="I68" i="65"/>
  <c r="I69" i="65"/>
  <c r="S69" i="65" s="1"/>
  <c r="I50" i="65"/>
  <c r="S50" i="65" s="1"/>
  <c r="I51" i="65"/>
  <c r="S51" i="65" s="1"/>
  <c r="I52" i="65"/>
  <c r="S52" i="65" s="1"/>
  <c r="S98" i="65" l="1"/>
  <c r="S109" i="65"/>
  <c r="S96" i="65"/>
  <c r="S107" i="65"/>
  <c r="S95" i="65"/>
  <c r="S94" i="65"/>
  <c r="S97" i="65"/>
  <c r="S108" i="65"/>
  <c r="S68" i="65"/>
  <c r="S106" i="65"/>
  <c r="S102" i="65"/>
  <c r="S93" i="65"/>
  <c r="I32" i="65"/>
  <c r="S32" i="65" s="1"/>
  <c r="I34" i="65"/>
  <c r="S34" i="65" s="1"/>
  <c r="I35" i="65"/>
  <c r="S35" i="65" s="1"/>
  <c r="I36" i="65"/>
  <c r="S36" i="65" s="1"/>
  <c r="I17" i="65" l="1"/>
  <c r="S17" i="65" s="1"/>
  <c r="I18" i="65"/>
  <c r="S18" i="65" s="1"/>
  <c r="I20" i="65"/>
  <c r="S20" i="65" s="1"/>
  <c r="O27" i="75" l="1"/>
  <c r="O201" i="64" l="1"/>
  <c r="N201" i="64"/>
  <c r="J201" i="64"/>
  <c r="Q201" i="64" s="1"/>
  <c r="O197" i="64"/>
  <c r="J197" i="64"/>
  <c r="O188" i="64"/>
  <c r="J188" i="64"/>
  <c r="O187" i="64"/>
  <c r="J187" i="64"/>
  <c r="Q187" i="64" l="1"/>
  <c r="Q188" i="64"/>
  <c r="Q197" i="64"/>
  <c r="N73" i="68" l="1"/>
  <c r="I73" i="68"/>
  <c r="P73" i="68" s="1"/>
  <c r="H73" i="66"/>
  <c r="H72" i="66" s="1"/>
  <c r="O98" i="66"/>
  <c r="Q98" i="66" s="1"/>
  <c r="O75" i="66"/>
  <c r="I75" i="66"/>
  <c r="Q75" i="66" s="1"/>
  <c r="O69" i="66"/>
  <c r="Q69" i="66" s="1"/>
  <c r="G155" i="64"/>
  <c r="J155" i="64" s="1"/>
  <c r="Q155" i="64" s="1"/>
  <c r="O177" i="64"/>
  <c r="Q177" i="64" s="1"/>
  <c r="O176" i="64"/>
  <c r="Q176" i="64"/>
  <c r="O134" i="64"/>
  <c r="J134" i="64"/>
  <c r="O132" i="64"/>
  <c r="J132" i="64"/>
  <c r="F109" i="64"/>
  <c r="O109" i="64"/>
  <c r="Q109" i="64" s="1"/>
  <c r="J135" i="64"/>
  <c r="H135" i="64" s="1"/>
  <c r="O135" i="64"/>
  <c r="Q135" i="64" s="1"/>
  <c r="O71" i="64"/>
  <c r="G71" i="64"/>
  <c r="J71" i="64" s="1"/>
  <c r="O31" i="64"/>
  <c r="J31" i="64"/>
  <c r="J2" i="64"/>
  <c r="H8" i="64"/>
  <c r="H7" i="64" s="1"/>
  <c r="I8" i="64"/>
  <c r="I7" i="64" s="1"/>
  <c r="L8" i="64"/>
  <c r="L7" i="64" s="1"/>
  <c r="M8" i="64"/>
  <c r="M7" i="64" s="1"/>
  <c r="N8" i="64"/>
  <c r="N7" i="64" s="1"/>
  <c r="J9" i="64"/>
  <c r="O9" i="64"/>
  <c r="J10" i="64"/>
  <c r="O10" i="64"/>
  <c r="G11" i="64"/>
  <c r="O11" i="64"/>
  <c r="Q11" i="64" s="1"/>
  <c r="G12" i="64"/>
  <c r="O12" i="64"/>
  <c r="Q12" i="64" s="1"/>
  <c r="J13" i="64"/>
  <c r="O13" i="64"/>
  <c r="O14" i="64"/>
  <c r="Q14" i="64" s="1"/>
  <c r="E16" i="64"/>
  <c r="F16" i="64"/>
  <c r="F15" i="64" s="1"/>
  <c r="G16" i="64"/>
  <c r="G15" i="64" s="1"/>
  <c r="I16" i="64"/>
  <c r="I15" i="64" s="1"/>
  <c r="L16" i="64"/>
  <c r="L15" i="64" s="1"/>
  <c r="M16" i="64"/>
  <c r="M15" i="64" s="1"/>
  <c r="N16" i="64"/>
  <c r="N15" i="64" s="1"/>
  <c r="O17" i="64"/>
  <c r="O18" i="64"/>
  <c r="O19" i="64"/>
  <c r="Q19" i="64" s="1"/>
  <c r="O20" i="64"/>
  <c r="Q20" i="64" s="1"/>
  <c r="I22" i="64"/>
  <c r="I21" i="64" s="1"/>
  <c r="M22" i="64"/>
  <c r="M21" i="64" s="1"/>
  <c r="O23" i="64"/>
  <c r="O24" i="64"/>
  <c r="Q24" i="64" s="1"/>
  <c r="O25" i="64"/>
  <c r="Q25" i="64" s="1"/>
  <c r="J26" i="64"/>
  <c r="O26" i="64"/>
  <c r="J27" i="64"/>
  <c r="O27" i="64"/>
  <c r="O28" i="64"/>
  <c r="Q28" i="64" s="1"/>
  <c r="O29" i="64"/>
  <c r="Q29" i="64" s="1"/>
  <c r="J30" i="64"/>
  <c r="G30" i="64" s="1"/>
  <c r="O30" i="64"/>
  <c r="J32" i="64"/>
  <c r="O32" i="64"/>
  <c r="J33" i="64"/>
  <c r="O33" i="64"/>
  <c r="Q33" i="64" s="1"/>
  <c r="J34" i="64"/>
  <c r="G34" i="64" s="1"/>
  <c r="O34" i="64"/>
  <c r="O35" i="64"/>
  <c r="Q35" i="64" s="1"/>
  <c r="J37" i="64"/>
  <c r="O37" i="64"/>
  <c r="J38" i="64"/>
  <c r="G38" i="64" s="1"/>
  <c r="O38" i="64"/>
  <c r="O39" i="64"/>
  <c r="Q39" i="64" s="1"/>
  <c r="G40" i="64"/>
  <c r="J40" i="64" s="1"/>
  <c r="O40" i="64"/>
  <c r="J42" i="64"/>
  <c r="O42" i="64"/>
  <c r="F43" i="64"/>
  <c r="F22" i="64" s="1"/>
  <c r="F21" i="64" s="1"/>
  <c r="O43" i="64"/>
  <c r="J44" i="64"/>
  <c r="O44" i="64"/>
  <c r="J45" i="64"/>
  <c r="O45" i="64"/>
  <c r="J47" i="64"/>
  <c r="O47" i="64"/>
  <c r="J48" i="64"/>
  <c r="O48" i="64"/>
  <c r="J49" i="64"/>
  <c r="O49" i="64"/>
  <c r="O50" i="64"/>
  <c r="Q50" i="64" s="1"/>
  <c r="O51" i="64"/>
  <c r="Q51" i="64" s="1"/>
  <c r="J52" i="64"/>
  <c r="O52" i="64"/>
  <c r="J53" i="64"/>
  <c r="O53" i="64"/>
  <c r="J54" i="64"/>
  <c r="O54" i="64"/>
  <c r="J55" i="64"/>
  <c r="O55" i="64"/>
  <c r="J56" i="64"/>
  <c r="O56" i="64"/>
  <c r="J57" i="64"/>
  <c r="O57" i="64"/>
  <c r="O58" i="64"/>
  <c r="Q58" i="64" s="1"/>
  <c r="J60" i="64"/>
  <c r="O60" i="64"/>
  <c r="J61" i="64"/>
  <c r="O61" i="64"/>
  <c r="J62" i="64"/>
  <c r="O62" i="64"/>
  <c r="J63" i="64"/>
  <c r="G63" i="64" s="1"/>
  <c r="O63" i="64"/>
  <c r="J64" i="64"/>
  <c r="O64" i="64"/>
  <c r="O65" i="64"/>
  <c r="Q65" i="64" s="1"/>
  <c r="O66" i="64"/>
  <c r="Q66" i="64" s="1"/>
  <c r="J67" i="64"/>
  <c r="O67" i="64"/>
  <c r="J68" i="64"/>
  <c r="O68" i="64"/>
  <c r="J69" i="64"/>
  <c r="H69" i="64" s="1"/>
  <c r="H22" i="64" s="1"/>
  <c r="H21" i="64" s="1"/>
  <c r="O69" i="64"/>
  <c r="O70" i="64"/>
  <c r="Q70" i="64" s="1"/>
  <c r="O72" i="64"/>
  <c r="Q72" i="64" s="1"/>
  <c r="O73" i="64"/>
  <c r="Q73" i="64" s="1"/>
  <c r="O74" i="64"/>
  <c r="J75" i="64"/>
  <c r="O75" i="64"/>
  <c r="G76" i="64"/>
  <c r="J76" i="64" s="1"/>
  <c r="Q76" i="64" s="1"/>
  <c r="O80" i="64"/>
  <c r="Q80" i="64" s="1"/>
  <c r="O81" i="64"/>
  <c r="Q81" i="64" s="1"/>
  <c r="O82" i="64"/>
  <c r="Q82" i="64" s="1"/>
  <c r="F83" i="64"/>
  <c r="E84" i="64"/>
  <c r="F84" i="64"/>
  <c r="G84" i="64"/>
  <c r="G83" i="64" s="1"/>
  <c r="H84" i="64"/>
  <c r="H83" i="64" s="1"/>
  <c r="I84" i="64"/>
  <c r="I83" i="64" s="1"/>
  <c r="J84" i="64"/>
  <c r="J83" i="64" s="1"/>
  <c r="L84" i="64"/>
  <c r="L83" i="64" s="1"/>
  <c r="M84" i="64"/>
  <c r="M83" i="64" s="1"/>
  <c r="N84" i="64"/>
  <c r="N83" i="64" s="1"/>
  <c r="O85" i="64"/>
  <c r="Q85" i="64" s="1"/>
  <c r="O86" i="64"/>
  <c r="Q86" i="64" s="1"/>
  <c r="O87" i="64"/>
  <c r="Q87" i="64" s="1"/>
  <c r="E89" i="64"/>
  <c r="I89" i="64"/>
  <c r="L89" i="64"/>
  <c r="M89" i="64"/>
  <c r="N89" i="64"/>
  <c r="O90" i="64"/>
  <c r="Q90" i="64" s="1"/>
  <c r="O91" i="64"/>
  <c r="Q91" i="64" s="1"/>
  <c r="J92" i="64"/>
  <c r="O92" i="64"/>
  <c r="O93" i="64"/>
  <c r="Q93" i="64" s="1"/>
  <c r="O94" i="64"/>
  <c r="Q94" i="64" s="1"/>
  <c r="O95" i="64"/>
  <c r="Q95" i="64" s="1"/>
  <c r="O96" i="64"/>
  <c r="Q96" i="64" s="1"/>
  <c r="O97" i="64"/>
  <c r="Q97" i="64" s="1"/>
  <c r="Q98" i="64"/>
  <c r="O99" i="64"/>
  <c r="Q99" i="64" s="1"/>
  <c r="G100" i="64"/>
  <c r="O100" i="64"/>
  <c r="Q100" i="64" s="1"/>
  <c r="O101" i="64"/>
  <c r="Q101" i="64" s="1"/>
  <c r="O102" i="64"/>
  <c r="Q102" i="64" s="1"/>
  <c r="O103" i="64"/>
  <c r="Q103" i="64" s="1"/>
  <c r="G104" i="64"/>
  <c r="O104" i="64"/>
  <c r="Q104" i="64" s="1"/>
  <c r="F105" i="64"/>
  <c r="O105" i="64"/>
  <c r="Q105" i="64" s="1"/>
  <c r="O107" i="64"/>
  <c r="Q107" i="64" s="1"/>
  <c r="O110" i="64"/>
  <c r="Q110" i="64" s="1"/>
  <c r="G111" i="64"/>
  <c r="O111" i="64"/>
  <c r="Q111" i="64" s="1"/>
  <c r="F113" i="64"/>
  <c r="F110" i="64" s="1"/>
  <c r="O113" i="64"/>
  <c r="Q113" i="64" s="1"/>
  <c r="J114" i="64"/>
  <c r="O114" i="64"/>
  <c r="J115" i="64"/>
  <c r="O115" i="64"/>
  <c r="G116" i="64"/>
  <c r="O116" i="64"/>
  <c r="Q116" i="64" s="1"/>
  <c r="G117" i="64"/>
  <c r="H117" i="64"/>
  <c r="J117" i="64" s="1"/>
  <c r="O117" i="64"/>
  <c r="G118" i="64"/>
  <c r="O118" i="64"/>
  <c r="Q118" i="64" s="1"/>
  <c r="G119" i="64"/>
  <c r="O119" i="64"/>
  <c r="Q119" i="64" s="1"/>
  <c r="G120" i="64"/>
  <c r="O120" i="64"/>
  <c r="Q120" i="64" s="1"/>
  <c r="J121" i="64"/>
  <c r="O121" i="64"/>
  <c r="G122" i="64"/>
  <c r="O122" i="64"/>
  <c r="Q122" i="64" s="1"/>
  <c r="H123" i="64"/>
  <c r="O123" i="64"/>
  <c r="Q123" i="64" s="1"/>
  <c r="G124" i="64"/>
  <c r="O124" i="64"/>
  <c r="Q124" i="64" s="1"/>
  <c r="O125" i="64"/>
  <c r="Q125" i="64" s="1"/>
  <c r="O126" i="64"/>
  <c r="Q126" i="64" s="1"/>
  <c r="J127" i="64"/>
  <c r="O127" i="64"/>
  <c r="Q127" i="64" s="1"/>
  <c r="F128" i="64"/>
  <c r="G128" i="64"/>
  <c r="I128" i="64"/>
  <c r="L128" i="64"/>
  <c r="M128" i="64"/>
  <c r="N128" i="64"/>
  <c r="J129" i="64"/>
  <c r="H129" i="64" s="1"/>
  <c r="O129" i="64"/>
  <c r="J130" i="64"/>
  <c r="O130" i="64"/>
  <c r="J131" i="64"/>
  <c r="O131" i="64"/>
  <c r="J136" i="64"/>
  <c r="H136" i="64" s="1"/>
  <c r="O136" i="64"/>
  <c r="O137" i="64"/>
  <c r="Q137" i="64" s="1"/>
  <c r="F139" i="64"/>
  <c r="H139" i="64"/>
  <c r="I139" i="64"/>
  <c r="L139" i="64"/>
  <c r="M139" i="64"/>
  <c r="J140" i="64"/>
  <c r="J141" i="64"/>
  <c r="G141" i="64" s="1"/>
  <c r="J142" i="64"/>
  <c r="J143" i="64"/>
  <c r="G143" i="64" s="1"/>
  <c r="Q146" i="64"/>
  <c r="J149" i="64"/>
  <c r="J153" i="64"/>
  <c r="Q153" i="64"/>
  <c r="J154" i="64"/>
  <c r="J156" i="64"/>
  <c r="Q157" i="64"/>
  <c r="J160" i="64"/>
  <c r="G160" i="64" s="1"/>
  <c r="J161" i="64"/>
  <c r="G161" i="64" s="1"/>
  <c r="J162" i="64"/>
  <c r="Q166" i="64"/>
  <c r="G167" i="64"/>
  <c r="J167" i="64" s="1"/>
  <c r="G168" i="64"/>
  <c r="J168" i="64"/>
  <c r="Q168" i="64"/>
  <c r="Q169" i="64"/>
  <c r="Q170" i="64"/>
  <c r="F171" i="64"/>
  <c r="G171" i="64"/>
  <c r="I171" i="64"/>
  <c r="L171" i="64"/>
  <c r="M171" i="64"/>
  <c r="J172" i="64"/>
  <c r="O172" i="64"/>
  <c r="O173" i="64"/>
  <c r="O174" i="64"/>
  <c r="O175" i="64"/>
  <c r="O178" i="64"/>
  <c r="Q178" i="64" s="1"/>
  <c r="O179" i="64"/>
  <c r="Q179" i="64" s="1"/>
  <c r="O180" i="64"/>
  <c r="Q180" i="64" s="1"/>
  <c r="J182" i="64"/>
  <c r="L182" i="64"/>
  <c r="M182" i="64"/>
  <c r="N182" i="64"/>
  <c r="Q183" i="64"/>
  <c r="O184" i="64"/>
  <c r="Q184" i="64" s="1"/>
  <c r="O185" i="64"/>
  <c r="Q185" i="64" s="1"/>
  <c r="L186" i="64"/>
  <c r="M186" i="64"/>
  <c r="N186" i="64"/>
  <c r="J189" i="64"/>
  <c r="O189" i="64"/>
  <c r="J191" i="64"/>
  <c r="L191" i="64"/>
  <c r="M191" i="64"/>
  <c r="N191" i="64"/>
  <c r="O192" i="64"/>
  <c r="O193" i="64"/>
  <c r="Q193" i="64" s="1"/>
  <c r="O194" i="64"/>
  <c r="Q194" i="64" s="1"/>
  <c r="L195" i="64"/>
  <c r="M195" i="64"/>
  <c r="N195" i="64"/>
  <c r="J196" i="64"/>
  <c r="O196" i="64"/>
  <c r="O198" i="64"/>
  <c r="Q198" i="64"/>
  <c r="L200" i="64"/>
  <c r="M200" i="64"/>
  <c r="N200" i="64"/>
  <c r="O202" i="64"/>
  <c r="Q202" i="64" s="1"/>
  <c r="O203" i="64"/>
  <c r="Q203" i="64" s="1"/>
  <c r="F205" i="64"/>
  <c r="F204" i="64" s="1"/>
  <c r="G205" i="64"/>
  <c r="G204" i="64" s="1"/>
  <c r="I205" i="64"/>
  <c r="I204" i="64" s="1"/>
  <c r="J205" i="64"/>
  <c r="J204" i="64" s="1"/>
  <c r="L205" i="64"/>
  <c r="L204" i="64" s="1"/>
  <c r="M205" i="64"/>
  <c r="M204" i="64" s="1"/>
  <c r="N205" i="64"/>
  <c r="N204" i="64" s="1"/>
  <c r="H206" i="64"/>
  <c r="O206" i="64"/>
  <c r="Q206" i="64" s="1"/>
  <c r="H207" i="64"/>
  <c r="O207" i="64"/>
  <c r="Q207" i="64" s="1"/>
  <c r="O208" i="64"/>
  <c r="Q208" i="64" s="1"/>
  <c r="F210" i="64"/>
  <c r="F209" i="64" s="1"/>
  <c r="G210" i="64"/>
  <c r="G209" i="64" s="1"/>
  <c r="H210" i="64"/>
  <c r="H209" i="64" s="1"/>
  <c r="I210" i="64"/>
  <c r="I209" i="64" s="1"/>
  <c r="L210" i="64"/>
  <c r="L209" i="64" s="1"/>
  <c r="M210" i="64"/>
  <c r="M209" i="64" s="1"/>
  <c r="N210" i="64"/>
  <c r="N209" i="64" s="1"/>
  <c r="J211" i="64"/>
  <c r="J210" i="64" s="1"/>
  <c r="J209" i="64" s="1"/>
  <c r="O211" i="64"/>
  <c r="O212" i="64"/>
  <c r="Q212" i="64" s="1"/>
  <c r="O213" i="64"/>
  <c r="Q213" i="64" s="1"/>
  <c r="F215" i="64"/>
  <c r="F214" i="64" s="1"/>
  <c r="G215" i="64"/>
  <c r="G214" i="64" s="1"/>
  <c r="I215" i="64"/>
  <c r="I214" i="64" s="1"/>
  <c r="L215" i="64"/>
  <c r="L214" i="64" s="1"/>
  <c r="M215" i="64"/>
  <c r="M214" i="64" s="1"/>
  <c r="N215" i="64"/>
  <c r="N214" i="64" s="1"/>
  <c r="H215" i="64"/>
  <c r="H214" i="64" s="1"/>
  <c r="O215" i="64"/>
  <c r="O214" i="64" s="1"/>
  <c r="M199" i="64" l="1"/>
  <c r="L28" i="43"/>
  <c r="Q63" i="64"/>
  <c r="Q61" i="64"/>
  <c r="Q38" i="64"/>
  <c r="N199" i="64"/>
  <c r="M28" i="43"/>
  <c r="L199" i="64"/>
  <c r="K28" i="43"/>
  <c r="Q161" i="64"/>
  <c r="Q32" i="64"/>
  <c r="Q26" i="64"/>
  <c r="H130" i="64"/>
  <c r="J128" i="64"/>
  <c r="M181" i="64"/>
  <c r="Q160" i="64"/>
  <c r="G89" i="64"/>
  <c r="Q189" i="64"/>
  <c r="J89" i="64"/>
  <c r="H89" i="64"/>
  <c r="Q47" i="64"/>
  <c r="Q42" i="64"/>
  <c r="Q172" i="64"/>
  <c r="Q174" i="64"/>
  <c r="N190" i="64"/>
  <c r="Q56" i="64"/>
  <c r="L190" i="64"/>
  <c r="L181" i="64"/>
  <c r="L138" i="64"/>
  <c r="H171" i="64"/>
  <c r="H138" i="64" s="1"/>
  <c r="O191" i="64"/>
  <c r="J195" i="64"/>
  <c r="J190" i="64" s="1"/>
  <c r="Q156" i="64"/>
  <c r="Q140" i="64"/>
  <c r="Q121" i="64"/>
  <c r="Q115" i="64"/>
  <c r="Q64" i="64"/>
  <c r="G56" i="64"/>
  <c r="J200" i="64"/>
  <c r="J199" i="64" s="1"/>
  <c r="M190" i="64"/>
  <c r="Q143" i="64"/>
  <c r="M138" i="64"/>
  <c r="Q75" i="64"/>
  <c r="Q55" i="64"/>
  <c r="Q37" i="64"/>
  <c r="Q13" i="64"/>
  <c r="Q134" i="64"/>
  <c r="J171" i="64"/>
  <c r="Q205" i="64"/>
  <c r="Q204" i="64" s="1"/>
  <c r="O186" i="64"/>
  <c r="Q173" i="64"/>
  <c r="I138" i="64"/>
  <c r="Q57" i="64"/>
  <c r="J8" i="64"/>
  <c r="J7" i="64" s="1"/>
  <c r="Q31" i="64"/>
  <c r="H205" i="64"/>
  <c r="H204" i="64" s="1"/>
  <c r="O195" i="64"/>
  <c r="J186" i="64"/>
  <c r="J181" i="64" s="1"/>
  <c r="O182" i="64"/>
  <c r="Q154" i="64"/>
  <c r="Q34" i="64"/>
  <c r="Q175" i="64"/>
  <c r="O210" i="64"/>
  <c r="O209" i="64" s="1"/>
  <c r="J215" i="64"/>
  <c r="J214" i="64" s="1"/>
  <c r="N181" i="64"/>
  <c r="O171" i="64"/>
  <c r="Q162" i="64"/>
  <c r="Q141" i="64"/>
  <c r="F138" i="64"/>
  <c r="Q53" i="64"/>
  <c r="Q48" i="64"/>
  <c r="Q132" i="64"/>
  <c r="Q68" i="64"/>
  <c r="H134" i="64"/>
  <c r="Q167" i="64"/>
  <c r="H132" i="64"/>
  <c r="Q10" i="64"/>
  <c r="Q92" i="64"/>
  <c r="Q67" i="64"/>
  <c r="O8" i="64"/>
  <c r="O7" i="64" s="1"/>
  <c r="Q182" i="64"/>
  <c r="Q131" i="64"/>
  <c r="Q117" i="64"/>
  <c r="Q18" i="64"/>
  <c r="Q142" i="64"/>
  <c r="H131" i="64"/>
  <c r="Q114" i="64"/>
  <c r="Q84" i="64"/>
  <c r="Q83" i="64" s="1"/>
  <c r="Q62" i="64"/>
  <c r="O16" i="64"/>
  <c r="O15" i="64" s="1"/>
  <c r="Q130" i="64"/>
  <c r="Q54" i="64"/>
  <c r="O89" i="64"/>
  <c r="O128" i="64"/>
  <c r="Q74" i="64"/>
  <c r="Q49" i="64"/>
  <c r="Q45" i="64"/>
  <c r="O139" i="64"/>
  <c r="O138" i="64" s="1"/>
  <c r="Q60" i="64"/>
  <c r="Q44" i="64"/>
  <c r="Q136" i="64"/>
  <c r="Q52" i="64"/>
  <c r="Q40" i="64"/>
  <c r="Q71" i="64"/>
  <c r="G88" i="64"/>
  <c r="N88" i="64"/>
  <c r="M88" i="64"/>
  <c r="L88" i="64"/>
  <c r="I88" i="64"/>
  <c r="F89" i="64"/>
  <c r="F88" i="64" s="1"/>
  <c r="Q149" i="64"/>
  <c r="J139" i="64"/>
  <c r="Q200" i="64"/>
  <c r="Q199" i="64" s="1"/>
  <c r="Q211" i="64"/>
  <c r="Q210" i="64" s="1"/>
  <c r="Q209" i="64" s="1"/>
  <c r="O205" i="64"/>
  <c r="O204" i="64" s="1"/>
  <c r="Q192" i="64"/>
  <c r="Q191" i="64" s="1"/>
  <c r="G142" i="64"/>
  <c r="G140" i="64"/>
  <c r="G139" i="64" s="1"/>
  <c r="G138" i="64" s="1"/>
  <c r="O84" i="64"/>
  <c r="O83" i="64" s="1"/>
  <c r="Q69" i="64"/>
  <c r="G62" i="64"/>
  <c r="G54" i="64"/>
  <c r="Q30" i="64"/>
  <c r="Q27" i="64"/>
  <c r="Q17" i="64"/>
  <c r="Q9" i="64"/>
  <c r="J16" i="64"/>
  <c r="J15" i="64" s="1"/>
  <c r="G52" i="64"/>
  <c r="H16" i="64"/>
  <c r="H15" i="64" s="1"/>
  <c r="G8" i="64"/>
  <c r="G7" i="64" s="1"/>
  <c r="Q23" i="64"/>
  <c r="O200" i="64"/>
  <c r="Q196" i="64"/>
  <c r="Q195" i="64" s="1"/>
  <c r="Q129" i="64"/>
  <c r="Q215" i="64"/>
  <c r="Q214" i="64" s="1"/>
  <c r="Q186" i="64"/>
  <c r="J43" i="64"/>
  <c r="Q43" i="64" s="1"/>
  <c r="O199" i="64" l="1"/>
  <c r="N28" i="43"/>
  <c r="Q171" i="64"/>
  <c r="H128" i="64"/>
  <c r="H88" i="64" s="1"/>
  <c r="H218" i="64" s="1"/>
  <c r="H222" i="64" s="1"/>
  <c r="O181" i="64"/>
  <c r="Q181" i="64"/>
  <c r="F218" i="64"/>
  <c r="F222" i="64" s="1"/>
  <c r="M218" i="64"/>
  <c r="M222" i="64" s="1"/>
  <c r="I218" i="64"/>
  <c r="I222" i="64" s="1"/>
  <c r="Q8" i="64"/>
  <c r="Q7" i="64" s="1"/>
  <c r="J138" i="64"/>
  <c r="O190" i="64"/>
  <c r="Q139" i="64"/>
  <c r="J88" i="64"/>
  <c r="O88" i="64"/>
  <c r="Q128" i="64"/>
  <c r="Q16" i="64"/>
  <c r="Q15" i="64" s="1"/>
  <c r="Q89" i="64"/>
  <c r="G22" i="64"/>
  <c r="G21" i="64" s="1"/>
  <c r="G218" i="64" s="1"/>
  <c r="G222" i="64" s="1"/>
  <c r="J22" i="64"/>
  <c r="J21" i="64" s="1"/>
  <c r="Q190" i="64"/>
  <c r="Q138" i="64" l="1"/>
  <c r="J218" i="64"/>
  <c r="J222" i="64" s="1"/>
  <c r="Q88" i="64"/>
  <c r="G52" i="74" l="1"/>
  <c r="O52" i="74" s="1"/>
  <c r="G53" i="74"/>
  <c r="O53" i="74" s="1"/>
  <c r="G47" i="74"/>
  <c r="L15" i="51"/>
  <c r="L14" i="51"/>
  <c r="M54" i="74"/>
  <c r="L13" i="51" s="1"/>
  <c r="M51" i="74"/>
  <c r="L12" i="51" s="1"/>
  <c r="M46" i="74"/>
  <c r="L11" i="51" s="1"/>
  <c r="M43" i="74"/>
  <c r="L10" i="51" s="1"/>
  <c r="L9" i="51"/>
  <c r="M8" i="74"/>
  <c r="L8" i="51" s="1"/>
  <c r="J54" i="74"/>
  <c r="G56" i="74"/>
  <c r="G55" i="74"/>
  <c r="G10" i="74"/>
  <c r="G11" i="74"/>
  <c r="G12" i="74"/>
  <c r="G13" i="74"/>
  <c r="G14" i="74"/>
  <c r="G15" i="74"/>
  <c r="G17" i="74"/>
  <c r="G18" i="74"/>
  <c r="G19" i="74"/>
  <c r="G20" i="74"/>
  <c r="G9" i="74"/>
  <c r="G31" i="74"/>
  <c r="G32" i="74"/>
  <c r="G45" i="74"/>
  <c r="G49" i="74"/>
  <c r="G48" i="74"/>
  <c r="G46" i="74" l="1"/>
  <c r="O31" i="74"/>
  <c r="G51" i="74"/>
  <c r="M7" i="74"/>
  <c r="L7" i="51" s="1"/>
  <c r="G54" i="74"/>
  <c r="O51" i="74"/>
  <c r="O21" i="75"/>
  <c r="O9" i="75" s="1"/>
  <c r="M57" i="74" l="1"/>
  <c r="L16" i="51" s="1"/>
  <c r="AG19" i="40" s="1"/>
  <c r="AG21" i="40" s="1"/>
  <c r="AG23" i="40" s="1"/>
  <c r="O28" i="75"/>
  <c r="L21" i="45" l="1"/>
  <c r="J21" i="45"/>
  <c r="M118" i="66"/>
  <c r="K118" i="66"/>
  <c r="H15" i="76" l="1"/>
  <c r="I15" i="76"/>
  <c r="I14" i="76" s="1"/>
  <c r="K15" i="76"/>
  <c r="K14" i="76" s="1"/>
  <c r="K118" i="68"/>
  <c r="M42" i="68"/>
  <c r="F19" i="71" l="1"/>
  <c r="H19" i="71" s="1"/>
  <c r="G10" i="71"/>
  <c r="O20" i="66" l="1"/>
  <c r="L7" i="48" l="1"/>
  <c r="L8" i="48"/>
  <c r="L9" i="48"/>
  <c r="L10" i="48"/>
  <c r="L11" i="48"/>
  <c r="L12" i="48"/>
  <c r="L13" i="48"/>
  <c r="L17" i="48"/>
  <c r="I25" i="69"/>
  <c r="M38" i="68"/>
  <c r="L18" i="48" s="1"/>
  <c r="M121" i="68"/>
  <c r="N118" i="68"/>
  <c r="P118" i="68" s="1"/>
  <c r="I115" i="68"/>
  <c r="I116" i="68"/>
  <c r="I117" i="68"/>
  <c r="I119" i="68"/>
  <c r="N115" i="68"/>
  <c r="L19" i="48"/>
  <c r="N96" i="68"/>
  <c r="N98" i="68"/>
  <c r="N100" i="68"/>
  <c r="N101" i="68"/>
  <c r="P101" i="68" s="1"/>
  <c r="N102" i="68"/>
  <c r="N103" i="68"/>
  <c r="N104" i="68"/>
  <c r="N105" i="68"/>
  <c r="N106" i="68"/>
  <c r="N107" i="68"/>
  <c r="N108" i="68"/>
  <c r="N109" i="68"/>
  <c r="N91" i="68"/>
  <c r="P91" i="68" s="1"/>
  <c r="I106" i="68"/>
  <c r="N74" i="68"/>
  <c r="N76" i="68"/>
  <c r="N77" i="68"/>
  <c r="N79" i="68"/>
  <c r="N61" i="68"/>
  <c r="N18" i="66"/>
  <c r="N8" i="66" s="1"/>
  <c r="I16" i="66"/>
  <c r="N113" i="68" l="1"/>
  <c r="P115" i="68"/>
  <c r="P106" i="68"/>
  <c r="M33" i="68"/>
  <c r="L16" i="48" s="1"/>
  <c r="M139" i="68" l="1"/>
  <c r="L25" i="48" l="1"/>
  <c r="X12" i="40" s="1"/>
  <c r="M143" i="68"/>
  <c r="O38" i="75" l="1"/>
  <c r="O37" i="75" l="1"/>
  <c r="O36" i="75" s="1"/>
  <c r="Q39" i="75"/>
  <c r="L36" i="76" l="1"/>
  <c r="T36" i="76" s="1"/>
  <c r="T35" i="76" s="1"/>
  <c r="R35" i="76"/>
  <c r="P35" i="76"/>
  <c r="O35" i="76"/>
  <c r="N35" i="76"/>
  <c r="K35" i="76"/>
  <c r="J35" i="76"/>
  <c r="I35" i="76"/>
  <c r="H35" i="76"/>
  <c r="R32" i="76"/>
  <c r="L32" i="76"/>
  <c r="R31" i="76"/>
  <c r="L31" i="76"/>
  <c r="R30" i="76"/>
  <c r="T30" i="76" s="1"/>
  <c r="R28" i="76"/>
  <c r="L28" i="76"/>
  <c r="T28" i="76" s="1"/>
  <c r="R27" i="76"/>
  <c r="L27" i="76"/>
  <c r="T27" i="76" s="1"/>
  <c r="R26" i="76"/>
  <c r="L26" i="76"/>
  <c r="G26" i="76"/>
  <c r="R25" i="76"/>
  <c r="L25" i="76"/>
  <c r="F25" i="76"/>
  <c r="R24" i="76"/>
  <c r="L24" i="76"/>
  <c r="T24" i="76" s="1"/>
  <c r="G24" i="76"/>
  <c r="R23" i="76"/>
  <c r="H23" i="76"/>
  <c r="L23" i="76" s="1"/>
  <c r="T23" i="76" s="1"/>
  <c r="R22" i="76"/>
  <c r="L22" i="76"/>
  <c r="R21" i="76"/>
  <c r="L21" i="76"/>
  <c r="T21" i="76" s="1"/>
  <c r="R20" i="76"/>
  <c r="L20" i="76"/>
  <c r="R19" i="76"/>
  <c r="L19" i="76"/>
  <c r="T19" i="76" s="1"/>
  <c r="R18" i="76"/>
  <c r="R16" i="76"/>
  <c r="R15" i="76"/>
  <c r="P13" i="76"/>
  <c r="O13" i="76"/>
  <c r="G10" i="47"/>
  <c r="J13" i="76"/>
  <c r="T12" i="76"/>
  <c r="R11" i="76"/>
  <c r="G11" i="76"/>
  <c r="R10" i="76"/>
  <c r="H10" i="76"/>
  <c r="G10" i="76"/>
  <c r="R9" i="76"/>
  <c r="L9" i="76"/>
  <c r="P8" i="76"/>
  <c r="P7" i="76" s="1"/>
  <c r="O8" i="76"/>
  <c r="O7" i="76" s="1"/>
  <c r="N8" i="76"/>
  <c r="K8" i="76"/>
  <c r="K7" i="76" s="1"/>
  <c r="J8" i="76"/>
  <c r="G8" i="47" s="1"/>
  <c r="G7" i="47" s="1"/>
  <c r="I8" i="76"/>
  <c r="N7" i="76"/>
  <c r="T26" i="76" l="1"/>
  <c r="L14" i="76"/>
  <c r="L13" i="76" s="1"/>
  <c r="L37" i="76" s="1"/>
  <c r="H11" i="76"/>
  <c r="L11" i="76" s="1"/>
  <c r="T11" i="76" s="1"/>
  <c r="I7" i="76"/>
  <c r="F8" i="47"/>
  <c r="F7" i="47" s="1"/>
  <c r="T16" i="76"/>
  <c r="H14" i="76"/>
  <c r="H13" i="76" s="1"/>
  <c r="J7" i="76"/>
  <c r="J37" i="76" s="1"/>
  <c r="J41" i="76" s="1"/>
  <c r="T20" i="76"/>
  <c r="T31" i="76"/>
  <c r="R14" i="76"/>
  <c r="R13" i="76" s="1"/>
  <c r="R37" i="76" s="1"/>
  <c r="R41" i="76" s="1"/>
  <c r="T18" i="76"/>
  <c r="T22" i="76"/>
  <c r="T25" i="76"/>
  <c r="I13" i="76"/>
  <c r="I37" i="76" s="1"/>
  <c r="I41" i="76" s="1"/>
  <c r="F10" i="47"/>
  <c r="R8" i="76"/>
  <c r="R7" i="76" s="1"/>
  <c r="N13" i="76"/>
  <c r="N37" i="76" s="1"/>
  <c r="N41" i="76" s="1"/>
  <c r="O37" i="76"/>
  <c r="O41" i="76" s="1"/>
  <c r="T32" i="76"/>
  <c r="G15" i="76"/>
  <c r="T15" i="76"/>
  <c r="P37" i="76"/>
  <c r="P41" i="76" s="1"/>
  <c r="T9" i="76"/>
  <c r="L10" i="76"/>
  <c r="T10" i="76" s="1"/>
  <c r="H8" i="76" l="1"/>
  <c r="T14" i="76"/>
  <c r="T13" i="76" s="1"/>
  <c r="H7" i="76"/>
  <c r="H37" i="76" s="1"/>
  <c r="H41" i="76" s="1"/>
  <c r="E8" i="47"/>
  <c r="K13" i="76"/>
  <c r="K37" i="76" s="1"/>
  <c r="K41" i="76" s="1"/>
  <c r="H10" i="47"/>
  <c r="L7" i="76"/>
  <c r="T8" i="76"/>
  <c r="T7" i="76" s="1"/>
  <c r="Q8" i="75"/>
  <c r="Q21" i="75"/>
  <c r="Q50" i="75"/>
  <c r="Q62" i="75"/>
  <c r="Q60" i="75" s="1"/>
  <c r="T37" i="76" l="1"/>
  <c r="T41" i="76" s="1"/>
  <c r="L41" i="76"/>
  <c r="L16" i="75"/>
  <c r="AA6" i="40" l="1"/>
  <c r="AB6" i="40"/>
  <c r="AC6" i="40"/>
  <c r="AD6" i="40"/>
  <c r="AF6" i="40"/>
  <c r="AA7" i="40"/>
  <c r="AC7" i="40"/>
  <c r="AD8" i="40"/>
  <c r="AF8" i="40"/>
  <c r="AA9" i="40"/>
  <c r="AD9" i="40"/>
  <c r="AA10" i="40"/>
  <c r="AC10" i="40"/>
  <c r="AF10" i="40"/>
  <c r="AF11" i="40"/>
  <c r="AD12" i="40"/>
  <c r="AE12" i="40"/>
  <c r="AF12" i="40"/>
  <c r="AA13" i="40"/>
  <c r="AB13" i="40"/>
  <c r="AC13" i="40"/>
  <c r="AD13" i="40"/>
  <c r="AA14" i="40"/>
  <c r="AB14" i="40"/>
  <c r="AC14" i="40"/>
  <c r="AD14" i="40"/>
  <c r="AF14" i="40"/>
  <c r="AA15" i="40"/>
  <c r="AC15" i="40"/>
  <c r="AD15" i="40"/>
  <c r="AF15" i="40"/>
  <c r="AA16" i="40"/>
  <c r="AD16" i="40"/>
  <c r="AF16" i="40"/>
  <c r="AA17" i="40"/>
  <c r="AC17" i="40"/>
  <c r="AD17" i="40"/>
  <c r="AE17" i="40"/>
  <c r="AF17" i="40"/>
  <c r="AA18" i="40"/>
  <c r="AC18" i="40"/>
  <c r="AD18" i="40"/>
  <c r="AF18" i="40"/>
  <c r="AA19" i="40"/>
  <c r="AC19" i="40"/>
  <c r="AD19" i="40"/>
  <c r="AF19" i="40"/>
  <c r="AA20" i="40"/>
  <c r="AC20" i="40"/>
  <c r="AD20" i="40"/>
  <c r="AC5" i="40"/>
  <c r="AF5" i="40"/>
  <c r="AA5" i="40"/>
  <c r="U22" i="40" l="1"/>
  <c r="S22" i="40"/>
  <c r="H15" i="48" l="1"/>
  <c r="F24" i="48"/>
  <c r="G24" i="48"/>
  <c r="I21" i="68" l="1"/>
  <c r="I112" i="68"/>
  <c r="I98" i="68"/>
  <c r="P98" i="68" s="1"/>
  <c r="I100" i="68"/>
  <c r="P100" i="68" s="1"/>
  <c r="I96" i="68"/>
  <c r="P96" i="68" s="1"/>
  <c r="I89" i="68"/>
  <c r="I74" i="68"/>
  <c r="P74" i="68" s="1"/>
  <c r="I76" i="68"/>
  <c r="P76" i="68" s="1"/>
  <c r="I77" i="68"/>
  <c r="P77" i="68" s="1"/>
  <c r="I79" i="68"/>
  <c r="P79" i="68" s="1"/>
  <c r="I80" i="68"/>
  <c r="I81" i="68"/>
  <c r="I82" i="68"/>
  <c r="P105" i="68" l="1"/>
  <c r="F20" i="71"/>
  <c r="F23" i="71"/>
  <c r="F10" i="71"/>
  <c r="N56" i="68"/>
  <c r="P56" i="68" s="1"/>
  <c r="I61" i="68" l="1"/>
  <c r="P61" i="68" s="1"/>
  <c r="O61" i="66" l="1"/>
  <c r="O62" i="66"/>
  <c r="O63" i="66"/>
  <c r="O64" i="66"/>
  <c r="O65" i="66"/>
  <c r="O67" i="66"/>
  <c r="O70" i="66"/>
  <c r="O71" i="66"/>
  <c r="O74" i="66"/>
  <c r="O73" i="66" s="1"/>
  <c r="O79" i="66"/>
  <c r="O80" i="66"/>
  <c r="O86" i="66"/>
  <c r="O90" i="66"/>
  <c r="O91" i="66"/>
  <c r="O92" i="66"/>
  <c r="O93" i="66"/>
  <c r="O95" i="66"/>
  <c r="O96" i="66"/>
  <c r="O97" i="66"/>
  <c r="O99" i="66"/>
  <c r="O102" i="66"/>
  <c r="O106" i="66"/>
  <c r="O108" i="66"/>
  <c r="O109" i="66"/>
  <c r="O110" i="66"/>
  <c r="O10" i="66"/>
  <c r="O11" i="66"/>
  <c r="O12" i="66"/>
  <c r="O13" i="66"/>
  <c r="Q15" i="66"/>
  <c r="O16" i="66"/>
  <c r="O17" i="66"/>
  <c r="O18" i="66"/>
  <c r="O19" i="66"/>
  <c r="O25" i="66"/>
  <c r="O26" i="66"/>
  <c r="O27" i="66"/>
  <c r="O28" i="66"/>
  <c r="O29" i="66"/>
  <c r="O30" i="66"/>
  <c r="O31" i="66"/>
  <c r="O32" i="66"/>
  <c r="O33" i="66"/>
  <c r="O34" i="66"/>
  <c r="O35" i="66"/>
  <c r="O37" i="66"/>
  <c r="O38" i="66"/>
  <c r="O39" i="66"/>
  <c r="O40" i="66"/>
  <c r="O41" i="66"/>
  <c r="O42" i="66"/>
  <c r="O43" i="66"/>
  <c r="O45" i="66"/>
  <c r="O47" i="66"/>
  <c r="O50" i="66"/>
  <c r="O51" i="66"/>
  <c r="O52" i="66"/>
  <c r="O53" i="66"/>
  <c r="O54" i="66"/>
  <c r="O55" i="66"/>
  <c r="O56" i="66"/>
  <c r="O57" i="66"/>
  <c r="O58" i="66"/>
  <c r="O59" i="66"/>
  <c r="O9" i="66"/>
  <c r="O8" i="66" l="1"/>
  <c r="H46" i="71"/>
  <c r="H45" i="71" s="1"/>
  <c r="N137" i="68"/>
  <c r="P137" i="68" s="1"/>
  <c r="N138" i="68"/>
  <c r="P138" i="68" s="1"/>
  <c r="N136" i="68"/>
  <c r="P136" i="68" s="1"/>
  <c r="N133" i="68"/>
  <c r="N134" i="68"/>
  <c r="P134" i="68" s="1"/>
  <c r="N124" i="68"/>
  <c r="N125" i="68"/>
  <c r="N126" i="68"/>
  <c r="N127" i="68"/>
  <c r="N128" i="68"/>
  <c r="N129" i="68"/>
  <c r="N123" i="68"/>
  <c r="N44" i="68"/>
  <c r="N45" i="68"/>
  <c r="N46" i="68"/>
  <c r="N47" i="68"/>
  <c r="N48" i="68"/>
  <c r="P48" i="68" s="1"/>
  <c r="N52" i="68"/>
  <c r="N53" i="68"/>
  <c r="N57" i="68"/>
  <c r="N58" i="68"/>
  <c r="P58" i="68" s="1"/>
  <c r="N59" i="68"/>
  <c r="P59" i="68" s="1"/>
  <c r="N60" i="68"/>
  <c r="P60" i="68" s="1"/>
  <c r="N62" i="68"/>
  <c r="P62" i="68" s="1"/>
  <c r="N63" i="68"/>
  <c r="N64" i="68"/>
  <c r="N65" i="68"/>
  <c r="N67" i="68"/>
  <c r="N68" i="68"/>
  <c r="P68" i="68" s="1"/>
  <c r="N69" i="68"/>
  <c r="P69" i="68" s="1"/>
  <c r="N70" i="68"/>
  <c r="N71" i="68"/>
  <c r="N80" i="68"/>
  <c r="P80" i="68" s="1"/>
  <c r="N81" i="68"/>
  <c r="P81" i="68" s="1"/>
  <c r="N82" i="68"/>
  <c r="P82" i="68" s="1"/>
  <c r="N83" i="68"/>
  <c r="N84" i="68"/>
  <c r="P84" i="68" s="1"/>
  <c r="N85" i="68"/>
  <c r="N86" i="68"/>
  <c r="N87" i="68"/>
  <c r="N88" i="68"/>
  <c r="N89" i="68"/>
  <c r="P89" i="68" s="1"/>
  <c r="N110" i="68"/>
  <c r="N111" i="68"/>
  <c r="P111" i="68" s="1"/>
  <c r="N112" i="68"/>
  <c r="P112" i="68" s="1"/>
  <c r="N116" i="68"/>
  <c r="P116" i="68" s="1"/>
  <c r="N117" i="68"/>
  <c r="P117" i="68" s="1"/>
  <c r="N119" i="68"/>
  <c r="P119" i="68" s="1"/>
  <c r="N120" i="68"/>
  <c r="P120" i="68" s="1"/>
  <c r="N43" i="68"/>
  <c r="P43" i="68" s="1"/>
  <c r="N40" i="68"/>
  <c r="P40" i="68" s="1"/>
  <c r="N41" i="68"/>
  <c r="P41" i="68" s="1"/>
  <c r="N36" i="68"/>
  <c r="P36" i="68" s="1"/>
  <c r="N37" i="68"/>
  <c r="P37" i="68" s="1"/>
  <c r="N35" i="68"/>
  <c r="N31" i="68"/>
  <c r="P31" i="68" s="1"/>
  <c r="N32" i="68"/>
  <c r="P32" i="68" s="1"/>
  <c r="N30" i="68"/>
  <c r="P30" i="68" s="1"/>
  <c r="N27" i="68"/>
  <c r="N28" i="68"/>
  <c r="P28" i="68" s="1"/>
  <c r="N26" i="68"/>
  <c r="N22" i="68"/>
  <c r="P22" i="68" s="1"/>
  <c r="N23" i="68"/>
  <c r="P23" i="68" s="1"/>
  <c r="N21" i="68"/>
  <c r="P21" i="68" s="1"/>
  <c r="N15" i="68"/>
  <c r="N16" i="68"/>
  <c r="P16" i="68" s="1"/>
  <c r="N17" i="68"/>
  <c r="P17" i="68" s="1"/>
  <c r="N18" i="68"/>
  <c r="N10" i="68"/>
  <c r="P10" i="68" s="1"/>
  <c r="N11" i="68"/>
  <c r="N12" i="68"/>
  <c r="N9" i="68"/>
  <c r="L8" i="68"/>
  <c r="L7" i="68" s="1"/>
  <c r="K7" i="48" s="1"/>
  <c r="L14" i="68"/>
  <c r="L13" i="68" s="1"/>
  <c r="K9" i="48" s="1"/>
  <c r="L20" i="68"/>
  <c r="K12" i="48" s="1"/>
  <c r="L25" i="68"/>
  <c r="L29" i="68"/>
  <c r="K15" i="48" s="1"/>
  <c r="L34" i="68"/>
  <c r="K17" i="48" s="1"/>
  <c r="L38" i="68"/>
  <c r="K18" i="48" s="1"/>
  <c r="L42" i="68"/>
  <c r="K19" i="48" s="1"/>
  <c r="L122" i="68"/>
  <c r="L121" i="68" s="1"/>
  <c r="K20" i="48" s="1"/>
  <c r="L131" i="68"/>
  <c r="K23" i="48" s="1"/>
  <c r="L135" i="68"/>
  <c r="K135" i="68"/>
  <c r="J24" i="48" s="1"/>
  <c r="K131" i="68"/>
  <c r="J23" i="48" s="1"/>
  <c r="K122" i="68"/>
  <c r="K121" i="68" s="1"/>
  <c r="J20" i="48" s="1"/>
  <c r="K42" i="68"/>
  <c r="K38" i="68"/>
  <c r="J18" i="48" s="1"/>
  <c r="K34" i="68"/>
  <c r="J17" i="48" s="1"/>
  <c r="K29" i="68"/>
  <c r="J15" i="48" s="1"/>
  <c r="K25" i="68"/>
  <c r="J14" i="48" s="1"/>
  <c r="K20" i="68"/>
  <c r="K19" i="68" s="1"/>
  <c r="J11" i="48" s="1"/>
  <c r="K14" i="68"/>
  <c r="J10" i="48" s="1"/>
  <c r="K8" i="68"/>
  <c r="K7" i="68" s="1"/>
  <c r="J7" i="48" s="1"/>
  <c r="Q109" i="66"/>
  <c r="Q110" i="66"/>
  <c r="Q106" i="66"/>
  <c r="Q91" i="66"/>
  <c r="Q92" i="66"/>
  <c r="Q93" i="66"/>
  <c r="Q95" i="66"/>
  <c r="Q96" i="66"/>
  <c r="Q97" i="66"/>
  <c r="Q99" i="66"/>
  <c r="R100" i="66" s="1"/>
  <c r="Q102" i="66"/>
  <c r="Q86" i="66"/>
  <c r="Q80" i="66"/>
  <c r="Q70" i="66"/>
  <c r="Q71" i="66"/>
  <c r="Q65" i="66"/>
  <c r="Q11" i="66"/>
  <c r="Q16" i="66"/>
  <c r="Q17" i="66"/>
  <c r="Q18" i="66"/>
  <c r="Q27" i="66"/>
  <c r="Q28" i="66"/>
  <c r="Q29" i="66"/>
  <c r="Q38" i="66"/>
  <c r="Q39" i="66"/>
  <c r="Q40" i="66"/>
  <c r="Q45" i="66"/>
  <c r="Q47" i="66"/>
  <c r="Q50" i="66"/>
  <c r="Q58" i="66"/>
  <c r="Q59" i="66"/>
  <c r="Q9" i="66"/>
  <c r="N8" i="45"/>
  <c r="L8" i="66"/>
  <c r="K8" i="45" s="1"/>
  <c r="L60" i="66"/>
  <c r="K9" i="45" s="1"/>
  <c r="M60" i="66"/>
  <c r="L9" i="45" s="1"/>
  <c r="N60" i="66"/>
  <c r="L66" i="66"/>
  <c r="K10" i="45" s="1"/>
  <c r="M66" i="66"/>
  <c r="M10" i="45"/>
  <c r="L73" i="66"/>
  <c r="K12" i="45" s="1"/>
  <c r="M73" i="66"/>
  <c r="M12" i="45"/>
  <c r="L78" i="66"/>
  <c r="K13" i="45" s="1"/>
  <c r="M78" i="66"/>
  <c r="L13" i="45" s="1"/>
  <c r="N78" i="66"/>
  <c r="M13" i="45" s="1"/>
  <c r="L85" i="66"/>
  <c r="K15" i="45" s="1"/>
  <c r="M85" i="66"/>
  <c r="L15" i="45" s="1"/>
  <c r="M15" i="45"/>
  <c r="L103" i="66"/>
  <c r="M103" i="66"/>
  <c r="L16" i="45" s="1"/>
  <c r="M16" i="45"/>
  <c r="L107" i="66"/>
  <c r="K17" i="45" s="1"/>
  <c r="M107" i="66"/>
  <c r="L17" i="45" s="1"/>
  <c r="N107" i="66"/>
  <c r="M17" i="45" s="1"/>
  <c r="L111" i="66"/>
  <c r="K18" i="45" s="1"/>
  <c r="M111" i="66"/>
  <c r="L18" i="45" s="1"/>
  <c r="M18" i="45"/>
  <c r="K111" i="66"/>
  <c r="K107" i="66"/>
  <c r="K103" i="66"/>
  <c r="K85" i="66"/>
  <c r="K78" i="66"/>
  <c r="K73" i="66"/>
  <c r="K66" i="66"/>
  <c r="K60" i="66"/>
  <c r="K8" i="66"/>
  <c r="J8" i="45" s="1"/>
  <c r="N35" i="43"/>
  <c r="N27" i="43"/>
  <c r="N26" i="43"/>
  <c r="K7" i="43"/>
  <c r="L35" i="43"/>
  <c r="M35" i="43"/>
  <c r="K35" i="43"/>
  <c r="K8" i="43"/>
  <c r="M16" i="43"/>
  <c r="L11" i="43"/>
  <c r="L8" i="43"/>
  <c r="M7" i="43"/>
  <c r="L10" i="43"/>
  <c r="M9" i="43"/>
  <c r="L13" i="43"/>
  <c r="M13" i="43"/>
  <c r="N13" i="43"/>
  <c r="L17" i="43"/>
  <c r="M17" i="43"/>
  <c r="L20" i="43"/>
  <c r="M20" i="43"/>
  <c r="L23" i="43"/>
  <c r="M23" i="43"/>
  <c r="L25" i="43"/>
  <c r="M25" i="43"/>
  <c r="L26" i="43"/>
  <c r="M26" i="43"/>
  <c r="L27" i="43"/>
  <c r="M27" i="43"/>
  <c r="L29" i="43"/>
  <c r="M29" i="43"/>
  <c r="L31" i="43"/>
  <c r="M31" i="43"/>
  <c r="L34" i="43"/>
  <c r="M34" i="43"/>
  <c r="K33" i="43"/>
  <c r="K32" i="43"/>
  <c r="K29" i="43"/>
  <c r="K27" i="43"/>
  <c r="K26" i="43"/>
  <c r="K25" i="43"/>
  <c r="K23" i="43"/>
  <c r="K22" i="43"/>
  <c r="K20" i="43"/>
  <c r="K19" i="43"/>
  <c r="K17" i="43"/>
  <c r="K16" i="43"/>
  <c r="K13" i="43"/>
  <c r="K9" i="43"/>
  <c r="P133" i="68" l="1"/>
  <c r="N131" i="68"/>
  <c r="O66" i="66"/>
  <c r="M9" i="45"/>
  <c r="N7" i="66"/>
  <c r="L10" i="45"/>
  <c r="M7" i="66"/>
  <c r="L7" i="45" s="1"/>
  <c r="L15" i="43"/>
  <c r="L21" i="43"/>
  <c r="M15" i="43"/>
  <c r="M8" i="43"/>
  <c r="N29" i="43"/>
  <c r="L9" i="43"/>
  <c r="K31" i="43"/>
  <c r="N22" i="43"/>
  <c r="O111" i="66"/>
  <c r="N18" i="45" s="1"/>
  <c r="N24" i="43"/>
  <c r="K14" i="43"/>
  <c r="M32" i="43"/>
  <c r="J9" i="45"/>
  <c r="O60" i="66"/>
  <c r="N9" i="45" s="1"/>
  <c r="M7" i="45"/>
  <c r="L32" i="43"/>
  <c r="M14" i="43"/>
  <c r="J10" i="45"/>
  <c r="N10" i="45"/>
  <c r="J18" i="45"/>
  <c r="L24" i="43"/>
  <c r="K34" i="43"/>
  <c r="L22" i="43"/>
  <c r="L14" i="43"/>
  <c r="J12" i="45"/>
  <c r="N12" i="45"/>
  <c r="J13" i="45"/>
  <c r="O78" i="66"/>
  <c r="N13" i="45" s="1"/>
  <c r="L33" i="43"/>
  <c r="N33" i="43"/>
  <c r="K84" i="66"/>
  <c r="O85" i="66"/>
  <c r="N15" i="45" s="1"/>
  <c r="M10" i="43"/>
  <c r="J16" i="45"/>
  <c r="O103" i="66"/>
  <c r="N16" i="45" s="1"/>
  <c r="K10" i="43"/>
  <c r="K30" i="43"/>
  <c r="J17" i="45"/>
  <c r="O107" i="66"/>
  <c r="N17" i="45" s="1"/>
  <c r="L19" i="68"/>
  <c r="K11" i="48" s="1"/>
  <c r="K8" i="48"/>
  <c r="L24" i="68"/>
  <c r="K13" i="48" s="1"/>
  <c r="L130" i="68"/>
  <c r="K22" i="48" s="1"/>
  <c r="K13" i="68"/>
  <c r="J9" i="48" s="1"/>
  <c r="P135" i="68"/>
  <c r="O24" i="48" s="1"/>
  <c r="K24" i="48"/>
  <c r="K10" i="48"/>
  <c r="J8" i="48"/>
  <c r="J21" i="48"/>
  <c r="K33" i="68"/>
  <c r="J16" i="48" s="1"/>
  <c r="K14" i="48"/>
  <c r="J12" i="48"/>
  <c r="K21" i="48"/>
  <c r="P29" i="68"/>
  <c r="O15" i="48" s="1"/>
  <c r="L33" i="68"/>
  <c r="K16" i="48" s="1"/>
  <c r="J19" i="48"/>
  <c r="P20" i="68"/>
  <c r="N25" i="68"/>
  <c r="M14" i="48" s="1"/>
  <c r="N42" i="68"/>
  <c r="M19" i="48" s="1"/>
  <c r="P38" i="68"/>
  <c r="O18" i="48" s="1"/>
  <c r="P27" i="68"/>
  <c r="M72" i="66"/>
  <c r="L11" i="45" s="1"/>
  <c r="K72" i="66"/>
  <c r="J15" i="45"/>
  <c r="L84" i="66"/>
  <c r="K14" i="45" s="1"/>
  <c r="L7" i="66"/>
  <c r="K7" i="45" s="1"/>
  <c r="K16" i="45"/>
  <c r="L12" i="45"/>
  <c r="M8" i="45"/>
  <c r="N72" i="66"/>
  <c r="M11" i="45" s="1"/>
  <c r="L8" i="45"/>
  <c r="L72" i="66"/>
  <c r="K11" i="45" s="1"/>
  <c r="M84" i="66"/>
  <c r="L14" i="45" s="1"/>
  <c r="N84" i="66"/>
  <c r="M14" i="45" s="1"/>
  <c r="M33" i="43"/>
  <c r="M30" i="43"/>
  <c r="L30" i="43"/>
  <c r="M24" i="43"/>
  <c r="M21" i="43"/>
  <c r="M22" i="43"/>
  <c r="L16" i="43"/>
  <c r="N14" i="43"/>
  <c r="L12" i="43"/>
  <c r="L7" i="43"/>
  <c r="P131" i="68"/>
  <c r="N135" i="68"/>
  <c r="M24" i="48" s="1"/>
  <c r="N122" i="68"/>
  <c r="N38" i="68"/>
  <c r="M18" i="48" s="1"/>
  <c r="N34" i="68"/>
  <c r="M17" i="48" s="1"/>
  <c r="N29" i="68"/>
  <c r="M15" i="48" s="1"/>
  <c r="N20" i="68"/>
  <c r="N14" i="68"/>
  <c r="N8" i="68"/>
  <c r="K130" i="68"/>
  <c r="J22" i="48" s="1"/>
  <c r="K24" i="68"/>
  <c r="J13" i="48" s="1"/>
  <c r="K7" i="66"/>
  <c r="P35" i="43"/>
  <c r="N31" i="43"/>
  <c r="N23" i="43"/>
  <c r="N20" i="43"/>
  <c r="N17" i="43"/>
  <c r="N16" i="43"/>
  <c r="P13" i="43"/>
  <c r="N9" i="43"/>
  <c r="N7" i="43"/>
  <c r="K24" i="43"/>
  <c r="K21" i="43"/>
  <c r="K18" i="43"/>
  <c r="K15" i="43"/>
  <c r="N130" i="68" l="1"/>
  <c r="N30" i="43"/>
  <c r="N34" i="43"/>
  <c r="N25" i="43"/>
  <c r="N32" i="43"/>
  <c r="P14" i="43"/>
  <c r="O7" i="66"/>
  <c r="N7" i="45" s="1"/>
  <c r="J14" i="45"/>
  <c r="O84" i="66"/>
  <c r="N14" i="45" s="1"/>
  <c r="J11" i="45"/>
  <c r="O72" i="66"/>
  <c r="N11" i="45" s="1"/>
  <c r="L139" i="68"/>
  <c r="K25" i="48" s="1"/>
  <c r="K30" i="48" s="1"/>
  <c r="P130" i="68"/>
  <c r="O22" i="48" s="1"/>
  <c r="O23" i="48"/>
  <c r="K139" i="68"/>
  <c r="M22" i="48"/>
  <c r="M23" i="48"/>
  <c r="N121" i="68"/>
  <c r="M20" i="48" s="1"/>
  <c r="M21" i="48"/>
  <c r="N24" i="68"/>
  <c r="M13" i="48" s="1"/>
  <c r="N33" i="68"/>
  <c r="M16" i="48" s="1"/>
  <c r="N13" i="68"/>
  <c r="M9" i="48" s="1"/>
  <c r="M10" i="48"/>
  <c r="N19" i="68"/>
  <c r="M11" i="48" s="1"/>
  <c r="M12" i="48"/>
  <c r="N7" i="68"/>
  <c r="M7" i="48" s="1"/>
  <c r="M8" i="48"/>
  <c r="P19" i="68"/>
  <c r="O11" i="48" s="1"/>
  <c r="O12" i="48"/>
  <c r="M116" i="66"/>
  <c r="L19" i="45" s="1"/>
  <c r="L116" i="66"/>
  <c r="N116" i="66"/>
  <c r="N120" i="66" s="1"/>
  <c r="J7" i="45"/>
  <c r="K116" i="66"/>
  <c r="N21" i="43"/>
  <c r="N10" i="43"/>
  <c r="P29" i="43"/>
  <c r="P30" i="43"/>
  <c r="P25" i="43"/>
  <c r="P22" i="43"/>
  <c r="N15" i="43"/>
  <c r="N8" i="43"/>
  <c r="I14" i="51"/>
  <c r="H14" i="51"/>
  <c r="K56" i="74"/>
  <c r="K55" i="74"/>
  <c r="K48" i="74"/>
  <c r="O48" i="74" s="1"/>
  <c r="K49" i="74"/>
  <c r="O49" i="74" s="1"/>
  <c r="K47" i="74"/>
  <c r="O47" i="74" s="1"/>
  <c r="K45" i="74"/>
  <c r="O45" i="74" s="1"/>
  <c r="K32" i="74"/>
  <c r="O32" i="74" s="1"/>
  <c r="K10" i="74"/>
  <c r="K11" i="74"/>
  <c r="O11" i="74" s="1"/>
  <c r="K12" i="74"/>
  <c r="O12" i="74" s="1"/>
  <c r="K13" i="74"/>
  <c r="O13" i="74" s="1"/>
  <c r="K14" i="74"/>
  <c r="O14" i="74" s="1"/>
  <c r="K15" i="74"/>
  <c r="O15" i="74" s="1"/>
  <c r="K17" i="74"/>
  <c r="K18" i="74"/>
  <c r="K19" i="74"/>
  <c r="K20" i="74"/>
  <c r="O20" i="74" s="1"/>
  <c r="K9" i="74"/>
  <c r="O9" i="74" s="1"/>
  <c r="I13" i="51"/>
  <c r="J46" i="74"/>
  <c r="I11" i="51" s="1"/>
  <c r="J43" i="74"/>
  <c r="I10" i="51" s="1"/>
  <c r="J8" i="74"/>
  <c r="I8" i="51" s="1"/>
  <c r="J10" i="53"/>
  <c r="J11" i="53"/>
  <c r="K11" i="53"/>
  <c r="I11" i="53"/>
  <c r="N20" i="72"/>
  <c r="M11" i="53" s="1"/>
  <c r="L10" i="72"/>
  <c r="L11" i="72"/>
  <c r="L13" i="72"/>
  <c r="L15" i="72"/>
  <c r="L16" i="72"/>
  <c r="L9" i="72"/>
  <c r="H10" i="72"/>
  <c r="H11" i="72"/>
  <c r="N11" i="72" s="1"/>
  <c r="H13" i="72"/>
  <c r="H15" i="72"/>
  <c r="H16" i="72"/>
  <c r="H9" i="72"/>
  <c r="N9" i="72" l="1"/>
  <c r="H8" i="72"/>
  <c r="L8" i="72"/>
  <c r="K21" i="74"/>
  <c r="J14" i="51"/>
  <c r="O55" i="74"/>
  <c r="N14" i="51" s="1"/>
  <c r="J15" i="51"/>
  <c r="O56" i="74"/>
  <c r="I9" i="51"/>
  <c r="J7" i="74"/>
  <c r="J57" i="74" s="1"/>
  <c r="I16" i="51" s="1"/>
  <c r="O10" i="74"/>
  <c r="K8" i="74"/>
  <c r="J8" i="51" s="1"/>
  <c r="M120" i="66"/>
  <c r="N15" i="72"/>
  <c r="K54" i="74"/>
  <c r="J25" i="48"/>
  <c r="T12" i="40" s="1"/>
  <c r="K143" i="68"/>
  <c r="K46" i="74"/>
  <c r="J11" i="51" s="1"/>
  <c r="J19" i="45"/>
  <c r="U9" i="40" s="1"/>
  <c r="O116" i="66"/>
  <c r="O120" i="66" s="1"/>
  <c r="U12" i="40"/>
  <c r="M19" i="45"/>
  <c r="Y9" i="40" s="1"/>
  <c r="L143" i="68"/>
  <c r="N139" i="68"/>
  <c r="M25" i="48" s="1"/>
  <c r="M30" i="48" s="1"/>
  <c r="K19" i="45"/>
  <c r="L120" i="66"/>
  <c r="L23" i="45"/>
  <c r="X9" i="40"/>
  <c r="K120" i="66"/>
  <c r="K43" i="74"/>
  <c r="J10" i="51" s="1"/>
  <c r="N10" i="72"/>
  <c r="N13" i="72"/>
  <c r="N16" i="72"/>
  <c r="L19" i="72"/>
  <c r="K10" i="53" s="1"/>
  <c r="K9" i="53"/>
  <c r="J19" i="72"/>
  <c r="I10" i="53" s="1"/>
  <c r="M7" i="47"/>
  <c r="L10" i="47"/>
  <c r="O12" i="47"/>
  <c r="O11" i="47"/>
  <c r="O7" i="47"/>
  <c r="M11" i="47"/>
  <c r="L11" i="47"/>
  <c r="K12" i="47"/>
  <c r="K9" i="47"/>
  <c r="M9" i="47"/>
  <c r="L9" i="47"/>
  <c r="L7" i="47"/>
  <c r="K7" i="47"/>
  <c r="J13" i="51" l="1"/>
  <c r="O54" i="74"/>
  <c r="I7" i="51"/>
  <c r="J30" i="48"/>
  <c r="J23" i="45"/>
  <c r="J9" i="51"/>
  <c r="K7" i="74"/>
  <c r="N19" i="45"/>
  <c r="N23" i="45" s="1"/>
  <c r="K10" i="47"/>
  <c r="M12" i="47"/>
  <c r="K11" i="47"/>
  <c r="L12" i="47"/>
  <c r="J7" i="72"/>
  <c r="I9" i="53"/>
  <c r="K7" i="72"/>
  <c r="J9" i="53"/>
  <c r="J61" i="74"/>
  <c r="O8" i="47"/>
  <c r="M8" i="47"/>
  <c r="M23" i="45"/>
  <c r="L8" i="47"/>
  <c r="K8" i="47"/>
  <c r="M10" i="47"/>
  <c r="N143" i="68"/>
  <c r="K23" i="45"/>
  <c r="V9" i="40"/>
  <c r="AC9" i="40" s="1"/>
  <c r="L7" i="72"/>
  <c r="K8" i="53" s="1"/>
  <c r="N27" i="67"/>
  <c r="L26" i="67"/>
  <c r="J14" i="57" s="1"/>
  <c r="L22" i="67"/>
  <c r="J13" i="57" s="1"/>
  <c r="L17" i="67"/>
  <c r="L11" i="67"/>
  <c r="J10" i="57" s="1"/>
  <c r="L8" i="67"/>
  <c r="J8" i="57" s="1"/>
  <c r="K33" i="44"/>
  <c r="L33" i="44"/>
  <c r="M33" i="44"/>
  <c r="J33" i="44"/>
  <c r="O159" i="65"/>
  <c r="O156" i="65"/>
  <c r="N33" i="44" s="1"/>
  <c r="O154" i="65"/>
  <c r="O151" i="65"/>
  <c r="O142" i="65"/>
  <c r="S142" i="65" s="1"/>
  <c r="O147" i="65"/>
  <c r="O148" i="65"/>
  <c r="O141" i="65"/>
  <c r="O136" i="65"/>
  <c r="O137" i="65"/>
  <c r="O138" i="65"/>
  <c r="O139" i="65"/>
  <c r="O135" i="65"/>
  <c r="O122" i="65"/>
  <c r="O123" i="65"/>
  <c r="O131" i="65"/>
  <c r="S131" i="65" s="1"/>
  <c r="O132" i="65"/>
  <c r="O121" i="65"/>
  <c r="O117" i="65"/>
  <c r="O116" i="65"/>
  <c r="O118" i="65"/>
  <c r="O119" i="65"/>
  <c r="O115" i="65"/>
  <c r="O72" i="65"/>
  <c r="O73" i="65"/>
  <c r="O74" i="65"/>
  <c r="O75" i="65"/>
  <c r="O76" i="65"/>
  <c r="O77" i="65"/>
  <c r="O78" i="65"/>
  <c r="O79" i="65"/>
  <c r="O80" i="65"/>
  <c r="O81" i="65"/>
  <c r="O82" i="65"/>
  <c r="O83" i="65"/>
  <c r="O84" i="65"/>
  <c r="O71" i="65"/>
  <c r="O64" i="65"/>
  <c r="O59" i="65"/>
  <c r="O60" i="65"/>
  <c r="O61" i="65"/>
  <c r="O58" i="65"/>
  <c r="O49" i="65"/>
  <c r="O48" i="65"/>
  <c r="O45" i="65"/>
  <c r="O37" i="65"/>
  <c r="O38" i="65"/>
  <c r="O39" i="65"/>
  <c r="S39" i="65" s="1"/>
  <c r="O85" i="65"/>
  <c r="O21" i="65"/>
  <c r="O22" i="65"/>
  <c r="O12" i="65"/>
  <c r="O10" i="65"/>
  <c r="S10" i="65" s="1"/>
  <c r="O9" i="65"/>
  <c r="S9" i="65" s="1"/>
  <c r="L8" i="65"/>
  <c r="N8" i="65"/>
  <c r="L11" i="65"/>
  <c r="K9" i="44" s="1"/>
  <c r="L9" i="44"/>
  <c r="N11" i="65"/>
  <c r="M9" i="44" s="1"/>
  <c r="L24" i="65"/>
  <c r="K10" i="44" s="1"/>
  <c r="M24" i="65"/>
  <c r="L10" i="44" s="1"/>
  <c r="N24" i="65"/>
  <c r="M10" i="44" s="1"/>
  <c r="L44" i="65"/>
  <c r="M44" i="65"/>
  <c r="N44" i="65"/>
  <c r="L47" i="65"/>
  <c r="K15" i="44" s="1"/>
  <c r="L15" i="44"/>
  <c r="N47" i="65"/>
  <c r="M15" i="44" s="1"/>
  <c r="L57" i="65"/>
  <c r="L56" i="65" s="1"/>
  <c r="K16" i="44" s="1"/>
  <c r="M57" i="65"/>
  <c r="M56" i="65" s="1"/>
  <c r="L16" i="44" s="1"/>
  <c r="N57" i="65"/>
  <c r="N56" i="65" s="1"/>
  <c r="M16" i="44" s="1"/>
  <c r="L63" i="65"/>
  <c r="L62" i="65" s="1"/>
  <c r="K18" i="44" s="1"/>
  <c r="M63" i="65"/>
  <c r="M62" i="65" s="1"/>
  <c r="L18" i="44" s="1"/>
  <c r="N63" i="65"/>
  <c r="N62" i="65" s="1"/>
  <c r="M18" i="44" s="1"/>
  <c r="L66" i="65"/>
  <c r="K21" i="44" s="1"/>
  <c r="M66" i="65"/>
  <c r="L21" i="44" s="1"/>
  <c r="N66" i="65"/>
  <c r="L70" i="65"/>
  <c r="K22" i="44" s="1"/>
  <c r="M70" i="65"/>
  <c r="L22" i="44" s="1"/>
  <c r="N70" i="65"/>
  <c r="M22" i="44" s="1"/>
  <c r="K23" i="44"/>
  <c r="L23" i="44"/>
  <c r="M23" i="44"/>
  <c r="L114" i="65"/>
  <c r="M114" i="65"/>
  <c r="N114" i="65"/>
  <c r="L120" i="65"/>
  <c r="K26" i="44" s="1"/>
  <c r="M120" i="65"/>
  <c r="L26" i="44" s="1"/>
  <c r="N120" i="65"/>
  <c r="M26" i="44" s="1"/>
  <c r="L134" i="65"/>
  <c r="M134" i="65"/>
  <c r="N134" i="65"/>
  <c r="L140" i="65"/>
  <c r="K29" i="44" s="1"/>
  <c r="M140" i="65"/>
  <c r="L29" i="44" s="1"/>
  <c r="N140" i="65"/>
  <c r="M29" i="44" s="1"/>
  <c r="L150" i="65"/>
  <c r="K31" i="44" s="1"/>
  <c r="M150" i="65"/>
  <c r="L31" i="44" s="1"/>
  <c r="N150" i="65"/>
  <c r="M31" i="44" s="1"/>
  <c r="L153" i="65"/>
  <c r="K32" i="44" s="1"/>
  <c r="M153" i="65"/>
  <c r="L32" i="44" s="1"/>
  <c r="N153" i="65"/>
  <c r="M32" i="44" s="1"/>
  <c r="K153" i="65"/>
  <c r="J32" i="44" s="1"/>
  <c r="K150" i="65"/>
  <c r="J31" i="44" s="1"/>
  <c r="K140" i="65"/>
  <c r="J29" i="44" s="1"/>
  <c r="K134" i="65"/>
  <c r="J28" i="44" s="1"/>
  <c r="K120" i="65"/>
  <c r="J26" i="44" s="1"/>
  <c r="K114" i="65"/>
  <c r="J25" i="44" s="1"/>
  <c r="J23" i="44"/>
  <c r="K70" i="65"/>
  <c r="J22" i="44" s="1"/>
  <c r="K66" i="65"/>
  <c r="J21" i="44" s="1"/>
  <c r="K63" i="65"/>
  <c r="K62" i="65" s="1"/>
  <c r="J18" i="44" s="1"/>
  <c r="K57" i="65"/>
  <c r="K56" i="65" s="1"/>
  <c r="J16" i="44" s="1"/>
  <c r="K47" i="65"/>
  <c r="K46" i="65" s="1"/>
  <c r="J14" i="44" s="1"/>
  <c r="K44" i="65"/>
  <c r="J10" i="44"/>
  <c r="K11" i="65"/>
  <c r="J9" i="44" s="1"/>
  <c r="K8" i="65"/>
  <c r="J8" i="44" s="1"/>
  <c r="O47" i="65" l="1"/>
  <c r="S8" i="65"/>
  <c r="O25" i="65"/>
  <c r="N11" i="44" s="1"/>
  <c r="J11" i="57"/>
  <c r="N17" i="67"/>
  <c r="M43" i="65"/>
  <c r="L12" i="44" s="1"/>
  <c r="L43" i="65"/>
  <c r="K12" i="44" s="1"/>
  <c r="K43" i="65"/>
  <c r="J12" i="44" s="1"/>
  <c r="N43" i="65"/>
  <c r="M12" i="44" s="1"/>
  <c r="O57" i="65"/>
  <c r="L7" i="65"/>
  <c r="K7" i="44" s="1"/>
  <c r="N113" i="65"/>
  <c r="M24" i="44" s="1"/>
  <c r="N7" i="65"/>
  <c r="M7" i="44" s="1"/>
  <c r="K133" i="65"/>
  <c r="J27" i="44" s="1"/>
  <c r="K13" i="44"/>
  <c r="N46" i="65"/>
  <c r="M14" i="44" s="1"/>
  <c r="L7" i="44"/>
  <c r="N23" i="44"/>
  <c r="M11" i="44"/>
  <c r="N133" i="65"/>
  <c r="M27" i="44" s="1"/>
  <c r="M133" i="65"/>
  <c r="L27" i="44" s="1"/>
  <c r="L65" i="65"/>
  <c r="K20" i="44" s="1"/>
  <c r="L13" i="47"/>
  <c r="L19" i="44"/>
  <c r="L11" i="44"/>
  <c r="K8" i="44"/>
  <c r="K21" i="72"/>
  <c r="J8" i="53"/>
  <c r="J17" i="44"/>
  <c r="M25" i="44"/>
  <c r="K19" i="44"/>
  <c r="M17" i="44"/>
  <c r="K11" i="44"/>
  <c r="J7" i="51"/>
  <c r="M113" i="65"/>
  <c r="L24" i="44" s="1"/>
  <c r="M46" i="65"/>
  <c r="L14" i="44" s="1"/>
  <c r="O120" i="65"/>
  <c r="N26" i="44" s="1"/>
  <c r="J11" i="44"/>
  <c r="J19" i="44"/>
  <c r="M28" i="44"/>
  <c r="L25" i="44"/>
  <c r="L17" i="44"/>
  <c r="J21" i="72"/>
  <c r="I8" i="53"/>
  <c r="N149" i="65"/>
  <c r="M30" i="44" s="1"/>
  <c r="L133" i="65"/>
  <c r="K27" i="44" s="1"/>
  <c r="L113" i="65"/>
  <c r="K24" i="44" s="1"/>
  <c r="N65" i="65"/>
  <c r="M20" i="44" s="1"/>
  <c r="L46" i="65"/>
  <c r="K14" i="44" s="1"/>
  <c r="L28" i="44"/>
  <c r="K25" i="44"/>
  <c r="K17" i="44"/>
  <c r="K7" i="65"/>
  <c r="J7" i="44" s="1"/>
  <c r="M149" i="65"/>
  <c r="L30" i="44" s="1"/>
  <c r="J13" i="44"/>
  <c r="K28" i="44"/>
  <c r="K13" i="47"/>
  <c r="M19" i="44"/>
  <c r="L149" i="65"/>
  <c r="K30" i="44" s="1"/>
  <c r="M21" i="44"/>
  <c r="M13" i="44"/>
  <c r="O10" i="47"/>
  <c r="U19" i="40"/>
  <c r="AB19" i="40" s="1"/>
  <c r="I20" i="51"/>
  <c r="L8" i="44"/>
  <c r="J15" i="44"/>
  <c r="L13" i="44"/>
  <c r="M8" i="44"/>
  <c r="M13" i="47"/>
  <c r="L7" i="67"/>
  <c r="J7" i="57" s="1"/>
  <c r="L10" i="67"/>
  <c r="J9" i="57" s="1"/>
  <c r="L21" i="72"/>
  <c r="K12" i="53" s="1"/>
  <c r="K16" i="53" s="1"/>
  <c r="L21" i="67"/>
  <c r="M65" i="65"/>
  <c r="L20" i="44" s="1"/>
  <c r="O134" i="65"/>
  <c r="N28" i="44" s="1"/>
  <c r="O114" i="65"/>
  <c r="O8" i="65"/>
  <c r="N8" i="44" s="1"/>
  <c r="K149" i="65"/>
  <c r="J30" i="44" s="1"/>
  <c r="K113" i="65"/>
  <c r="J24" i="44" s="1"/>
  <c r="K65" i="65"/>
  <c r="I24" i="55"/>
  <c r="I8" i="55"/>
  <c r="M34" i="44" l="1"/>
  <c r="M38" i="44" s="1"/>
  <c r="K34" i="44"/>
  <c r="V8" i="40" s="1"/>
  <c r="AC8" i="40" s="1"/>
  <c r="L34" i="44"/>
  <c r="L38" i="44" s="1"/>
  <c r="K157" i="65"/>
  <c r="J20" i="44"/>
  <c r="J34" i="44" s="1"/>
  <c r="X11" i="40"/>
  <c r="K18" i="47"/>
  <c r="W11" i="40"/>
  <c r="AD11" i="40" s="1"/>
  <c r="M18" i="47"/>
  <c r="O9" i="47"/>
  <c r="L157" i="65"/>
  <c r="N157" i="65"/>
  <c r="N161" i="65" s="1"/>
  <c r="T11" i="40"/>
  <c r="L18" i="47"/>
  <c r="M157" i="65"/>
  <c r="J25" i="72"/>
  <c r="I12" i="53"/>
  <c r="O113" i="65"/>
  <c r="N24" i="44" s="1"/>
  <c r="N25" i="44"/>
  <c r="K25" i="72"/>
  <c r="J12" i="53"/>
  <c r="L25" i="72"/>
  <c r="J12" i="57"/>
  <c r="O44" i="65"/>
  <c r="O43" i="65" s="1"/>
  <c r="X8" i="40" l="1"/>
  <c r="K38" i="44"/>
  <c r="U8" i="40"/>
  <c r="T8" i="40"/>
  <c r="J38" i="44"/>
  <c r="X16" i="40"/>
  <c r="I16" i="53"/>
  <c r="O13" i="47"/>
  <c r="O18" i="47" s="1"/>
  <c r="N12" i="44"/>
  <c r="N13" i="44"/>
  <c r="J16" i="53"/>
  <c r="V16" i="40"/>
  <c r="AC16" i="40" s="1"/>
  <c r="O153" i="65"/>
  <c r="N32" i="44" s="1"/>
  <c r="O150" i="65"/>
  <c r="O63" i="65"/>
  <c r="O66" i="65"/>
  <c r="N21" i="44" s="1"/>
  <c r="O140" i="65"/>
  <c r="L161" i="65"/>
  <c r="O11" i="65"/>
  <c r="M161" i="65"/>
  <c r="K161" i="65"/>
  <c r="H14" i="42"/>
  <c r="L14" i="42"/>
  <c r="L11" i="42"/>
  <c r="L10" i="42"/>
  <c r="J23" i="63"/>
  <c r="H11" i="42"/>
  <c r="H10" i="42"/>
  <c r="H9" i="42"/>
  <c r="H8" i="42"/>
  <c r="I12" i="55"/>
  <c r="J22" i="63" l="1"/>
  <c r="H12" i="42" s="1"/>
  <c r="J13" i="42"/>
  <c r="I20" i="55"/>
  <c r="O133" i="65"/>
  <c r="N27" i="44" s="1"/>
  <c r="N29" i="44"/>
  <c r="O56" i="65"/>
  <c r="N16" i="44" s="1"/>
  <c r="N17" i="44"/>
  <c r="O7" i="65"/>
  <c r="N7" i="44" s="1"/>
  <c r="N9" i="44"/>
  <c r="O62" i="65"/>
  <c r="N18" i="44" s="1"/>
  <c r="N19" i="44"/>
  <c r="O46" i="65"/>
  <c r="N14" i="44" s="1"/>
  <c r="N15" i="44"/>
  <c r="O149" i="65"/>
  <c r="N30" i="44" s="1"/>
  <c r="N31" i="44"/>
  <c r="H7" i="42"/>
  <c r="H15" i="42" s="1"/>
  <c r="O70" i="65"/>
  <c r="O24" i="65"/>
  <c r="N10" i="44" s="1"/>
  <c r="I9" i="55"/>
  <c r="X6" i="40" l="1"/>
  <c r="S6" i="40" s="1"/>
  <c r="H19" i="42"/>
  <c r="I15" i="55"/>
  <c r="I14" i="55"/>
  <c r="I23" i="55"/>
  <c r="O65" i="65"/>
  <c r="N20" i="44" s="1"/>
  <c r="N34" i="44" s="1"/>
  <c r="N38" i="44" s="1"/>
  <c r="N22" i="44"/>
  <c r="J27" i="63"/>
  <c r="J33" i="63" s="1"/>
  <c r="V21" i="40"/>
  <c r="V23" i="40" s="1"/>
  <c r="T21" i="40"/>
  <c r="T23" i="40" s="1"/>
  <c r="M22" i="40"/>
  <c r="AA22" i="40" s="1"/>
  <c r="S9" i="40"/>
  <c r="S8" i="40"/>
  <c r="S11" i="40"/>
  <c r="S12" i="40"/>
  <c r="S13" i="40"/>
  <c r="S14" i="40"/>
  <c r="S15" i="40"/>
  <c r="S16" i="40"/>
  <c r="S18" i="40"/>
  <c r="O157" i="65" l="1"/>
  <c r="O161" i="65" s="1"/>
  <c r="I22" i="55"/>
  <c r="K9" i="41"/>
  <c r="L45" i="62"/>
  <c r="L27" i="62"/>
  <c r="P27" i="62" s="1"/>
  <c r="L26" i="62"/>
  <c r="L20" i="62"/>
  <c r="P20" i="62" s="1"/>
  <c r="L15" i="62"/>
  <c r="L10" i="62"/>
  <c r="L11" i="62"/>
  <c r="P11" i="62" s="1"/>
  <c r="J41" i="62"/>
  <c r="J40" i="62" s="1"/>
  <c r="I16" i="41" s="1"/>
  <c r="I15" i="41" s="1"/>
  <c r="K41" i="62"/>
  <c r="K40" i="62" s="1"/>
  <c r="J16" i="41" s="1"/>
  <c r="J15" i="41" s="1"/>
  <c r="I41" i="62"/>
  <c r="I40" i="62" s="1"/>
  <c r="H16" i="41" s="1"/>
  <c r="H15" i="41" s="1"/>
  <c r="J38" i="62"/>
  <c r="I14" i="41" s="1"/>
  <c r="K38" i="62"/>
  <c r="J14" i="41" s="1"/>
  <c r="I38" i="62"/>
  <c r="H14" i="41" s="1"/>
  <c r="J25" i="62"/>
  <c r="I11" i="41" s="1"/>
  <c r="K25" i="62"/>
  <c r="J11" i="41" s="1"/>
  <c r="I25" i="62"/>
  <c r="H11" i="41" s="1"/>
  <c r="J14" i="62"/>
  <c r="I10" i="41" s="1"/>
  <c r="K14" i="62"/>
  <c r="J10" i="41" s="1"/>
  <c r="I8" i="62"/>
  <c r="H8" i="41" s="1"/>
  <c r="J8" i="62"/>
  <c r="I8" i="41" s="1"/>
  <c r="K8" i="62"/>
  <c r="J8" i="41" s="1"/>
  <c r="P15" i="62" l="1"/>
  <c r="P14" i="62" s="1"/>
  <c r="L14" i="62"/>
  <c r="L25" i="62"/>
  <c r="P26" i="62"/>
  <c r="P25" i="62" s="1"/>
  <c r="P10" i="62"/>
  <c r="L8" i="62"/>
  <c r="L41" i="62"/>
  <c r="L40" i="62" s="1"/>
  <c r="P45" i="62"/>
  <c r="P41" i="62" s="1"/>
  <c r="P40" i="62" s="1"/>
  <c r="K17" i="41"/>
  <c r="K12" i="41"/>
  <c r="K7" i="62"/>
  <c r="I7" i="62"/>
  <c r="K11" i="41"/>
  <c r="J7" i="62"/>
  <c r="I90" i="66"/>
  <c r="Q90" i="66" s="1"/>
  <c r="I28" i="69"/>
  <c r="I17" i="69"/>
  <c r="I13" i="69"/>
  <c r="O17" i="41" l="1"/>
  <c r="L7" i="62"/>
  <c r="K46" i="62"/>
  <c r="K51" i="62" s="1"/>
  <c r="J7" i="41"/>
  <c r="J18" i="41" s="1"/>
  <c r="J46" i="62"/>
  <c r="J51" i="62" s="1"/>
  <c r="I7" i="41"/>
  <c r="I18" i="41" s="1"/>
  <c r="K14" i="41"/>
  <c r="I46" i="62"/>
  <c r="I51" i="62" s="1"/>
  <c r="H7" i="41"/>
  <c r="H18" i="41" s="1"/>
  <c r="K8" i="41"/>
  <c r="K10" i="41"/>
  <c r="Q85" i="66"/>
  <c r="P15" i="45" s="1"/>
  <c r="G23" i="67"/>
  <c r="W5" i="40" l="1"/>
  <c r="J22" i="41"/>
  <c r="H22" i="41"/>
  <c r="X5" i="40"/>
  <c r="I22" i="41"/>
  <c r="U5" i="40"/>
  <c r="L46" i="62"/>
  <c r="L51" i="62" s="1"/>
  <c r="K16" i="41"/>
  <c r="K15" i="41"/>
  <c r="K7" i="41"/>
  <c r="AB5" i="40" l="1"/>
  <c r="S5" i="40"/>
  <c r="W21" i="40"/>
  <c r="W23" i="40" s="1"/>
  <c r="AD5" i="40"/>
  <c r="K18" i="41"/>
  <c r="K22" i="41" s="1"/>
  <c r="F24" i="55"/>
  <c r="E8" i="55"/>
  <c r="F8" i="55"/>
  <c r="M69" i="75"/>
  <c r="Q69" i="75" s="1"/>
  <c r="L53" i="75" l="1"/>
  <c r="K53" i="75"/>
  <c r="L38" i="75"/>
  <c r="K38" i="75"/>
  <c r="G23" i="71" l="1"/>
  <c r="G28" i="71"/>
  <c r="H12" i="71"/>
  <c r="H33" i="71"/>
  <c r="H32" i="71" s="1"/>
  <c r="H20" i="71"/>
  <c r="I26" i="68" l="1"/>
  <c r="I113" i="68"/>
  <c r="P113" i="68" s="1"/>
  <c r="G29" i="68"/>
  <c r="E15" i="48" s="1"/>
  <c r="H29" i="68"/>
  <c r="F15" i="48" s="1"/>
  <c r="F29" i="68"/>
  <c r="I53" i="68"/>
  <c r="P53" i="68" s="1"/>
  <c r="I52" i="68"/>
  <c r="P52" i="68" s="1"/>
  <c r="I25" i="68" l="1"/>
  <c r="H14" i="48" s="1"/>
  <c r="H13" i="48" s="1"/>
  <c r="P26" i="68"/>
  <c r="P25" i="68" s="1"/>
  <c r="N31" i="67"/>
  <c r="J9" i="67"/>
  <c r="N9" i="67" s="1"/>
  <c r="I13" i="67"/>
  <c r="G13" i="67"/>
  <c r="H7" i="67"/>
  <c r="I7" i="67"/>
  <c r="J34" i="67"/>
  <c r="N34" i="67" s="1"/>
  <c r="J30" i="67"/>
  <c r="N30" i="67" s="1"/>
  <c r="O14" i="48" l="1"/>
  <c r="P24" i="68"/>
  <c r="O13" i="48" s="1"/>
  <c r="J29" i="67"/>
  <c r="G8" i="67"/>
  <c r="G7" i="67" s="1"/>
  <c r="J28" i="67" l="1"/>
  <c r="I138" i="65"/>
  <c r="S138" i="65" s="1"/>
  <c r="I139" i="65"/>
  <c r="S139" i="65" s="1"/>
  <c r="I141" i="65"/>
  <c r="S141" i="65" s="1"/>
  <c r="I147" i="65"/>
  <c r="S147" i="65" s="1"/>
  <c r="I148" i="65"/>
  <c r="S148" i="65" s="1"/>
  <c r="I151" i="65"/>
  <c r="S151" i="65" s="1"/>
  <c r="I154" i="65"/>
  <c r="S154" i="65" s="1"/>
  <c r="I137" i="65"/>
  <c r="S137" i="65" s="1"/>
  <c r="I136" i="65"/>
  <c r="S136" i="65" s="1"/>
  <c r="I135" i="65"/>
  <c r="S135" i="65" s="1"/>
  <c r="I132" i="65"/>
  <c r="S132" i="65" s="1"/>
  <c r="I123" i="65"/>
  <c r="S123" i="65" s="1"/>
  <c r="I122" i="65"/>
  <c r="S122" i="65" s="1"/>
  <c r="I121" i="65"/>
  <c r="I116" i="65"/>
  <c r="S116" i="65" s="1"/>
  <c r="I117" i="65"/>
  <c r="S117" i="65" s="1"/>
  <c r="I118" i="65"/>
  <c r="S118" i="65" s="1"/>
  <c r="I119" i="65"/>
  <c r="S119" i="65" s="1"/>
  <c r="I83" i="65"/>
  <c r="S83" i="65" s="1"/>
  <c r="I77" i="65"/>
  <c r="S77" i="65" s="1"/>
  <c r="I71" i="65"/>
  <c r="S71" i="65" s="1"/>
  <c r="I67" i="65"/>
  <c r="S67" i="65" s="1"/>
  <c r="I64" i="65"/>
  <c r="I60" i="65"/>
  <c r="S60" i="65" s="1"/>
  <c r="I59" i="65"/>
  <c r="S59" i="65" s="1"/>
  <c r="I58" i="65"/>
  <c r="S58" i="65" s="1"/>
  <c r="I49" i="65"/>
  <c r="S49" i="65" s="1"/>
  <c r="I45" i="65"/>
  <c r="I38" i="65"/>
  <c r="S38" i="65" s="1"/>
  <c r="I22" i="65"/>
  <c r="S22" i="65" s="1"/>
  <c r="I21" i="65"/>
  <c r="S21" i="65" s="1"/>
  <c r="I12" i="65"/>
  <c r="S12" i="65" s="1"/>
  <c r="S64" i="65" l="1"/>
  <c r="S63" i="65" s="1"/>
  <c r="S121" i="65"/>
  <c r="S120" i="65" s="1"/>
  <c r="R26" i="44" s="1"/>
  <c r="S45" i="65"/>
  <c r="S44" i="65" s="1"/>
  <c r="S140" i="65"/>
  <c r="R29" i="44" s="1"/>
  <c r="S150" i="65"/>
  <c r="I150" i="65"/>
  <c r="H32" i="44"/>
  <c r="S134" i="65"/>
  <c r="R28" i="44" s="1"/>
  <c r="G134" i="65"/>
  <c r="H134" i="65"/>
  <c r="F134" i="65"/>
  <c r="H114" i="65"/>
  <c r="I115" i="65"/>
  <c r="I72" i="65"/>
  <c r="S72" i="65" s="1"/>
  <c r="I73" i="65"/>
  <c r="S73" i="65" s="1"/>
  <c r="I74" i="65"/>
  <c r="S74" i="65" s="1"/>
  <c r="I75" i="65"/>
  <c r="S75" i="65" s="1"/>
  <c r="I76" i="65"/>
  <c r="S76" i="65" s="1"/>
  <c r="I78" i="65"/>
  <c r="S78" i="65" s="1"/>
  <c r="I79" i="65"/>
  <c r="S79" i="65" s="1"/>
  <c r="I80" i="65"/>
  <c r="S80" i="65" s="1"/>
  <c r="I81" i="65"/>
  <c r="S81" i="65" s="1"/>
  <c r="I82" i="65"/>
  <c r="S82" i="65" s="1"/>
  <c r="I84" i="65"/>
  <c r="S84" i="65" s="1"/>
  <c r="I61" i="65"/>
  <c r="S61" i="65" s="1"/>
  <c r="I48" i="65"/>
  <c r="S43" i="65" l="1"/>
  <c r="R12" i="44" s="1"/>
  <c r="R13" i="44"/>
  <c r="R19" i="44"/>
  <c r="S62" i="65"/>
  <c r="R18" i="44" s="1"/>
  <c r="S115" i="65"/>
  <c r="S114" i="65" s="1"/>
  <c r="I47" i="65"/>
  <c r="S48" i="65"/>
  <c r="S47" i="65" s="1"/>
  <c r="S57" i="65"/>
  <c r="S56" i="65" s="1"/>
  <c r="R16" i="44" s="1"/>
  <c r="I57" i="65"/>
  <c r="S133" i="65"/>
  <c r="R27" i="44" s="1"/>
  <c r="S66" i="65"/>
  <c r="R21" i="44" s="1"/>
  <c r="S70" i="65"/>
  <c r="I37" i="65"/>
  <c r="S113" i="65" l="1"/>
  <c r="R24" i="44" s="1"/>
  <c r="R25" i="44"/>
  <c r="I25" i="65"/>
  <c r="S37" i="65"/>
  <c r="R17" i="44"/>
  <c r="R31" i="44"/>
  <c r="S25" i="65"/>
  <c r="S46" i="65"/>
  <c r="R14" i="44" s="1"/>
  <c r="R15" i="44"/>
  <c r="R22" i="44"/>
  <c r="H15" i="73" l="1"/>
  <c r="I13" i="73"/>
  <c r="I15" i="73" l="1"/>
  <c r="H11" i="73"/>
  <c r="F16" i="52"/>
  <c r="E16" i="52"/>
  <c r="F15" i="52"/>
  <c r="E15" i="52"/>
  <c r="F14" i="52"/>
  <c r="E12" i="52"/>
  <c r="F11" i="52"/>
  <c r="E11" i="52"/>
  <c r="F10" i="52"/>
  <c r="E10" i="52"/>
  <c r="E9" i="52"/>
  <c r="H11" i="71" l="1"/>
  <c r="H17" i="71"/>
  <c r="H30" i="71" l="1"/>
  <c r="H29" i="71" s="1"/>
  <c r="H27" i="71"/>
  <c r="H26" i="71" s="1"/>
  <c r="G26" i="71"/>
  <c r="F12" i="52" s="1"/>
  <c r="H9" i="71"/>
  <c r="I35" i="68"/>
  <c r="P35" i="68" s="1"/>
  <c r="P34" i="68" s="1"/>
  <c r="O17" i="48" l="1"/>
  <c r="F29" i="71"/>
  <c r="F28" i="71" s="1"/>
  <c r="P20" i="43" l="1"/>
  <c r="E14" i="52"/>
  <c r="E10" i="41"/>
  <c r="O21" i="74" l="1"/>
  <c r="G21" i="74"/>
  <c r="F18" i="57"/>
  <c r="G18" i="57"/>
  <c r="D14" i="57"/>
  <c r="F8" i="57"/>
  <c r="G8" i="57"/>
  <c r="E8" i="57"/>
  <c r="J14" i="67" l="1"/>
  <c r="N14" i="67" s="1"/>
  <c r="E14" i="51"/>
  <c r="E15" i="51"/>
  <c r="O17" i="74"/>
  <c r="F34" i="43" l="1"/>
  <c r="G34" i="43"/>
  <c r="H34" i="43"/>
  <c r="E34" i="43"/>
  <c r="F23" i="43"/>
  <c r="G23" i="43"/>
  <c r="H23" i="43"/>
  <c r="E23" i="43"/>
  <c r="F22" i="43"/>
  <c r="G22" i="43"/>
  <c r="H22" i="43"/>
  <c r="E22" i="43"/>
  <c r="E8" i="43"/>
  <c r="P33" i="43" l="1"/>
  <c r="P34" i="43"/>
  <c r="E8" i="44"/>
  <c r="F32" i="44"/>
  <c r="E32" i="44"/>
  <c r="F31" i="44"/>
  <c r="E31" i="44"/>
  <c r="G140" i="65"/>
  <c r="F29" i="44" s="1"/>
  <c r="H140" i="65"/>
  <c r="F140" i="65"/>
  <c r="F120" i="65"/>
  <c r="E26" i="44" s="1"/>
  <c r="S85" i="65"/>
  <c r="F23" i="44"/>
  <c r="G23" i="44"/>
  <c r="E23" i="44"/>
  <c r="G70" i="65"/>
  <c r="F22" i="44" s="1"/>
  <c r="H70" i="65"/>
  <c r="G22" i="44" s="1"/>
  <c r="E22" i="44"/>
  <c r="E21" i="44"/>
  <c r="G63" i="65"/>
  <c r="F19" i="44" s="1"/>
  <c r="H63" i="65"/>
  <c r="G19" i="44" s="1"/>
  <c r="F63" i="65"/>
  <c r="E19" i="44" s="1"/>
  <c r="F17" i="44"/>
  <c r="G17" i="44"/>
  <c r="E17" i="44"/>
  <c r="E15" i="44"/>
  <c r="G44" i="65"/>
  <c r="G11" i="44"/>
  <c r="F11" i="44"/>
  <c r="E11" i="44"/>
  <c r="F9" i="44"/>
  <c r="G9" i="44"/>
  <c r="I23" i="65"/>
  <c r="S23" i="65" s="1"/>
  <c r="E9" i="44"/>
  <c r="I85" i="65" l="1"/>
  <c r="I24" i="65"/>
  <c r="F13" i="44"/>
  <c r="G43" i="65"/>
  <c r="S11" i="65"/>
  <c r="S7" i="65" s="1"/>
  <c r="R7" i="44" s="1"/>
  <c r="I11" i="65"/>
  <c r="I7" i="65" s="1"/>
  <c r="E29" i="44"/>
  <c r="F133" i="65"/>
  <c r="G29" i="44"/>
  <c r="H133" i="65"/>
  <c r="R8" i="44"/>
  <c r="I134" i="65"/>
  <c r="I63" i="65"/>
  <c r="I70" i="65"/>
  <c r="E11" i="54"/>
  <c r="E10" i="54"/>
  <c r="F8" i="54"/>
  <c r="I12" i="73"/>
  <c r="I17" i="73"/>
  <c r="I16" i="73" s="1"/>
  <c r="G11" i="54" s="1"/>
  <c r="H16" i="73"/>
  <c r="F11" i="54" s="1"/>
  <c r="S24" i="65" l="1"/>
  <c r="I11" i="73"/>
  <c r="G10" i="54" s="1"/>
  <c r="R9" i="44"/>
  <c r="R10" i="44"/>
  <c r="R11" i="44"/>
  <c r="I10" i="73"/>
  <c r="S65" i="65" l="1"/>
  <c r="R20" i="44" s="1"/>
  <c r="R23" i="44"/>
  <c r="E24" i="48"/>
  <c r="G15" i="45"/>
  <c r="G13" i="45"/>
  <c r="E13" i="45"/>
  <c r="G12" i="45"/>
  <c r="E12" i="45"/>
  <c r="F28" i="43"/>
  <c r="G28" i="43"/>
  <c r="H28" i="43"/>
  <c r="E28" i="43"/>
  <c r="F26" i="43"/>
  <c r="G26" i="43"/>
  <c r="H26" i="43"/>
  <c r="E26" i="43"/>
  <c r="F25" i="43"/>
  <c r="G25" i="43"/>
  <c r="H25" i="43"/>
  <c r="E25" i="43"/>
  <c r="P16" i="43" l="1"/>
  <c r="I127" i="68" l="1"/>
  <c r="P127" i="68" s="1"/>
  <c r="I107" i="68"/>
  <c r="P107" i="68" s="1"/>
  <c r="I11" i="68"/>
  <c r="P11" i="68" s="1"/>
  <c r="G37" i="66" l="1"/>
  <c r="I37" i="66" l="1"/>
  <c r="Q37" i="66" s="1"/>
  <c r="G10" i="45" l="1"/>
  <c r="G96" i="66"/>
  <c r="G34" i="66"/>
  <c r="G30" i="66"/>
  <c r="G25" i="66"/>
  <c r="G19" i="66"/>
  <c r="F10" i="66"/>
  <c r="I67" i="66" l="1"/>
  <c r="I108" i="66"/>
  <c r="Q111" i="66"/>
  <c r="P18" i="45" s="1"/>
  <c r="Q67" i="66" l="1"/>
  <c r="Q66" i="66" s="1"/>
  <c r="P10" i="45" s="1"/>
  <c r="I66" i="66"/>
  <c r="G108" i="66"/>
  <c r="Q108" i="66"/>
  <c r="Q107" i="66" s="1"/>
  <c r="P17" i="45" s="1"/>
  <c r="F9" i="62" l="1"/>
  <c r="G9" i="62" s="1"/>
  <c r="G8" i="62" l="1"/>
  <c r="P9" i="62"/>
  <c r="P8" i="62" s="1"/>
  <c r="O18" i="74"/>
  <c r="O19" i="74"/>
  <c r="F129" i="68" l="1"/>
  <c r="I129" i="68" s="1"/>
  <c r="P129" i="68" s="1"/>
  <c r="I128" i="68"/>
  <c r="P128" i="68" s="1"/>
  <c r="I126" i="68"/>
  <c r="P126" i="68" s="1"/>
  <c r="I125" i="68"/>
  <c r="P125" i="68" s="1"/>
  <c r="I124" i="68"/>
  <c r="P124" i="68" s="1"/>
  <c r="I123" i="68"/>
  <c r="P123" i="68" s="1"/>
  <c r="F123" i="68"/>
  <c r="I109" i="68"/>
  <c r="P109" i="68" s="1"/>
  <c r="I108" i="68"/>
  <c r="P108" i="68" s="1"/>
  <c r="I104" i="68"/>
  <c r="P104" i="68" s="1"/>
  <c r="I103" i="68"/>
  <c r="P103" i="68" s="1"/>
  <c r="I102" i="68"/>
  <c r="P102" i="68" s="1"/>
  <c r="F87" i="68"/>
  <c r="I87" i="68" s="1"/>
  <c r="P87" i="68" s="1"/>
  <c r="I86" i="68"/>
  <c r="P86" i="68" s="1"/>
  <c r="I85" i="68"/>
  <c r="P85" i="68" s="1"/>
  <c r="F84" i="68"/>
  <c r="F83" i="68"/>
  <c r="I83" i="68" s="1"/>
  <c r="P83" i="68" s="1"/>
  <c r="I71" i="68"/>
  <c r="P71" i="68" s="1"/>
  <c r="I70" i="68"/>
  <c r="P70" i="68" s="1"/>
  <c r="I67" i="68"/>
  <c r="P67" i="68" s="1"/>
  <c r="I64" i="68"/>
  <c r="P64" i="68" s="1"/>
  <c r="I63" i="68"/>
  <c r="P63" i="68" s="1"/>
  <c r="I57" i="68"/>
  <c r="P57" i="68" s="1"/>
  <c r="I47" i="68"/>
  <c r="P47" i="68" s="1"/>
  <c r="I46" i="68"/>
  <c r="P46" i="68" s="1"/>
  <c r="I45" i="68"/>
  <c r="P45" i="68" s="1"/>
  <c r="I44" i="68"/>
  <c r="P44" i="68" s="1"/>
  <c r="F128" i="68" l="1"/>
  <c r="F8" i="41"/>
  <c r="F46" i="68"/>
  <c r="H46" i="68"/>
  <c r="F71" i="68"/>
  <c r="F102" i="68"/>
  <c r="F70" i="68"/>
  <c r="F124" i="68"/>
  <c r="F125" i="68"/>
  <c r="F126" i="68"/>
  <c r="F57" i="68"/>
  <c r="F103" i="68"/>
  <c r="F44" i="68"/>
  <c r="G63" i="68"/>
  <c r="G42" i="68" s="1"/>
  <c r="F19" i="48" s="1"/>
  <c r="F104" i="68"/>
  <c r="F85" i="68"/>
  <c r="F108" i="68"/>
  <c r="F47" i="68"/>
  <c r="H45" i="68"/>
  <c r="F64" i="68"/>
  <c r="F109" i="68"/>
  <c r="F45" i="68"/>
  <c r="P122" i="68" l="1"/>
  <c r="P121" i="68" s="1"/>
  <c r="O21" i="48" l="1"/>
  <c r="O20" i="48"/>
  <c r="F41" i="62"/>
  <c r="F39" i="62"/>
  <c r="G39" i="62" s="1"/>
  <c r="E12" i="41"/>
  <c r="F25" i="62"/>
  <c r="E11" i="41" s="1"/>
  <c r="O9" i="41"/>
  <c r="E9" i="41"/>
  <c r="F8" i="62"/>
  <c r="E8" i="41" s="1"/>
  <c r="G38" i="62" l="1"/>
  <c r="G7" i="62" s="1"/>
  <c r="K1" i="62" s="1"/>
  <c r="P39" i="62"/>
  <c r="P38" i="62" s="1"/>
  <c r="O11" i="41"/>
  <c r="F40" i="62"/>
  <c r="E15" i="41" s="1"/>
  <c r="E16" i="41"/>
  <c r="O12" i="41"/>
  <c r="O16" i="41"/>
  <c r="Q11" i="47"/>
  <c r="Q12" i="47"/>
  <c r="O8" i="41"/>
  <c r="F7" i="62"/>
  <c r="F14" i="42"/>
  <c r="G26" i="63"/>
  <c r="F10" i="42"/>
  <c r="O14" i="41" l="1"/>
  <c r="P7" i="62"/>
  <c r="P46" i="62" s="1"/>
  <c r="O15" i="41"/>
  <c r="F46" i="62"/>
  <c r="F51" i="62" s="1"/>
  <c r="E7" i="41"/>
  <c r="F11" i="42"/>
  <c r="O10" i="41"/>
  <c r="F15" i="51"/>
  <c r="F14" i="51"/>
  <c r="I54" i="74"/>
  <c r="H13" i="51" s="1"/>
  <c r="F54" i="74"/>
  <c r="I46" i="74"/>
  <c r="H11" i="51" s="1"/>
  <c r="O46" i="74"/>
  <c r="F46" i="74"/>
  <c r="E11" i="51" s="1"/>
  <c r="I43" i="74"/>
  <c r="H10" i="51" s="1"/>
  <c r="G43" i="74"/>
  <c r="O43" i="74" s="1"/>
  <c r="F43" i="74"/>
  <c r="E10" i="51" s="1"/>
  <c r="E9" i="51"/>
  <c r="I8" i="74"/>
  <c r="H8" i="51" s="1"/>
  <c r="G8" i="74"/>
  <c r="F8" i="74"/>
  <c r="E8" i="51" s="1"/>
  <c r="G7" i="74" l="1"/>
  <c r="G46" i="62"/>
  <c r="G51" i="62" s="1"/>
  <c r="F7" i="41"/>
  <c r="H9" i="51"/>
  <c r="I7" i="74"/>
  <c r="O8" i="74"/>
  <c r="N8" i="51" s="1"/>
  <c r="N9" i="51"/>
  <c r="F10" i="51"/>
  <c r="N10" i="51"/>
  <c r="F13" i="51"/>
  <c r="L80" i="61" s="1"/>
  <c r="N13" i="51"/>
  <c r="F8" i="51"/>
  <c r="F11" i="51"/>
  <c r="N11" i="51"/>
  <c r="F9" i="51"/>
  <c r="F7" i="74"/>
  <c r="F57" i="74" s="1"/>
  <c r="F61" i="74" s="1"/>
  <c r="G57" i="74" l="1"/>
  <c r="P7" i="74"/>
  <c r="L6" i="61"/>
  <c r="F26" i="41"/>
  <c r="P51" i="62"/>
  <c r="O7" i="41"/>
  <c r="O18" i="41" s="1"/>
  <c r="O22" i="41" s="1"/>
  <c r="O7" i="74"/>
  <c r="N7" i="51" s="1"/>
  <c r="F7" i="51"/>
  <c r="L79" i="61" s="1"/>
  <c r="I57" i="74"/>
  <c r="H7" i="51"/>
  <c r="F16" i="51"/>
  <c r="F20" i="51" s="1"/>
  <c r="H17" i="52"/>
  <c r="I19" i="57"/>
  <c r="I61" i="74" l="1"/>
  <c r="K57" i="74"/>
  <c r="O57" i="74" s="1"/>
  <c r="N15" i="51" s="1"/>
  <c r="H16" i="51"/>
  <c r="G61" i="74"/>
  <c r="N16" i="51" l="1"/>
  <c r="N20" i="51" s="1"/>
  <c r="O61" i="74"/>
  <c r="H20" i="51"/>
  <c r="X19" i="40"/>
  <c r="S19" i="40" s="1"/>
  <c r="J16" i="51"/>
  <c r="J20" i="51" s="1"/>
  <c r="K61" i="74"/>
  <c r="H21" i="40"/>
  <c r="L17" i="40"/>
  <c r="I11" i="75" l="1"/>
  <c r="H12" i="75"/>
  <c r="H10" i="75"/>
  <c r="I10" i="75" s="1"/>
  <c r="E13" i="51"/>
  <c r="E7" i="51"/>
  <c r="E9" i="54"/>
  <c r="F10" i="53" l="1"/>
  <c r="E10" i="53"/>
  <c r="F8" i="53"/>
  <c r="E8" i="53"/>
  <c r="F30" i="44"/>
  <c r="E30" i="44"/>
  <c r="E20" i="44"/>
  <c r="F18" i="44"/>
  <c r="G18" i="44"/>
  <c r="E18" i="44"/>
  <c r="G16" i="44"/>
  <c r="F16" i="44"/>
  <c r="E16" i="44"/>
  <c r="E14" i="44"/>
  <c r="F12" i="44"/>
  <c r="E10" i="44"/>
  <c r="E7" i="44"/>
  <c r="E27" i="43"/>
  <c r="H24" i="43"/>
  <c r="E24" i="43"/>
  <c r="E21" i="43"/>
  <c r="F21" i="43"/>
  <c r="E7" i="43"/>
  <c r="E12" i="42"/>
  <c r="E18" i="41"/>
  <c r="I156" i="65" l="1"/>
  <c r="S156" i="65" s="1"/>
  <c r="S153" i="65" s="1"/>
  <c r="J17" i="40"/>
  <c r="S149" i="65" l="1"/>
  <c r="I153" i="65"/>
  <c r="I149" i="65" s="1"/>
  <c r="R33" i="44"/>
  <c r="F9" i="70"/>
  <c r="G9" i="70" s="1"/>
  <c r="H9" i="70" s="1"/>
  <c r="I16" i="70"/>
  <c r="I15" i="70" s="1"/>
  <c r="E9" i="50" s="1"/>
  <c r="L66" i="61" s="1"/>
  <c r="F11" i="70"/>
  <c r="F10" i="70"/>
  <c r="G10" i="70" s="1"/>
  <c r="H10" i="70" s="1"/>
  <c r="R32" i="44" l="1"/>
  <c r="R30" i="44"/>
  <c r="R34" i="44" s="1"/>
  <c r="R38" i="44" s="1"/>
  <c r="S157" i="65"/>
  <c r="S161" i="65" s="1"/>
  <c r="I12" i="47" l="1"/>
  <c r="J12" i="47" s="1"/>
  <c r="I11" i="47"/>
  <c r="H8" i="47" l="1"/>
  <c r="H7" i="47" s="1"/>
  <c r="E7" i="47" l="1"/>
  <c r="E10" i="47"/>
  <c r="E9" i="47" s="1"/>
  <c r="I9" i="47"/>
  <c r="L49" i="61" s="1"/>
  <c r="I10" i="47"/>
  <c r="I8" i="47"/>
  <c r="G11" i="47"/>
  <c r="J11" i="47" s="1"/>
  <c r="G9" i="47"/>
  <c r="F9" i="47"/>
  <c r="Q8" i="47" l="1"/>
  <c r="J8" i="47"/>
  <c r="Q10" i="47"/>
  <c r="Q9" i="47"/>
  <c r="J10" i="47"/>
  <c r="I7" i="47"/>
  <c r="I13" i="47" s="1"/>
  <c r="I18" i="47" s="1"/>
  <c r="F13" i="47"/>
  <c r="E13" i="47"/>
  <c r="E18" i="47" s="1"/>
  <c r="H9" i="47"/>
  <c r="J9" i="47" s="1"/>
  <c r="G13" i="47"/>
  <c r="Q7" i="47" l="1"/>
  <c r="O11" i="40"/>
  <c r="AC11" i="40" s="1"/>
  <c r="G18" i="47"/>
  <c r="Q11" i="40"/>
  <c r="AE11" i="40" s="1"/>
  <c r="F18" i="47"/>
  <c r="N11" i="40"/>
  <c r="AB11" i="40" s="1"/>
  <c r="Z11" i="40" s="1"/>
  <c r="J7" i="47"/>
  <c r="H13" i="47"/>
  <c r="E17" i="43"/>
  <c r="E10" i="43"/>
  <c r="E9" i="43" s="1"/>
  <c r="F10" i="43"/>
  <c r="G8" i="55"/>
  <c r="G11" i="51"/>
  <c r="G10" i="51"/>
  <c r="G8" i="51"/>
  <c r="G15" i="51"/>
  <c r="G14" i="51"/>
  <c r="G9" i="51"/>
  <c r="I11" i="54"/>
  <c r="H19" i="72"/>
  <c r="G11" i="53"/>
  <c r="G16" i="52"/>
  <c r="H16" i="52" s="1"/>
  <c r="G12" i="52"/>
  <c r="H12" i="52" s="1"/>
  <c r="J11" i="50"/>
  <c r="I135" i="68"/>
  <c r="H24" i="48" s="1"/>
  <c r="I131" i="68"/>
  <c r="I38" i="68"/>
  <c r="H18" i="48" s="1"/>
  <c r="I29" i="68"/>
  <c r="G15" i="48" s="1"/>
  <c r="J26" i="67"/>
  <c r="I62" i="65"/>
  <c r="I44" i="65"/>
  <c r="I43" i="65" s="1"/>
  <c r="I25" i="43"/>
  <c r="I35" i="43"/>
  <c r="J35" i="43" s="1"/>
  <c r="G11" i="42"/>
  <c r="G10" i="42"/>
  <c r="G14" i="42"/>
  <c r="H8" i="55" l="1"/>
  <c r="K8" i="55"/>
  <c r="I130" i="68"/>
  <c r="H23" i="48"/>
  <c r="H22" i="48" s="1"/>
  <c r="Q13" i="47"/>
  <c r="Q18" i="47" s="1"/>
  <c r="G10" i="53"/>
  <c r="N19" i="72"/>
  <c r="M10" i="53" s="1"/>
  <c r="I14" i="43"/>
  <c r="H14" i="43"/>
  <c r="I22" i="43"/>
  <c r="J22" i="43" s="1"/>
  <c r="G14" i="43"/>
  <c r="G13" i="43" s="1"/>
  <c r="E14" i="43"/>
  <c r="F14" i="43"/>
  <c r="H14" i="57"/>
  <c r="N26" i="67"/>
  <c r="L14" i="57" s="1"/>
  <c r="I24" i="68"/>
  <c r="M11" i="40"/>
  <c r="AA11" i="40" s="1"/>
  <c r="H18" i="47"/>
  <c r="J13" i="47"/>
  <c r="I32" i="44"/>
  <c r="I13" i="43"/>
  <c r="L15" i="61" s="1"/>
  <c r="G13" i="51"/>
  <c r="G7" i="51"/>
  <c r="J25" i="43"/>
  <c r="J14" i="43" l="1"/>
  <c r="L11" i="40"/>
  <c r="J11" i="40" s="1"/>
  <c r="G9" i="54"/>
  <c r="F17" i="41"/>
  <c r="G17" i="41" s="1"/>
  <c r="F15" i="41"/>
  <c r="F14" i="41"/>
  <c r="G14" i="41" s="1"/>
  <c r="F12" i="41"/>
  <c r="G12" i="41" s="1"/>
  <c r="F11" i="41"/>
  <c r="G11" i="41" s="1"/>
  <c r="F9" i="41"/>
  <c r="G9" i="41" s="1"/>
  <c r="G15" i="41" l="1"/>
  <c r="L7" i="61"/>
  <c r="L5" i="61" s="1"/>
  <c r="F16" i="41"/>
  <c r="G16" i="41" s="1"/>
  <c r="E22" i="41"/>
  <c r="Q5" i="40" l="1"/>
  <c r="AE5" i="40" s="1"/>
  <c r="Z5" i="40" s="1"/>
  <c r="E33" i="43"/>
  <c r="H27" i="43"/>
  <c r="G27" i="43"/>
  <c r="F27" i="43"/>
  <c r="G24" i="43"/>
  <c r="F24" i="43"/>
  <c r="H21" i="43"/>
  <c r="G21" i="43"/>
  <c r="D16" i="43"/>
  <c r="D14" i="43"/>
  <c r="H13" i="43"/>
  <c r="F13" i="43"/>
  <c r="E13" i="43"/>
  <c r="D10" i="43"/>
  <c r="F9" i="43"/>
  <c r="H20" i="43"/>
  <c r="F20" i="43"/>
  <c r="E20" i="43"/>
  <c r="G19" i="43"/>
  <c r="E19" i="43"/>
  <c r="H17" i="43"/>
  <c r="F17" i="43"/>
  <c r="H16" i="43"/>
  <c r="P26" i="43" l="1"/>
  <c r="P24" i="43"/>
  <c r="I28" i="43"/>
  <c r="I8" i="43"/>
  <c r="E32" i="43"/>
  <c r="E31" i="43" s="1"/>
  <c r="I24" i="43"/>
  <c r="G32" i="43"/>
  <c r="G31" i="43" s="1"/>
  <c r="H10" i="43"/>
  <c r="H9" i="43" s="1"/>
  <c r="H32" i="43"/>
  <c r="H31" i="43" s="1"/>
  <c r="E30" i="43"/>
  <c r="E29" i="43" s="1"/>
  <c r="F30" i="43"/>
  <c r="F29" i="43" s="1"/>
  <c r="H8" i="43"/>
  <c r="H7" i="43" s="1"/>
  <c r="H30" i="43"/>
  <c r="H29" i="43" s="1"/>
  <c r="L5" i="40"/>
  <c r="J5" i="40" s="1"/>
  <c r="H19" i="43"/>
  <c r="H18" i="43" s="1"/>
  <c r="J13" i="43"/>
  <c r="H33" i="43"/>
  <c r="G33" i="43"/>
  <c r="H15" i="43"/>
  <c r="I21" i="43"/>
  <c r="I29" i="43"/>
  <c r="L21" i="61" s="1"/>
  <c r="G16" i="43"/>
  <c r="F16" i="43"/>
  <c r="I9" i="43"/>
  <c r="L13" i="61" s="1"/>
  <c r="I16" i="43"/>
  <c r="J28" i="43"/>
  <c r="I27" i="43"/>
  <c r="I34" i="43"/>
  <c r="J34" i="43" s="1"/>
  <c r="I33" i="43"/>
  <c r="L23" i="61" s="1"/>
  <c r="I19" i="43"/>
  <c r="E18" i="43"/>
  <c r="F33" i="43"/>
  <c r="J27" i="43" l="1"/>
  <c r="L20" i="61"/>
  <c r="J24" i="43"/>
  <c r="L19" i="61"/>
  <c r="J21" i="43"/>
  <c r="L18" i="61"/>
  <c r="I7" i="43"/>
  <c r="L12" i="61" s="1"/>
  <c r="F19" i="43"/>
  <c r="G17" i="43"/>
  <c r="G15" i="43" s="1"/>
  <c r="P9" i="43"/>
  <c r="P10" i="43"/>
  <c r="P7" i="43"/>
  <c r="P8" i="43"/>
  <c r="P17" i="43"/>
  <c r="P23" i="43"/>
  <c r="P21" i="43"/>
  <c r="F8" i="43"/>
  <c r="F7" i="43" s="1"/>
  <c r="I17" i="43"/>
  <c r="I23" i="43"/>
  <c r="J23" i="43" s="1"/>
  <c r="I26" i="43"/>
  <c r="J26" i="43" s="1"/>
  <c r="E12" i="43"/>
  <c r="E11" i="43" s="1"/>
  <c r="G30" i="43"/>
  <c r="G29" i="43" s="1"/>
  <c r="J29" i="43" s="1"/>
  <c r="G12" i="43"/>
  <c r="G11" i="43" s="1"/>
  <c r="G8" i="43"/>
  <c r="G7" i="43" s="1"/>
  <c r="H12" i="43"/>
  <c r="H11" i="43" s="1"/>
  <c r="H36" i="43" s="1"/>
  <c r="F15" i="43"/>
  <c r="J33" i="43"/>
  <c r="I30" i="43"/>
  <c r="E16" i="43"/>
  <c r="I10" i="43"/>
  <c r="J17" i="43" l="1"/>
  <c r="G10" i="43"/>
  <c r="G9" i="43" s="1"/>
  <c r="J9" i="43" s="1"/>
  <c r="J7" i="43"/>
  <c r="J8" i="43"/>
  <c r="J30" i="43"/>
  <c r="F18" i="43"/>
  <c r="E15" i="43"/>
  <c r="E36" i="43" s="1"/>
  <c r="E40" i="43" s="1"/>
  <c r="J16" i="43"/>
  <c r="P7" i="40"/>
  <c r="AD7" i="40" s="1"/>
  <c r="H40" i="43"/>
  <c r="I15" i="43"/>
  <c r="L16" i="61" s="1"/>
  <c r="L33" i="67"/>
  <c r="J33" i="67"/>
  <c r="G33" i="67"/>
  <c r="G32" i="67" s="1"/>
  <c r="I32" i="67"/>
  <c r="H32" i="67"/>
  <c r="F31" i="67"/>
  <c r="L29" i="67"/>
  <c r="I29" i="67"/>
  <c r="H29" i="67"/>
  <c r="G29" i="67"/>
  <c r="I26" i="67"/>
  <c r="G14" i="57" s="1"/>
  <c r="H26" i="67"/>
  <c r="F14" i="57" s="1"/>
  <c r="G26" i="67"/>
  <c r="E14" i="57" s="1"/>
  <c r="J25" i="67"/>
  <c r="N25" i="67" s="1"/>
  <c r="J24" i="67"/>
  <c r="N24" i="67" s="1"/>
  <c r="J23" i="67"/>
  <c r="I22" i="67"/>
  <c r="G13" i="57" s="1"/>
  <c r="H22" i="67"/>
  <c r="F13" i="57" s="1"/>
  <c r="G22" i="67"/>
  <c r="E13" i="57" s="1"/>
  <c r="N19" i="67"/>
  <c r="G11" i="57"/>
  <c r="H17" i="67"/>
  <c r="F11" i="57" s="1"/>
  <c r="G17" i="67"/>
  <c r="E11" i="57" s="1"/>
  <c r="J16" i="67"/>
  <c r="J15" i="67"/>
  <c r="N15" i="67" s="1"/>
  <c r="J13" i="67"/>
  <c r="N13" i="67" s="1"/>
  <c r="J12" i="67"/>
  <c r="N12" i="67" s="1"/>
  <c r="F12" i="67"/>
  <c r="I11" i="67"/>
  <c r="G10" i="57" s="1"/>
  <c r="H11" i="67"/>
  <c r="F10" i="57" s="1"/>
  <c r="J8" i="67"/>
  <c r="G17" i="57"/>
  <c r="F17" i="57"/>
  <c r="G7" i="57"/>
  <c r="F7" i="57"/>
  <c r="E7" i="57"/>
  <c r="G12" i="57" l="1"/>
  <c r="N33" i="67"/>
  <c r="L18" i="57" s="1"/>
  <c r="N16" i="67"/>
  <c r="J11" i="67"/>
  <c r="F9" i="57"/>
  <c r="J10" i="43"/>
  <c r="P15" i="43"/>
  <c r="J16" i="57"/>
  <c r="L28" i="67"/>
  <c r="N29" i="67"/>
  <c r="L16" i="57" s="1"/>
  <c r="F24" i="67"/>
  <c r="N23" i="67"/>
  <c r="H8" i="57"/>
  <c r="I8" i="57" s="1"/>
  <c r="N8" i="67"/>
  <c r="L8" i="57" s="1"/>
  <c r="L32" i="67"/>
  <c r="J17" i="57" s="1"/>
  <c r="J18" i="57"/>
  <c r="F12" i="57"/>
  <c r="E12" i="57"/>
  <c r="I14" i="57"/>
  <c r="E16" i="57"/>
  <c r="E15" i="57" s="1"/>
  <c r="G28" i="67"/>
  <c r="I28" i="67"/>
  <c r="G16" i="57"/>
  <c r="G15" i="57" s="1"/>
  <c r="H28" i="67"/>
  <c r="F16" i="57"/>
  <c r="F15" i="57" s="1"/>
  <c r="F20" i="57" s="1"/>
  <c r="E18" i="57"/>
  <c r="E17" i="57" s="1"/>
  <c r="G21" i="67"/>
  <c r="J15" i="43"/>
  <c r="N7" i="40"/>
  <c r="J19" i="43"/>
  <c r="H21" i="67"/>
  <c r="I21" i="67"/>
  <c r="H10" i="67"/>
  <c r="I10" i="67"/>
  <c r="J22" i="67"/>
  <c r="F13" i="67"/>
  <c r="G11" i="67"/>
  <c r="J32" i="67"/>
  <c r="H18" i="57"/>
  <c r="J7" i="67"/>
  <c r="N7" i="67" s="1"/>
  <c r="L7" i="57" s="1"/>
  <c r="F20" i="67"/>
  <c r="G9" i="57"/>
  <c r="N11" i="67" l="1"/>
  <c r="L10" i="57" s="1"/>
  <c r="N20" i="67"/>
  <c r="H17" i="57"/>
  <c r="I17" i="57" s="1"/>
  <c r="N32" i="67"/>
  <c r="L17" i="57" s="1"/>
  <c r="H13" i="57"/>
  <c r="I13" i="57" s="1"/>
  <c r="N22" i="67"/>
  <c r="L13" i="57" s="1"/>
  <c r="J15" i="57"/>
  <c r="L35" i="67"/>
  <c r="N28" i="67"/>
  <c r="L15" i="57" s="1"/>
  <c r="I35" i="67"/>
  <c r="I39" i="67" s="1"/>
  <c r="G20" i="57"/>
  <c r="P10" i="40" s="1"/>
  <c r="AD10" i="40" s="1"/>
  <c r="H35" i="67"/>
  <c r="H39" i="67" s="1"/>
  <c r="G10" i="67"/>
  <c r="G35" i="67" s="1"/>
  <c r="G39" i="67" s="1"/>
  <c r="E10" i="57"/>
  <c r="E9" i="57" s="1"/>
  <c r="E20" i="57" s="1"/>
  <c r="E25" i="57" s="1"/>
  <c r="I18" i="57"/>
  <c r="Q10" i="40"/>
  <c r="F25" i="57"/>
  <c r="J21" i="67"/>
  <c r="H15" i="57"/>
  <c r="H16" i="57"/>
  <c r="I16" i="57" s="1"/>
  <c r="H7" i="57"/>
  <c r="I7" i="57" s="1"/>
  <c r="H10" i="57"/>
  <c r="H33" i="44"/>
  <c r="I33" i="44" s="1"/>
  <c r="G149" i="65"/>
  <c r="F149" i="65"/>
  <c r="G28" i="44"/>
  <c r="G27" i="44" s="1"/>
  <c r="F28" i="44"/>
  <c r="F27" i="44" s="1"/>
  <c r="G120" i="65"/>
  <c r="F26" i="44" s="1"/>
  <c r="G25" i="44"/>
  <c r="G114" i="65"/>
  <c r="F25" i="44" s="1"/>
  <c r="H66" i="65"/>
  <c r="G21" i="44" s="1"/>
  <c r="G20" i="44" s="1"/>
  <c r="G66" i="65"/>
  <c r="F21" i="44" s="1"/>
  <c r="F20" i="44" s="1"/>
  <c r="H19" i="44"/>
  <c r="I19" i="44" s="1"/>
  <c r="H18" i="44"/>
  <c r="H62" i="65"/>
  <c r="G62" i="65"/>
  <c r="F62" i="65"/>
  <c r="G56" i="65"/>
  <c r="G47" i="65"/>
  <c r="H44" i="65"/>
  <c r="H43" i="65" s="1"/>
  <c r="I15" i="57" l="1"/>
  <c r="L44" i="61"/>
  <c r="I18" i="44"/>
  <c r="L31" i="61"/>
  <c r="H12" i="57"/>
  <c r="I12" i="57" s="1"/>
  <c r="N21" i="67"/>
  <c r="L12" i="57" s="1"/>
  <c r="H11" i="57"/>
  <c r="I11" i="57" s="1"/>
  <c r="L11" i="57"/>
  <c r="J20" i="57"/>
  <c r="L39" i="67"/>
  <c r="J10" i="67"/>
  <c r="P21" i="40"/>
  <c r="AD21" i="40" s="1"/>
  <c r="I10" i="57"/>
  <c r="G25" i="57"/>
  <c r="N10" i="40"/>
  <c r="AB10" i="40" s="1"/>
  <c r="Z10" i="40" s="1"/>
  <c r="F24" i="44"/>
  <c r="F10" i="44"/>
  <c r="F8" i="44"/>
  <c r="F7" i="44" s="1"/>
  <c r="G10" i="44"/>
  <c r="H46" i="65"/>
  <c r="G15" i="44"/>
  <c r="G14" i="44" s="1"/>
  <c r="E13" i="44"/>
  <c r="E12" i="44" s="1"/>
  <c r="G13" i="44"/>
  <c r="G12" i="44" s="1"/>
  <c r="G8" i="44"/>
  <c r="G7" i="44" s="1"/>
  <c r="G46" i="65"/>
  <c r="F15" i="44"/>
  <c r="F14" i="44" s="1"/>
  <c r="G133" i="65"/>
  <c r="G113" i="65"/>
  <c r="I140" i="65"/>
  <c r="H30" i="44"/>
  <c r="L35" i="61" s="1"/>
  <c r="H7" i="44"/>
  <c r="L26" i="61" s="1"/>
  <c r="I66" i="65"/>
  <c r="H21" i="44" s="1"/>
  <c r="I21" i="44" s="1"/>
  <c r="H56" i="65"/>
  <c r="G65" i="65"/>
  <c r="H9" i="44"/>
  <c r="I9" i="44" s="1"/>
  <c r="H65" i="65"/>
  <c r="H12" i="44"/>
  <c r="L28" i="61" s="1"/>
  <c r="H13" i="44"/>
  <c r="H28" i="44"/>
  <c r="H120" i="65"/>
  <c r="I46" i="65"/>
  <c r="I120" i="65"/>
  <c r="N10" i="67" l="1"/>
  <c r="L9" i="57" s="1"/>
  <c r="J25" i="57"/>
  <c r="X10" i="40"/>
  <c r="AE10" i="40" s="1"/>
  <c r="J35" i="67"/>
  <c r="H9" i="57"/>
  <c r="H20" i="57" s="1"/>
  <c r="L10" i="40"/>
  <c r="J10" i="40" s="1"/>
  <c r="I114" i="65"/>
  <c r="H25" i="44" s="1"/>
  <c r="F34" i="44"/>
  <c r="M8" i="40" s="1"/>
  <c r="AA8" i="40" s="1"/>
  <c r="I7" i="44"/>
  <c r="I13" i="44"/>
  <c r="I12" i="44"/>
  <c r="E28" i="44"/>
  <c r="E27" i="44" s="1"/>
  <c r="F113" i="65"/>
  <c r="E25" i="44"/>
  <c r="E24" i="44" s="1"/>
  <c r="H113" i="65"/>
  <c r="G26" i="44"/>
  <c r="G24" i="44" s="1"/>
  <c r="I133" i="65"/>
  <c r="H27" i="44" s="1"/>
  <c r="L34" i="61" s="1"/>
  <c r="H29" i="44"/>
  <c r="I29" i="44" s="1"/>
  <c r="H26" i="44"/>
  <c r="I65" i="65"/>
  <c r="H20" i="44" s="1"/>
  <c r="H31" i="44"/>
  <c r="F65" i="65"/>
  <c r="G157" i="65"/>
  <c r="G161" i="65" s="1"/>
  <c r="I56" i="65"/>
  <c r="H23" i="44"/>
  <c r="I23" i="44" s="1"/>
  <c r="H8" i="44"/>
  <c r="I8" i="44" s="1"/>
  <c r="H10" i="44"/>
  <c r="H11" i="44"/>
  <c r="I11" i="44" s="1"/>
  <c r="H14" i="44"/>
  <c r="H15" i="44"/>
  <c r="I15" i="44" s="1"/>
  <c r="H22" i="44"/>
  <c r="I22" i="44" s="1"/>
  <c r="F19" i="72"/>
  <c r="N8" i="72"/>
  <c r="M9" i="53" s="1"/>
  <c r="G21" i="72"/>
  <c r="G25" i="72" s="1"/>
  <c r="F7" i="72"/>
  <c r="F12" i="53"/>
  <c r="I14" i="44" l="1"/>
  <c r="L29" i="61"/>
  <c r="I20" i="44"/>
  <c r="L32" i="61"/>
  <c r="I10" i="44"/>
  <c r="L27" i="61"/>
  <c r="I9" i="57"/>
  <c r="N16" i="40"/>
  <c r="AB16" i="40" s="1"/>
  <c r="F16" i="53"/>
  <c r="S10" i="40"/>
  <c r="N35" i="67"/>
  <c r="J39" i="67"/>
  <c r="I113" i="65"/>
  <c r="H24" i="44" s="1"/>
  <c r="F38" i="44"/>
  <c r="I28" i="44"/>
  <c r="I27" i="44"/>
  <c r="F157" i="65"/>
  <c r="F161" i="65" s="1"/>
  <c r="I25" i="44"/>
  <c r="H157" i="65"/>
  <c r="H161" i="65" s="1"/>
  <c r="I26" i="44"/>
  <c r="E34" i="44"/>
  <c r="I20" i="57"/>
  <c r="H25" i="57"/>
  <c r="H17" i="44"/>
  <c r="I17" i="44" s="1"/>
  <c r="F21" i="72"/>
  <c r="F25" i="72" s="1"/>
  <c r="H7" i="72"/>
  <c r="N7" i="72" s="1"/>
  <c r="M8" i="53" s="1"/>
  <c r="G9" i="53"/>
  <c r="H16" i="44"/>
  <c r="L30" i="61" s="1"/>
  <c r="E12" i="53"/>
  <c r="I24" i="44" l="1"/>
  <c r="L33" i="61"/>
  <c r="G30" i="44"/>
  <c r="I30" i="44" s="1"/>
  <c r="Q16" i="40"/>
  <c r="AE16" i="40" s="1"/>
  <c r="E16" i="53"/>
  <c r="I157" i="65"/>
  <c r="I161" i="65" s="1"/>
  <c r="L20" i="57"/>
  <c r="L25" i="57" s="1"/>
  <c r="N39" i="67"/>
  <c r="E38" i="44"/>
  <c r="N8" i="40"/>
  <c r="AB8" i="40" s="1"/>
  <c r="I31" i="44"/>
  <c r="H34" i="44"/>
  <c r="I16" i="44"/>
  <c r="G8" i="53"/>
  <c r="G12" i="53" s="1"/>
  <c r="G16" i="53" s="1"/>
  <c r="H21" i="72"/>
  <c r="N21" i="72" s="1"/>
  <c r="M12" i="53" s="1"/>
  <c r="M16" i="53" s="1"/>
  <c r="K77" i="75"/>
  <c r="M77" i="75" s="1"/>
  <c r="Q77" i="75" s="1"/>
  <c r="K76" i="75"/>
  <c r="L75" i="75"/>
  <c r="J75" i="75"/>
  <c r="J74" i="75" s="1"/>
  <c r="M72" i="75"/>
  <c r="Q72" i="75" s="1"/>
  <c r="M68" i="75"/>
  <c r="Q68" i="75" s="1"/>
  <c r="I21" i="55"/>
  <c r="L67" i="75"/>
  <c r="F20" i="55"/>
  <c r="K60" i="75"/>
  <c r="E20" i="55" s="1"/>
  <c r="J60" i="75"/>
  <c r="H60" i="75"/>
  <c r="M59" i="75"/>
  <c r="Q59" i="75" s="1"/>
  <c r="Q58" i="75" s="1"/>
  <c r="O58" i="75"/>
  <c r="O57" i="75" s="1"/>
  <c r="L58" i="75"/>
  <c r="F19" i="55" s="1"/>
  <c r="K58" i="75"/>
  <c r="E19" i="55" s="1"/>
  <c r="J58" i="75"/>
  <c r="H58" i="75"/>
  <c r="I56" i="75"/>
  <c r="J56" i="75" s="1"/>
  <c r="L56" i="75" s="1"/>
  <c r="M56" i="75" s="1"/>
  <c r="Q56" i="75" s="1"/>
  <c r="H55" i="75"/>
  <c r="I55" i="75" s="1"/>
  <c r="J55" i="75" s="1"/>
  <c r="L55" i="75" s="1"/>
  <c r="M55" i="75" s="1"/>
  <c r="Q55" i="75" s="1"/>
  <c r="M54" i="75"/>
  <c r="Q54" i="75" s="1"/>
  <c r="M53" i="75"/>
  <c r="Q53" i="75" s="1"/>
  <c r="I53" i="75"/>
  <c r="J53" i="75" s="1"/>
  <c r="K52" i="75"/>
  <c r="K51" i="75" s="1"/>
  <c r="H51" i="75"/>
  <c r="M49" i="75"/>
  <c r="Q49" i="75" s="1"/>
  <c r="M48" i="75"/>
  <c r="Q48" i="75" s="1"/>
  <c r="I47" i="75"/>
  <c r="J47" i="75" s="1"/>
  <c r="M47" i="75" s="1"/>
  <c r="Q47" i="75" s="1"/>
  <c r="M45" i="75"/>
  <c r="Q45" i="75" s="1"/>
  <c r="M44" i="75"/>
  <c r="Q44" i="75" s="1"/>
  <c r="M43" i="75"/>
  <c r="Q43" i="75" s="1"/>
  <c r="H41" i="75"/>
  <c r="M38" i="75"/>
  <c r="Q38" i="75" s="1"/>
  <c r="Q37" i="75" s="1"/>
  <c r="H38" i="75"/>
  <c r="H37" i="75" s="1"/>
  <c r="L37" i="75"/>
  <c r="F14" i="55" s="1"/>
  <c r="K37" i="75"/>
  <c r="I35" i="75"/>
  <c r="J35" i="75" s="1"/>
  <c r="I11" i="55"/>
  <c r="M32" i="75"/>
  <c r="Q32" i="75" s="1"/>
  <c r="I30" i="75"/>
  <c r="J30" i="75" s="1"/>
  <c r="L30" i="75" s="1"/>
  <c r="M30" i="75" s="1"/>
  <c r="Q30" i="75" s="1"/>
  <c r="M29" i="75"/>
  <c r="H29" i="75"/>
  <c r="H28" i="75"/>
  <c r="J28" i="75" s="1"/>
  <c r="J27" i="75"/>
  <c r="I27" i="75"/>
  <c r="M26" i="75"/>
  <c r="Q26" i="75" s="1"/>
  <c r="M25" i="75"/>
  <c r="Q25" i="75" s="1"/>
  <c r="H25" i="75"/>
  <c r="M23" i="75"/>
  <c r="Q23" i="75" s="1"/>
  <c r="E10" i="55"/>
  <c r="K20" i="75"/>
  <c r="I20" i="75"/>
  <c r="J20" i="75" s="1"/>
  <c r="L20" i="75" s="1"/>
  <c r="M20" i="75" s="1"/>
  <c r="Q20" i="75" s="1"/>
  <c r="I19" i="75"/>
  <c r="J19" i="75" s="1"/>
  <c r="K19" i="75" s="1"/>
  <c r="M19" i="75" s="1"/>
  <c r="Q19" i="75" s="1"/>
  <c r="H18" i="75"/>
  <c r="M16" i="75"/>
  <c r="Q16" i="75" s="1"/>
  <c r="I16" i="75"/>
  <c r="J16" i="75" s="1"/>
  <c r="H15" i="75"/>
  <c r="I15" i="75" s="1"/>
  <c r="J15" i="75" s="1"/>
  <c r="K15" i="75" s="1"/>
  <c r="M15" i="75" s="1"/>
  <c r="Q15" i="75" s="1"/>
  <c r="H14" i="75"/>
  <c r="H24" i="75" s="1"/>
  <c r="I24" i="75" s="1"/>
  <c r="J24" i="75" s="1"/>
  <c r="M13" i="75"/>
  <c r="Q13" i="75" s="1"/>
  <c r="I13" i="75"/>
  <c r="J13" i="75" s="1"/>
  <c r="I12" i="75"/>
  <c r="J12" i="75" s="1"/>
  <c r="K12" i="75" s="1"/>
  <c r="J11" i="75"/>
  <c r="J10" i="75"/>
  <c r="H7" i="75"/>
  <c r="G34" i="44" l="1"/>
  <c r="Q8" i="40" s="1"/>
  <c r="AE8" i="40" s="1"/>
  <c r="Z8" i="40" s="1"/>
  <c r="E14" i="55"/>
  <c r="K36" i="75"/>
  <c r="Q41" i="75"/>
  <c r="Q36" i="75" s="1"/>
  <c r="I19" i="55"/>
  <c r="I13" i="55"/>
  <c r="K75" i="75"/>
  <c r="K74" i="75" s="1"/>
  <c r="E22" i="55" s="1"/>
  <c r="I17" i="55"/>
  <c r="L16" i="40"/>
  <c r="H25" i="72"/>
  <c r="N25" i="72"/>
  <c r="M58" i="75"/>
  <c r="H57" i="75"/>
  <c r="M37" i="75"/>
  <c r="L74" i="75"/>
  <c r="F22" i="55" s="1"/>
  <c r="F23" i="55"/>
  <c r="L57" i="75"/>
  <c r="F18" i="55" s="1"/>
  <c r="F21" i="55"/>
  <c r="L27" i="75"/>
  <c r="M27" i="75" s="1"/>
  <c r="Q27" i="75" s="1"/>
  <c r="M78" i="75"/>
  <c r="Q78" i="75" s="1"/>
  <c r="E24" i="55"/>
  <c r="L28" i="75"/>
  <c r="M28" i="75" s="1"/>
  <c r="Q28" i="75" s="1"/>
  <c r="E16" i="55"/>
  <c r="E17" i="55"/>
  <c r="G38" i="44"/>
  <c r="L8" i="40"/>
  <c r="J8" i="40" s="1"/>
  <c r="I34" i="44"/>
  <c r="H38" i="44"/>
  <c r="I28" i="75"/>
  <c r="M76" i="75"/>
  <c r="Q76" i="75" s="1"/>
  <c r="H36" i="75"/>
  <c r="J22" i="75"/>
  <c r="L24" i="75"/>
  <c r="J41" i="75"/>
  <c r="L35" i="75"/>
  <c r="J33" i="75"/>
  <c r="J52" i="75"/>
  <c r="J51" i="75" s="1"/>
  <c r="M12" i="75"/>
  <c r="Q12" i="75" s="1"/>
  <c r="L10" i="75"/>
  <c r="L11" i="75"/>
  <c r="M11" i="75" s="1"/>
  <c r="Q11" i="75" s="1"/>
  <c r="I18" i="75"/>
  <c r="J18" i="75" s="1"/>
  <c r="K18" i="75" s="1"/>
  <c r="M18" i="75" s="1"/>
  <c r="Q18" i="75" s="1"/>
  <c r="H71" i="75"/>
  <c r="I71" i="75" s="1"/>
  <c r="J71" i="75" s="1"/>
  <c r="I14" i="75"/>
  <c r="J14" i="75" s="1"/>
  <c r="L14" i="75" s="1"/>
  <c r="M14" i="75" s="1"/>
  <c r="Q14" i="75" s="1"/>
  <c r="I38" i="75"/>
  <c r="J38" i="75" s="1"/>
  <c r="J37" i="75" s="1"/>
  <c r="Q75" i="75" l="1"/>
  <c r="Q74" i="75" s="1"/>
  <c r="E23" i="55"/>
  <c r="K9" i="75"/>
  <c r="K7" i="75" s="1"/>
  <c r="G20" i="55"/>
  <c r="H20" i="55" s="1"/>
  <c r="I16" i="55"/>
  <c r="I18" i="55"/>
  <c r="G14" i="55"/>
  <c r="G19" i="55"/>
  <c r="K34" i="75"/>
  <c r="E12" i="55" s="1"/>
  <c r="G24" i="55"/>
  <c r="H24" i="55" s="1"/>
  <c r="K24" i="55"/>
  <c r="M75" i="75"/>
  <c r="E13" i="55"/>
  <c r="E15" i="55"/>
  <c r="J36" i="75"/>
  <c r="Q52" i="75"/>
  <c r="Q51" i="75" s="1"/>
  <c r="L52" i="75"/>
  <c r="L9" i="75"/>
  <c r="F9" i="55" s="1"/>
  <c r="M10" i="75"/>
  <c r="Q10" i="75" s="1"/>
  <c r="Q9" i="75" s="1"/>
  <c r="M35" i="75"/>
  <c r="Q35" i="75" s="1"/>
  <c r="Q34" i="75" s="1"/>
  <c r="Q33" i="75" s="1"/>
  <c r="L34" i="75"/>
  <c r="J9" i="75"/>
  <c r="J7" i="75" s="1"/>
  <c r="M24" i="75"/>
  <c r="Q24" i="75" s="1"/>
  <c r="L22" i="75"/>
  <c r="F10" i="55" s="1"/>
  <c r="J67" i="75"/>
  <c r="J57" i="75" s="1"/>
  <c r="K71" i="75"/>
  <c r="L41" i="75"/>
  <c r="K20" i="55" l="1"/>
  <c r="H14" i="55"/>
  <c r="K14" i="55"/>
  <c r="K33" i="75"/>
  <c r="E11" i="55" s="1"/>
  <c r="H19" i="55"/>
  <c r="K19" i="55"/>
  <c r="M9" i="75"/>
  <c r="G23" i="55"/>
  <c r="M74" i="75"/>
  <c r="M41" i="75"/>
  <c r="M22" i="75"/>
  <c r="M52" i="75"/>
  <c r="M34" i="75"/>
  <c r="L51" i="75"/>
  <c r="F16" i="55" s="1"/>
  <c r="F17" i="55"/>
  <c r="L33" i="75"/>
  <c r="F11" i="55" s="1"/>
  <c r="F12" i="55"/>
  <c r="E9" i="55"/>
  <c r="E7" i="55" s="1"/>
  <c r="L36" i="75"/>
  <c r="F13" i="55" s="1"/>
  <c r="F15" i="55"/>
  <c r="F7" i="55"/>
  <c r="L7" i="75"/>
  <c r="J79" i="75"/>
  <c r="M71" i="75"/>
  <c r="Q71" i="75" s="1"/>
  <c r="Q67" i="75" s="1"/>
  <c r="Q57" i="75" s="1"/>
  <c r="K67" i="75"/>
  <c r="G22" i="55" l="1"/>
  <c r="G17" i="55"/>
  <c r="K17" i="55" s="1"/>
  <c r="G10" i="55"/>
  <c r="H10" i="55" s="1"/>
  <c r="M7" i="75"/>
  <c r="K22" i="55"/>
  <c r="H23" i="55"/>
  <c r="K23" i="55"/>
  <c r="G9" i="55"/>
  <c r="M33" i="75"/>
  <c r="G15" i="55"/>
  <c r="K15" i="55" s="1"/>
  <c r="M36" i="75"/>
  <c r="M51" i="75"/>
  <c r="M67" i="75"/>
  <c r="G12" i="55"/>
  <c r="K57" i="75"/>
  <c r="K79" i="75" s="1"/>
  <c r="E21" i="55"/>
  <c r="L79" i="75"/>
  <c r="F25" i="55"/>
  <c r="H22" i="55" l="1"/>
  <c r="L88" i="61"/>
  <c r="G7" i="55"/>
  <c r="H17" i="55"/>
  <c r="G13" i="55"/>
  <c r="G21" i="55"/>
  <c r="K21" i="55" s="1"/>
  <c r="H15" i="55"/>
  <c r="H12" i="55"/>
  <c r="K12" i="55"/>
  <c r="H9" i="55"/>
  <c r="K9" i="55"/>
  <c r="G16" i="55"/>
  <c r="L86" i="61" s="1"/>
  <c r="G11" i="55"/>
  <c r="K11" i="55"/>
  <c r="M57" i="75"/>
  <c r="M79" i="75" s="1"/>
  <c r="E18" i="55"/>
  <c r="E25" i="55" s="1"/>
  <c r="F29" i="55"/>
  <c r="R20" i="40"/>
  <c r="AF20" i="40" s="1"/>
  <c r="H11" i="55" l="1"/>
  <c r="L84" i="61"/>
  <c r="H7" i="55"/>
  <c r="L83" i="61"/>
  <c r="K13" i="55"/>
  <c r="L85" i="61"/>
  <c r="H13" i="55"/>
  <c r="H21" i="55"/>
  <c r="G18" i="55"/>
  <c r="H16" i="55"/>
  <c r="K16" i="55"/>
  <c r="E29" i="55"/>
  <c r="Q20" i="40"/>
  <c r="E16" i="51"/>
  <c r="E20" i="51" s="1"/>
  <c r="K18" i="55" l="1"/>
  <c r="L87" i="61"/>
  <c r="H18" i="55"/>
  <c r="G25" i="55"/>
  <c r="H25" i="55" s="1"/>
  <c r="L20" i="40"/>
  <c r="J20" i="40" s="1"/>
  <c r="Q19" i="40"/>
  <c r="AE19" i="40" s="1"/>
  <c r="Z19" i="40" s="1"/>
  <c r="G16" i="51"/>
  <c r="F9" i="73"/>
  <c r="G8" i="73"/>
  <c r="F7" i="54"/>
  <c r="G29" i="55" l="1"/>
  <c r="L19" i="40"/>
  <c r="J19" i="40" s="1"/>
  <c r="G7" i="73"/>
  <c r="G18" i="73" s="1"/>
  <c r="G22" i="73" s="1"/>
  <c r="E8" i="54"/>
  <c r="E7" i="54" s="1"/>
  <c r="E12" i="54" s="1"/>
  <c r="E16" i="54" s="1"/>
  <c r="I9" i="73"/>
  <c r="I8" i="73" s="1"/>
  <c r="H10" i="73"/>
  <c r="H18" i="73" s="1"/>
  <c r="H22" i="73" s="1"/>
  <c r="F10" i="54"/>
  <c r="N16" i="70"/>
  <c r="G11" i="70"/>
  <c r="I7" i="70"/>
  <c r="E7" i="50" s="1"/>
  <c r="E12" i="50" l="1"/>
  <c r="E16" i="50" s="1"/>
  <c r="L65" i="61"/>
  <c r="I7" i="73"/>
  <c r="G7" i="54" s="1"/>
  <c r="I7" i="54" s="1"/>
  <c r="G8" i="54"/>
  <c r="I8" i="54" s="1"/>
  <c r="F9" i="54"/>
  <c r="I10" i="54"/>
  <c r="Q18" i="40"/>
  <c r="AE18" i="40" s="1"/>
  <c r="H11" i="70"/>
  <c r="N7" i="70" s="1"/>
  <c r="J7" i="50" s="1"/>
  <c r="I18" i="73"/>
  <c r="I22" i="73" s="1"/>
  <c r="N15" i="70"/>
  <c r="J9" i="50" s="1"/>
  <c r="J10" i="50"/>
  <c r="Q14" i="40"/>
  <c r="AE14" i="40" s="1"/>
  <c r="Z14" i="40" s="1"/>
  <c r="I20" i="70"/>
  <c r="I24" i="70" s="1"/>
  <c r="G12" i="54" l="1"/>
  <c r="L14" i="40"/>
  <c r="J14" i="40" s="1"/>
  <c r="G16" i="54"/>
  <c r="I9" i="54"/>
  <c r="F12" i="54"/>
  <c r="J8" i="50"/>
  <c r="H23" i="71"/>
  <c r="G11" i="52" s="1"/>
  <c r="H11" i="52" s="1"/>
  <c r="G10" i="52"/>
  <c r="H10" i="52" s="1"/>
  <c r="F8" i="71"/>
  <c r="F7" i="71" s="1"/>
  <c r="F48" i="71" s="1"/>
  <c r="F52" i="71" s="1"/>
  <c r="H8" i="71"/>
  <c r="G8" i="52" s="1"/>
  <c r="G8" i="71"/>
  <c r="F13" i="52"/>
  <c r="E13" i="52"/>
  <c r="F8" i="52" l="1"/>
  <c r="G7" i="71"/>
  <c r="G48" i="71" s="1"/>
  <c r="G15" i="52"/>
  <c r="H15" i="52" s="1"/>
  <c r="H28" i="71"/>
  <c r="G13" i="52" s="1"/>
  <c r="H13" i="52" s="1"/>
  <c r="E8" i="52"/>
  <c r="E7" i="52" s="1"/>
  <c r="E18" i="52" s="1"/>
  <c r="E22" i="52" s="1"/>
  <c r="N18" i="40"/>
  <c r="AB18" i="40" s="1"/>
  <c r="F16" i="54"/>
  <c r="I12" i="54"/>
  <c r="G14" i="52"/>
  <c r="H14" i="52" s="1"/>
  <c r="N20" i="70"/>
  <c r="N24" i="70" s="1"/>
  <c r="L18" i="40" l="1"/>
  <c r="H8" i="52"/>
  <c r="N15" i="40"/>
  <c r="AB15" i="40" s="1"/>
  <c r="J12" i="50"/>
  <c r="J16" i="50" l="1"/>
  <c r="I31" i="69" l="1"/>
  <c r="H31" i="69" s="1"/>
  <c r="I30" i="69"/>
  <c r="H30" i="69" s="1"/>
  <c r="G23" i="69"/>
  <c r="I19" i="69"/>
  <c r="G19" i="69" s="1"/>
  <c r="I16" i="69"/>
  <c r="G16" i="69" s="1"/>
  <c r="I14" i="69"/>
  <c r="G14" i="69" s="1"/>
  <c r="I12" i="69"/>
  <c r="I11" i="69"/>
  <c r="H8" i="69"/>
  <c r="H7" i="69" l="1"/>
  <c r="F8" i="49" s="1"/>
  <c r="F9" i="49"/>
  <c r="G27" i="69"/>
  <c r="G26" i="69" l="1"/>
  <c r="E10" i="49" s="1"/>
  <c r="E11" i="49"/>
  <c r="F131" i="68" l="1"/>
  <c r="H131" i="68"/>
  <c r="G23" i="48" s="1"/>
  <c r="G22" i="48" s="1"/>
  <c r="G131" i="68"/>
  <c r="F23" i="48" s="1"/>
  <c r="F22" i="48" s="1"/>
  <c r="H122" i="68"/>
  <c r="G21" i="48" s="1"/>
  <c r="G20" i="48" s="1"/>
  <c r="G122" i="68"/>
  <c r="F21" i="48" s="1"/>
  <c r="F20" i="48" s="1"/>
  <c r="H38" i="68"/>
  <c r="G18" i="48" s="1"/>
  <c r="G38" i="68"/>
  <c r="F18" i="48" s="1"/>
  <c r="F38" i="68"/>
  <c r="E18" i="48" s="1"/>
  <c r="H34" i="68"/>
  <c r="G17" i="48" s="1"/>
  <c r="G34" i="68"/>
  <c r="F17" i="48" s="1"/>
  <c r="F25" i="68"/>
  <c r="E14" i="48" s="1"/>
  <c r="H25" i="68"/>
  <c r="G14" i="48" s="1"/>
  <c r="G13" i="48" s="1"/>
  <c r="G25" i="68"/>
  <c r="F14" i="48" s="1"/>
  <c r="F13" i="48" s="1"/>
  <c r="I20" i="68"/>
  <c r="H20" i="68"/>
  <c r="G12" i="48" s="1"/>
  <c r="G11" i="48" s="1"/>
  <c r="G20" i="68"/>
  <c r="F12" i="48" s="1"/>
  <c r="F11" i="48" s="1"/>
  <c r="F20" i="68"/>
  <c r="E12" i="48" s="1"/>
  <c r="I18" i="68"/>
  <c r="P18" i="68" s="1"/>
  <c r="I15" i="68"/>
  <c r="P15" i="68" s="1"/>
  <c r="H14" i="68"/>
  <c r="G10" i="48" s="1"/>
  <c r="G9" i="48" s="1"/>
  <c r="G14" i="68"/>
  <c r="F10" i="48" s="1"/>
  <c r="F9" i="48" s="1"/>
  <c r="I12" i="68"/>
  <c r="I9" i="68"/>
  <c r="P9" i="68" s="1"/>
  <c r="H8" i="68"/>
  <c r="G8" i="48" s="1"/>
  <c r="G7" i="48" s="1"/>
  <c r="G8" i="68"/>
  <c r="F8" i="48" s="1"/>
  <c r="F7" i="48" s="1"/>
  <c r="F16" i="48" l="1"/>
  <c r="F25" i="48" s="1"/>
  <c r="I19" i="68"/>
  <c r="H12" i="48"/>
  <c r="H11" i="48" s="1"/>
  <c r="P14" i="68"/>
  <c r="I65" i="68"/>
  <c r="P65" i="68" s="1"/>
  <c r="P12" i="68"/>
  <c r="P8" i="68" s="1"/>
  <c r="F130" i="68"/>
  <c r="E23" i="48"/>
  <c r="E22" i="48" s="1"/>
  <c r="G33" i="68"/>
  <c r="H130" i="68"/>
  <c r="G130" i="68"/>
  <c r="G121" i="68"/>
  <c r="G13" i="68"/>
  <c r="H121" i="68"/>
  <c r="H7" i="68"/>
  <c r="H13" i="68"/>
  <c r="G7" i="68"/>
  <c r="H24" i="68"/>
  <c r="G24" i="68"/>
  <c r="F24" i="68"/>
  <c r="E13" i="48"/>
  <c r="F19" i="68"/>
  <c r="E11" i="48"/>
  <c r="G19" i="68"/>
  <c r="H19" i="68"/>
  <c r="I122" i="68"/>
  <c r="I34" i="68"/>
  <c r="H17" i="48" s="1"/>
  <c r="I8" i="68"/>
  <c r="F14" i="68"/>
  <c r="E10" i="48" s="1"/>
  <c r="I14" i="68"/>
  <c r="H10" i="48" s="1"/>
  <c r="H9" i="48" s="1"/>
  <c r="F34" i="68"/>
  <c r="E17" i="48" s="1"/>
  <c r="H42" i="68"/>
  <c r="G19" i="48" s="1"/>
  <c r="G16" i="48" s="1"/>
  <c r="G25" i="48" s="1"/>
  <c r="M12" i="40" s="1"/>
  <c r="AA12" i="40" s="1"/>
  <c r="F8" i="68"/>
  <c r="E8" i="48" s="1"/>
  <c r="F122" i="68"/>
  <c r="AA21" i="40" l="1"/>
  <c r="F65" i="68"/>
  <c r="I121" i="68"/>
  <c r="H21" i="48"/>
  <c r="H20" i="48" s="1"/>
  <c r="I7" i="68"/>
  <c r="H8" i="48"/>
  <c r="H7" i="48" s="1"/>
  <c r="P7" i="68"/>
  <c r="O7" i="48" s="1"/>
  <c r="O8" i="48"/>
  <c r="P13" i="68"/>
  <c r="O9" i="48" s="1"/>
  <c r="O10" i="48"/>
  <c r="F121" i="68"/>
  <c r="E21" i="48"/>
  <c r="I13" i="68"/>
  <c r="F13" i="68"/>
  <c r="E9" i="48"/>
  <c r="G139" i="68"/>
  <c r="G143" i="68" s="1"/>
  <c r="F7" i="68"/>
  <c r="E7" i="48"/>
  <c r="O12" i="40"/>
  <c r="AC12" i="40" s="1"/>
  <c r="H33" i="68"/>
  <c r="H139" i="68" s="1"/>
  <c r="E20" i="48" l="1"/>
  <c r="O21" i="40"/>
  <c r="AC21" i="40" s="1"/>
  <c r="H143" i="68"/>
  <c r="F30" i="48"/>
  <c r="M21" i="40"/>
  <c r="AA23" i="40" s="1"/>
  <c r="G30" i="48"/>
  <c r="I111" i="66" l="1"/>
  <c r="H111" i="66"/>
  <c r="G18" i="45" s="1"/>
  <c r="G111" i="66"/>
  <c r="F18" i="45" s="1"/>
  <c r="F111" i="66"/>
  <c r="E18" i="45" s="1"/>
  <c r="G107" i="66"/>
  <c r="F17" i="45" s="1"/>
  <c r="H107" i="66"/>
  <c r="G17" i="45" s="1"/>
  <c r="F107" i="66"/>
  <c r="E17" i="45" s="1"/>
  <c r="Q103" i="66"/>
  <c r="G103" i="66"/>
  <c r="F16" i="45" s="1"/>
  <c r="F103" i="66"/>
  <c r="E16" i="45" s="1"/>
  <c r="F85" i="66"/>
  <c r="E15" i="45" s="1"/>
  <c r="I79" i="66"/>
  <c r="Q79" i="66" s="1"/>
  <c r="I74" i="66"/>
  <c r="F72" i="66"/>
  <c r="F10" i="45"/>
  <c r="F66" i="66"/>
  <c r="E10" i="45" s="1"/>
  <c r="H60" i="66"/>
  <c r="G9" i="45" s="1"/>
  <c r="F60" i="66"/>
  <c r="E9" i="45" s="1"/>
  <c r="I57" i="66"/>
  <c r="Q57" i="66" s="1"/>
  <c r="I56" i="66"/>
  <c r="Q56" i="66" s="1"/>
  <c r="I55" i="66"/>
  <c r="Q55" i="66" s="1"/>
  <c r="I54" i="66"/>
  <c r="Q54" i="66" s="1"/>
  <c r="I53" i="66"/>
  <c r="Q53" i="66" s="1"/>
  <c r="I52" i="66"/>
  <c r="Q52" i="66" s="1"/>
  <c r="I51" i="66"/>
  <c r="Q51" i="66" s="1"/>
  <c r="I42" i="66"/>
  <c r="Q42" i="66" s="1"/>
  <c r="I41" i="66"/>
  <c r="Q41" i="66" s="1"/>
  <c r="I35" i="66"/>
  <c r="I34" i="66"/>
  <c r="Q34" i="66" s="1"/>
  <c r="I33" i="66"/>
  <c r="I32" i="66"/>
  <c r="I31" i="66"/>
  <c r="Q31" i="66" s="1"/>
  <c r="I30" i="66"/>
  <c r="Q30" i="66" s="1"/>
  <c r="I26" i="66"/>
  <c r="Q26" i="66" s="1"/>
  <c r="I25" i="66"/>
  <c r="Q25" i="66" s="1"/>
  <c r="I20" i="66"/>
  <c r="Q20" i="66" s="1"/>
  <c r="I19" i="66"/>
  <c r="Q19" i="66" s="1"/>
  <c r="I13" i="66"/>
  <c r="Q13" i="66" s="1"/>
  <c r="I12" i="66"/>
  <c r="I10" i="66"/>
  <c r="H8" i="66"/>
  <c r="E8" i="66"/>
  <c r="E11" i="45"/>
  <c r="D8" i="45"/>
  <c r="I103" i="66" l="1"/>
  <c r="P16" i="45"/>
  <c r="Q84" i="66"/>
  <c r="G26" i="66"/>
  <c r="F32" i="66"/>
  <c r="F8" i="66" s="1"/>
  <c r="Q32" i="66"/>
  <c r="G13" i="66"/>
  <c r="G33" i="66"/>
  <c r="Q33" i="66"/>
  <c r="Q62" i="66"/>
  <c r="G10" i="66"/>
  <c r="Q10" i="66"/>
  <c r="G12" i="66"/>
  <c r="Q12" i="66"/>
  <c r="Q63" i="66"/>
  <c r="G74" i="66"/>
  <c r="Q74" i="66"/>
  <c r="G35" i="66"/>
  <c r="Q35" i="66"/>
  <c r="Q64" i="66"/>
  <c r="Q78" i="66"/>
  <c r="P13" i="45" s="1"/>
  <c r="H16" i="45"/>
  <c r="G79" i="66"/>
  <c r="I78" i="66"/>
  <c r="H13" i="45" s="1"/>
  <c r="H7" i="66"/>
  <c r="G8" i="45"/>
  <c r="G7" i="45" s="1"/>
  <c r="H18" i="45"/>
  <c r="I18" i="45" s="1"/>
  <c r="H103" i="66"/>
  <c r="I85" i="66"/>
  <c r="H15" i="45" s="1"/>
  <c r="I107" i="66"/>
  <c r="F84" i="66"/>
  <c r="E14" i="45"/>
  <c r="G85" i="66"/>
  <c r="H10" i="45"/>
  <c r="G11" i="45"/>
  <c r="G78" i="66" l="1"/>
  <c r="F13" i="45" s="1"/>
  <c r="I13" i="45" s="1"/>
  <c r="P14" i="45"/>
  <c r="H84" i="66"/>
  <c r="H116" i="66" s="1"/>
  <c r="H120" i="66" s="1"/>
  <c r="G16" i="45"/>
  <c r="H17" i="45"/>
  <c r="I17" i="45" s="1"/>
  <c r="G84" i="66"/>
  <c r="F15" i="45"/>
  <c r="F14" i="45" s="1"/>
  <c r="F7" i="66"/>
  <c r="F116" i="66" s="1"/>
  <c r="F120" i="66" s="1"/>
  <c r="E8" i="45"/>
  <c r="E7" i="45" s="1"/>
  <c r="E19" i="45" s="1"/>
  <c r="E23" i="45" s="1"/>
  <c r="I10" i="45"/>
  <c r="I84" i="66"/>
  <c r="H14" i="45" s="1"/>
  <c r="L39" i="61" s="1"/>
  <c r="I16" i="45" l="1"/>
  <c r="G14" i="45"/>
  <c r="G19" i="45" s="1"/>
  <c r="I15" i="45"/>
  <c r="N9" i="40"/>
  <c r="AB9" i="40" s="1"/>
  <c r="G23" i="45" l="1"/>
  <c r="R9" i="40"/>
  <c r="AF9" i="40" s="1"/>
  <c r="I14" i="45"/>
  <c r="F10" i="41" l="1"/>
  <c r="G10" i="41" s="1"/>
  <c r="G8" i="41"/>
  <c r="F18" i="41" l="1"/>
  <c r="G7" i="41"/>
  <c r="H6" i="77"/>
  <c r="G18" i="41" l="1"/>
  <c r="F22" i="41"/>
  <c r="C5" i="79"/>
  <c r="J97" i="61"/>
  <c r="H114" i="61" s="1"/>
  <c r="J92" i="61"/>
  <c r="H113" i="61" s="1"/>
  <c r="L113" i="61" s="1"/>
  <c r="C4" i="79" l="1"/>
  <c r="C8" i="79"/>
  <c r="C3" i="79"/>
  <c r="C6" i="79"/>
  <c r="C7" i="79"/>
  <c r="L114" i="61"/>
  <c r="L115" i="61" s="1"/>
  <c r="H105" i="61"/>
  <c r="J104" i="61" s="1"/>
  <c r="I7" i="61"/>
  <c r="I9" i="61"/>
  <c r="I10" i="61"/>
  <c r="I12" i="61"/>
  <c r="I13" i="61"/>
  <c r="I14" i="61"/>
  <c r="I16" i="61"/>
  <c r="I17" i="61"/>
  <c r="I18" i="61"/>
  <c r="I19" i="61"/>
  <c r="I21" i="61"/>
  <c r="I22" i="61"/>
  <c r="I23" i="61"/>
  <c r="I26" i="61"/>
  <c r="I27" i="61"/>
  <c r="I28" i="61"/>
  <c r="I29" i="61"/>
  <c r="I30" i="61"/>
  <c r="I31" i="61"/>
  <c r="I32" i="61"/>
  <c r="I33" i="61"/>
  <c r="I34" i="61"/>
  <c r="I35" i="61"/>
  <c r="I37" i="61"/>
  <c r="I38" i="61"/>
  <c r="I39" i="61"/>
  <c r="I41" i="61"/>
  <c r="I42" i="61"/>
  <c r="I43" i="61"/>
  <c r="I44" i="61"/>
  <c r="I45" i="61"/>
  <c r="I48" i="61"/>
  <c r="I49" i="61"/>
  <c r="I50" i="61"/>
  <c r="I52" i="61"/>
  <c r="I53" i="61"/>
  <c r="I54" i="61"/>
  <c r="I55" i="61"/>
  <c r="I56" i="61"/>
  <c r="I58" i="61"/>
  <c r="I61" i="61"/>
  <c r="I62" i="61"/>
  <c r="I65" i="61"/>
  <c r="I66" i="61"/>
  <c r="I68" i="61"/>
  <c r="I69" i="61"/>
  <c r="I71" i="61"/>
  <c r="I75" i="61"/>
  <c r="I76" i="61"/>
  <c r="I79" i="61"/>
  <c r="I80" i="61"/>
  <c r="I83" i="61"/>
  <c r="I84" i="61"/>
  <c r="I85" i="61"/>
  <c r="I86" i="61"/>
  <c r="I87" i="61"/>
  <c r="I88" i="61"/>
  <c r="I6" i="61"/>
  <c r="H82" i="61"/>
  <c r="J82" i="61"/>
  <c r="H78" i="61"/>
  <c r="J78" i="61"/>
  <c r="H74" i="61"/>
  <c r="J74" i="61"/>
  <c r="H70" i="61"/>
  <c r="J70" i="61"/>
  <c r="H67" i="61"/>
  <c r="J67" i="61"/>
  <c r="H64" i="61"/>
  <c r="J64" i="61"/>
  <c r="H60" i="61"/>
  <c r="J60" i="61"/>
  <c r="H51" i="61"/>
  <c r="J51" i="61"/>
  <c r="H47" i="61"/>
  <c r="J47" i="61"/>
  <c r="H40" i="61"/>
  <c r="J40" i="61"/>
  <c r="H36" i="61"/>
  <c r="J36" i="61"/>
  <c r="H25" i="61"/>
  <c r="J25" i="61"/>
  <c r="H11" i="61"/>
  <c r="J11" i="61"/>
  <c r="J8" i="61"/>
  <c r="J5" i="61"/>
  <c r="H5" i="61"/>
  <c r="I11" i="61" l="1"/>
  <c r="I47" i="61"/>
  <c r="I67" i="61"/>
  <c r="I8" i="61"/>
  <c r="I40" i="61"/>
  <c r="I64" i="61"/>
  <c r="I78" i="61"/>
  <c r="C9" i="79"/>
  <c r="I5" i="61"/>
  <c r="I25" i="61"/>
  <c r="I70" i="61"/>
  <c r="I60" i="61"/>
  <c r="I36" i="61"/>
  <c r="I74" i="61"/>
  <c r="J90" i="61"/>
  <c r="H90" i="61"/>
  <c r="I51" i="61"/>
  <c r="I82" i="61"/>
  <c r="H107" i="61"/>
  <c r="H106" i="61"/>
  <c r="J105" i="61" s="1"/>
  <c r="H99" i="61"/>
  <c r="J106" i="61" l="1"/>
  <c r="K80" i="61" l="1"/>
  <c r="K75" i="61"/>
  <c r="K71" i="61"/>
  <c r="K66" i="61"/>
  <c r="K58" i="61"/>
  <c r="K56" i="61"/>
  <c r="K54" i="61"/>
  <c r="K53" i="61"/>
  <c r="K52" i="61"/>
  <c r="K42" i="61"/>
  <c r="K39" i="61"/>
  <c r="K6" i="61"/>
  <c r="L64" i="61" l="1"/>
  <c r="K64" i="61" s="1"/>
  <c r="K65" i="61"/>
  <c r="L78" i="61"/>
  <c r="K78" i="61" s="1"/>
  <c r="K79" i="61"/>
  <c r="Q22" i="40" l="1"/>
  <c r="AE22" i="40" s="1"/>
  <c r="O22" i="40" l="1"/>
  <c r="AC22" i="40" s="1"/>
  <c r="AC23" i="40" s="1"/>
  <c r="R22" i="40"/>
  <c r="AF22" i="40" s="1"/>
  <c r="P22" i="40"/>
  <c r="AD22" i="40" s="1"/>
  <c r="AD23" i="40" s="1"/>
  <c r="N22" i="40"/>
  <c r="AB22" i="40" s="1"/>
  <c r="L22" i="40" l="1"/>
  <c r="T25" i="40" l="1"/>
  <c r="G20" i="40"/>
  <c r="G15" i="40"/>
  <c r="G11" i="40"/>
  <c r="G7" i="40"/>
  <c r="G14" i="40"/>
  <c r="G6" i="40"/>
  <c r="G19" i="40"/>
  <c r="G10" i="40"/>
  <c r="G18" i="40"/>
  <c r="G13" i="40"/>
  <c r="G9" i="40"/>
  <c r="G5" i="40"/>
  <c r="G16" i="40"/>
  <c r="G12" i="40"/>
  <c r="G8" i="40"/>
  <c r="K85" i="61"/>
  <c r="G21" i="40" l="1"/>
  <c r="K83" i="61"/>
  <c r="K88" i="61" l="1"/>
  <c r="K87" i="61"/>
  <c r="K86" i="61"/>
  <c r="K84" i="61" l="1"/>
  <c r="L82" i="61"/>
  <c r="K82" i="61" s="1"/>
  <c r="L74" i="61" l="1"/>
  <c r="K74" i="61" s="1"/>
  <c r="K76" i="61"/>
  <c r="L70" i="61"/>
  <c r="K70" i="61" s="1"/>
  <c r="K68" i="61" l="1"/>
  <c r="L51" i="61" l="1"/>
  <c r="K51" i="61" s="1"/>
  <c r="K55" i="61"/>
  <c r="K50" i="61"/>
  <c r="K48" i="61" l="1"/>
  <c r="K44" i="61"/>
  <c r="K41" i="61"/>
  <c r="K45" i="61" l="1"/>
  <c r="K49" i="61" l="1"/>
  <c r="L47" i="61"/>
  <c r="K47" i="61" s="1"/>
  <c r="L40" i="61"/>
  <c r="K40" i="61" s="1"/>
  <c r="K43" i="61"/>
  <c r="K12" i="61" l="1"/>
  <c r="K23" i="61"/>
  <c r="K13" i="61"/>
  <c r="K21" i="61"/>
  <c r="K16" i="61" l="1"/>
  <c r="K34" i="61"/>
  <c r="K30" i="61" l="1"/>
  <c r="K35" i="61"/>
  <c r="K26" i="61" l="1"/>
  <c r="K28" i="61"/>
  <c r="K31" i="61"/>
  <c r="K33" i="61"/>
  <c r="K29" i="61" l="1"/>
  <c r="K27" i="61"/>
  <c r="K32" i="61"/>
  <c r="L25" i="61" l="1"/>
  <c r="K25" i="61" s="1"/>
  <c r="K18" i="61"/>
  <c r="K19" i="61"/>
  <c r="K5" i="61" l="1"/>
  <c r="K7" i="61"/>
  <c r="O23" i="40" l="1"/>
  <c r="F20" i="40"/>
  <c r="F19" i="40"/>
  <c r="F11" i="40"/>
  <c r="F10" i="40"/>
  <c r="F5" i="40"/>
  <c r="F18" i="40" l="1"/>
  <c r="J18" i="40"/>
  <c r="F16" i="40"/>
  <c r="J16" i="40"/>
  <c r="F8" i="40"/>
  <c r="F14" i="40"/>
  <c r="P23" i="40"/>
  <c r="P25" i="40" s="1"/>
  <c r="M23" i="40"/>
  <c r="M25" i="40" s="1"/>
  <c r="O25" i="40"/>
  <c r="E5" i="78" l="1"/>
  <c r="E6" i="78"/>
  <c r="E7" i="78"/>
  <c r="E8" i="78"/>
  <c r="E9" i="78"/>
  <c r="E10" i="78"/>
  <c r="E11" i="78"/>
  <c r="E12" i="78"/>
  <c r="E13" i="78"/>
  <c r="E14" i="78"/>
  <c r="E15" i="78"/>
  <c r="E16" i="78"/>
  <c r="E17" i="78"/>
  <c r="E18" i="78"/>
  <c r="E19" i="78"/>
  <c r="E4" i="78"/>
  <c r="E13" i="77"/>
  <c r="D13" i="77"/>
  <c r="F9" i="77"/>
  <c r="F10" i="77"/>
  <c r="F11" i="77"/>
  <c r="F12" i="77"/>
  <c r="F5" i="77"/>
  <c r="F6" i="77"/>
  <c r="F7" i="77"/>
  <c r="F8" i="77"/>
  <c r="F4" i="77"/>
  <c r="F3" i="77"/>
  <c r="E14" i="77" l="1"/>
  <c r="F13" i="77"/>
  <c r="E20" i="78"/>
  <c r="C18" i="40" l="1"/>
  <c r="C19" i="40"/>
  <c r="C20" i="40"/>
  <c r="F9" i="59" l="1"/>
  <c r="U17" i="40" s="1"/>
  <c r="AB17" i="40" s="1"/>
  <c r="S17" i="40" l="1"/>
  <c r="F19" i="58"/>
  <c r="E19" i="30"/>
  <c r="L67" i="61" l="1"/>
  <c r="K69" i="61"/>
  <c r="E19" i="58"/>
  <c r="K67" i="61" l="1"/>
  <c r="I43" i="66" l="1"/>
  <c r="I8" i="66" s="1"/>
  <c r="Q43" i="66" l="1"/>
  <c r="Q8" i="66" s="1"/>
  <c r="H8" i="45" l="1"/>
  <c r="P8" i="45"/>
  <c r="I32" i="43" l="1"/>
  <c r="F32" i="43"/>
  <c r="I31" i="43"/>
  <c r="L22" i="61" s="1"/>
  <c r="K22" i="61" s="1"/>
  <c r="J32" i="43" l="1"/>
  <c r="F31" i="43"/>
  <c r="J31" i="43" s="1"/>
  <c r="P32" i="43"/>
  <c r="P31" i="43" l="1"/>
  <c r="I20" i="43"/>
  <c r="G20" i="43" l="1"/>
  <c r="I18" i="43" l="1"/>
  <c r="L17" i="61" s="1"/>
  <c r="K17" i="61" s="1"/>
  <c r="G18" i="43"/>
  <c r="J20" i="43"/>
  <c r="G36" i="43" l="1"/>
  <c r="J18" i="43"/>
  <c r="R7" i="40" l="1"/>
  <c r="G40" i="43"/>
  <c r="I11" i="43" l="1"/>
  <c r="F12" i="43"/>
  <c r="I12" i="43"/>
  <c r="I36" i="43" l="1"/>
  <c r="I40" i="43" s="1"/>
  <c r="L14" i="61"/>
  <c r="J12" i="43"/>
  <c r="F11" i="43"/>
  <c r="L11" i="61" l="1"/>
  <c r="K11" i="61" s="1"/>
  <c r="K14" i="61"/>
  <c r="F36" i="43"/>
  <c r="J11" i="43"/>
  <c r="Q7" i="40" l="1"/>
  <c r="F40" i="43"/>
  <c r="J36" i="43"/>
  <c r="L7" i="40" l="1"/>
  <c r="J7" i="40" l="1"/>
  <c r="F7" i="40"/>
  <c r="L19" i="43" l="1"/>
  <c r="L18" i="43" l="1"/>
  <c r="L36" i="43" l="1"/>
  <c r="L40" i="43" s="1"/>
  <c r="X7" i="40" l="1"/>
  <c r="AE7" i="40" s="1"/>
  <c r="M19" i="43" l="1"/>
  <c r="P19" i="43" l="1"/>
  <c r="N19" i="43" l="1"/>
  <c r="M18" i="43"/>
  <c r="P18" i="43"/>
  <c r="N18" i="43" l="1"/>
  <c r="I88" i="68" l="1"/>
  <c r="P88" i="68" s="1"/>
  <c r="I8" i="69" l="1"/>
  <c r="G8" i="69"/>
  <c r="E9" i="49" s="1"/>
  <c r="G9" i="49" l="1"/>
  <c r="I9" i="49" s="1"/>
  <c r="I7" i="69"/>
  <c r="G7" i="69"/>
  <c r="E8" i="49" l="1"/>
  <c r="G33" i="69"/>
  <c r="G37" i="69" s="1"/>
  <c r="G8" i="49"/>
  <c r="L61" i="61" s="1"/>
  <c r="K61" i="61" l="1"/>
  <c r="E12" i="49"/>
  <c r="I8" i="49"/>
  <c r="E16" i="49" l="1"/>
  <c r="Q13" i="40"/>
  <c r="AE13" i="40" l="1"/>
  <c r="H13" i="71" l="1"/>
  <c r="F9" i="52"/>
  <c r="H14" i="71"/>
  <c r="H16" i="71"/>
  <c r="G52" i="71" l="1"/>
  <c r="H10" i="71"/>
  <c r="G9" i="52" s="1"/>
  <c r="H9" i="52" s="1"/>
  <c r="F7" i="52"/>
  <c r="H7" i="71" l="1"/>
  <c r="G7" i="52" s="1"/>
  <c r="G18" i="52" s="1"/>
  <c r="G22" i="52" s="1"/>
  <c r="F18" i="52"/>
  <c r="H48" i="71" l="1"/>
  <c r="H52" i="71" s="1"/>
  <c r="H18" i="52"/>
  <c r="F22" i="52"/>
  <c r="Q15" i="40"/>
  <c r="H7" i="52"/>
  <c r="L15" i="40" l="1"/>
  <c r="AE15" i="40"/>
  <c r="J15" i="40" l="1"/>
  <c r="F15" i="40"/>
  <c r="C14" i="40"/>
  <c r="I42" i="68" l="1"/>
  <c r="H19" i="48" s="1"/>
  <c r="H16" i="48" s="1"/>
  <c r="H25" i="48" s="1"/>
  <c r="H30" i="48" s="1"/>
  <c r="F42" i="68"/>
  <c r="E19" i="48" s="1"/>
  <c r="E16" i="48" s="1"/>
  <c r="E25" i="48" s="1"/>
  <c r="P110" i="68"/>
  <c r="P42" i="68"/>
  <c r="O19" i="48" s="1"/>
  <c r="E30" i="48" l="1"/>
  <c r="N12" i="40"/>
  <c r="I33" i="68"/>
  <c r="I139" i="68" s="1"/>
  <c r="I143" i="68" s="1"/>
  <c r="F33" i="68"/>
  <c r="F139" i="68" s="1"/>
  <c r="F143" i="68" s="1"/>
  <c r="P33" i="68"/>
  <c r="O16" i="48" l="1"/>
  <c r="P139" i="68"/>
  <c r="L12" i="40"/>
  <c r="AB12" i="40"/>
  <c r="N21" i="40"/>
  <c r="N23" i="40" s="1"/>
  <c r="N25" i="40" s="1"/>
  <c r="C11" i="40" l="1"/>
  <c r="J12" i="40"/>
  <c r="F12" i="40"/>
  <c r="O25" i="48"/>
  <c r="O30" i="48" s="1"/>
  <c r="P143" i="68"/>
  <c r="N9" i="63" l="1"/>
  <c r="N10" i="63"/>
  <c r="N8" i="63" l="1"/>
  <c r="E8" i="42"/>
  <c r="L8" i="42"/>
  <c r="F8" i="42"/>
  <c r="G8" i="42" l="1"/>
  <c r="F9" i="42"/>
  <c r="H23" i="63"/>
  <c r="F13" i="42" s="1"/>
  <c r="G13" i="42" s="1"/>
  <c r="H22" i="63"/>
  <c r="N25" i="63"/>
  <c r="G23" i="63"/>
  <c r="G22" i="63" s="1"/>
  <c r="N24" i="63"/>
  <c r="N23" i="63" s="1"/>
  <c r="L13" i="42" s="1"/>
  <c r="N14" i="63"/>
  <c r="N13" i="63" s="1"/>
  <c r="L9" i="42" l="1"/>
  <c r="E9" i="42"/>
  <c r="G9" i="42" s="1"/>
  <c r="F7" i="42"/>
  <c r="L9" i="61" s="1"/>
  <c r="H13" i="42"/>
  <c r="F12" i="42"/>
  <c r="N22" i="63"/>
  <c r="L12" i="42" s="1"/>
  <c r="K9" i="61" l="1"/>
  <c r="G12" i="42"/>
  <c r="L10" i="61"/>
  <c r="K10" i="61" s="1"/>
  <c r="F15" i="42"/>
  <c r="F19" i="42" s="1"/>
  <c r="G7" i="42"/>
  <c r="E15" i="42"/>
  <c r="H27" i="63"/>
  <c r="H33" i="63" s="1"/>
  <c r="L7" i="42"/>
  <c r="L15" i="42" s="1"/>
  <c r="L19" i="42" s="1"/>
  <c r="N33" i="63"/>
  <c r="G27" i="63"/>
  <c r="G33" i="63" s="1"/>
  <c r="L8" i="61" l="1"/>
  <c r="K8" i="61" s="1"/>
  <c r="E19" i="42"/>
  <c r="Q6" i="40"/>
  <c r="G15" i="42"/>
  <c r="G19" i="42" s="1"/>
  <c r="L6" i="40" l="1"/>
  <c r="AE6" i="40"/>
  <c r="Z6" i="40" s="1"/>
  <c r="J6" i="40" l="1"/>
  <c r="F6" i="40"/>
  <c r="C5" i="40"/>
  <c r="N22" i="64" l="1"/>
  <c r="M12" i="43" s="1"/>
  <c r="N21" i="64" l="1"/>
  <c r="M11" i="43" l="1"/>
  <c r="N218" i="64"/>
  <c r="M36" i="43" l="1"/>
  <c r="N222" i="64"/>
  <c r="Y7" i="40" l="1"/>
  <c r="M40" i="43"/>
  <c r="Y21" i="40" l="1"/>
  <c r="AF7" i="40"/>
  <c r="Y23" i="40" l="1"/>
  <c r="O22" i="64"/>
  <c r="N12" i="43" s="1"/>
  <c r="Q59" i="64"/>
  <c r="L22" i="64" s="1"/>
  <c r="Q22" i="64" l="1"/>
  <c r="Q21" i="64" s="1"/>
  <c r="Q218" i="64" s="1"/>
  <c r="P36" i="43" s="1"/>
  <c r="L21" i="64"/>
  <c r="K12" i="43"/>
  <c r="O21" i="64"/>
  <c r="P12" i="43" l="1"/>
  <c r="P11" i="43"/>
  <c r="N11" i="43"/>
  <c r="O218" i="64"/>
  <c r="Q222" i="64"/>
  <c r="P40" i="43"/>
  <c r="K11" i="43"/>
  <c r="L218" i="64"/>
  <c r="K36" i="43" l="1"/>
  <c r="L222" i="64"/>
  <c r="O222" i="64"/>
  <c r="N36" i="43"/>
  <c r="N40" i="43" s="1"/>
  <c r="U7" i="40" l="1"/>
  <c r="K40" i="43"/>
  <c r="S7" i="40" l="1"/>
  <c r="AB7" i="40"/>
  <c r="Z7" i="40" s="1"/>
  <c r="U21" i="40"/>
  <c r="U23" i="40" l="1"/>
  <c r="AB21" i="40"/>
  <c r="AB23" i="40" s="1"/>
  <c r="G8" i="66"/>
  <c r="F8" i="45" l="1"/>
  <c r="G7" i="66"/>
  <c r="I8" i="45"/>
  <c r="I60" i="66"/>
  <c r="I7" i="66" s="1"/>
  <c r="G60" i="66"/>
  <c r="Q61" i="66"/>
  <c r="Q60" i="66" s="1"/>
  <c r="Q7" i="66" s="1"/>
  <c r="P7" i="45" l="1"/>
  <c r="F9" i="45"/>
  <c r="H7" i="45"/>
  <c r="L37" i="61" s="1"/>
  <c r="P9" i="45"/>
  <c r="H9" i="45"/>
  <c r="K37" i="61" l="1"/>
  <c r="F7" i="45"/>
  <c r="I9" i="45"/>
  <c r="I7" i="45" l="1"/>
  <c r="I73" i="66"/>
  <c r="H12" i="45" s="1"/>
  <c r="G73" i="66"/>
  <c r="Q73" i="66"/>
  <c r="Q72" i="66" s="1"/>
  <c r="P11" i="45" l="1"/>
  <c r="Q116" i="66"/>
  <c r="G72" i="66"/>
  <c r="G116" i="66" s="1"/>
  <c r="G120" i="66" s="1"/>
  <c r="F12" i="45"/>
  <c r="I72" i="66"/>
  <c r="P12" i="45"/>
  <c r="I12" i="45" l="1"/>
  <c r="F11" i="45"/>
  <c r="Q120" i="66"/>
  <c r="P19" i="45"/>
  <c r="P23" i="45" s="1"/>
  <c r="I116" i="66"/>
  <c r="I120" i="66" s="1"/>
  <c r="H11" i="45"/>
  <c r="H19" i="45" l="1"/>
  <c r="H23" i="45" s="1"/>
  <c r="L38" i="61"/>
  <c r="F19" i="45"/>
  <c r="I11" i="45"/>
  <c r="K38" i="61" l="1"/>
  <c r="L36" i="61"/>
  <c r="Q9" i="40"/>
  <c r="F23" i="45"/>
  <c r="I19" i="45"/>
  <c r="K36" i="61" l="1"/>
  <c r="AE9" i="40"/>
  <c r="Z9" i="40" s="1"/>
  <c r="Q21" i="40"/>
  <c r="L9" i="40"/>
  <c r="Q23" i="40" l="1"/>
  <c r="Q25" i="40" s="1"/>
  <c r="J9" i="40"/>
  <c r="F9" i="40"/>
  <c r="Q29" i="75" l="1"/>
  <c r="Q22" i="75" s="1"/>
  <c r="Q7" i="75" s="1"/>
  <c r="O22" i="75"/>
  <c r="I10" i="55" l="1"/>
  <c r="K10" i="55" s="1"/>
  <c r="Q79" i="75"/>
  <c r="K7" i="55"/>
  <c r="K25" i="55" s="1"/>
  <c r="K29" i="55" s="1"/>
  <c r="I7" i="55"/>
  <c r="I25" i="55" s="1"/>
  <c r="O79" i="75"/>
  <c r="I29" i="55" l="1"/>
  <c r="X20" i="40"/>
  <c r="AE20" i="40" l="1"/>
  <c r="Z20" i="40" s="1"/>
  <c r="X21" i="40"/>
  <c r="S20" i="40"/>
  <c r="S21" i="40" l="1"/>
  <c r="S23" i="40" s="1"/>
  <c r="AE21" i="40"/>
  <c r="AE23" i="40" s="1"/>
  <c r="X23" i="40"/>
  <c r="X26" i="40"/>
  <c r="X28" i="40" s="1"/>
  <c r="H27" i="69" l="1"/>
  <c r="I27" i="69"/>
  <c r="I26" i="69" s="1"/>
  <c r="G10" i="49" l="1"/>
  <c r="I33" i="69"/>
  <c r="I37" i="69" s="1"/>
  <c r="H26" i="69"/>
  <c r="F11" i="49"/>
  <c r="G11" i="49"/>
  <c r="G12" i="49" l="1"/>
  <c r="G16" i="49" s="1"/>
  <c r="L62" i="61"/>
  <c r="I11" i="49"/>
  <c r="F10" i="49"/>
  <c r="H33" i="69"/>
  <c r="H37" i="69" s="1"/>
  <c r="K62" i="61" l="1"/>
  <c r="L60" i="61"/>
  <c r="F12" i="49"/>
  <c r="I10" i="49"/>
  <c r="K60" i="61" l="1"/>
  <c r="L90" i="61"/>
  <c r="L92" i="61" s="1"/>
  <c r="F16" i="49"/>
  <c r="R13" i="40"/>
  <c r="AF13" i="40" l="1"/>
  <c r="R21" i="40"/>
  <c r="L13" i="40"/>
  <c r="Z13" i="40" l="1"/>
  <c r="Z21" i="40" s="1"/>
  <c r="Z23" i="40" s="1"/>
  <c r="J13" i="40"/>
  <c r="F13" i="40"/>
  <c r="L21" i="40"/>
  <c r="C13" i="40"/>
  <c r="C21" i="40" s="1"/>
  <c r="R23" i="40"/>
  <c r="R25" i="40" s="1"/>
  <c r="AF21" i="40"/>
  <c r="AF23" i="40" s="1"/>
  <c r="I11" i="40" l="1"/>
  <c r="I15" i="40"/>
  <c r="I10" i="40"/>
  <c r="I9" i="40"/>
  <c r="I7" i="40"/>
  <c r="I5" i="40"/>
  <c r="I12" i="40"/>
  <c r="I19" i="40"/>
  <c r="I20" i="40"/>
  <c r="I16" i="40"/>
  <c r="L23" i="40"/>
  <c r="L25" i="40" s="1"/>
  <c r="I6" i="40"/>
  <c r="I14" i="40"/>
  <c r="I18" i="40"/>
  <c r="I8" i="40"/>
  <c r="I13" i="40"/>
  <c r="I21" i="40" l="1"/>
</calcChain>
</file>

<file path=xl/comments1.xml><?xml version="1.0" encoding="utf-8"?>
<comments xmlns="http://schemas.openxmlformats.org/spreadsheetml/2006/main">
  <authors>
    <author>Deyci Martina Cabrera Ochoa</author>
    <author>Asus</author>
  </authors>
  <commentList>
    <comment ref="B19" authorId="0" shapeId="0">
      <text>
        <r>
          <rPr>
            <b/>
            <sz val="9"/>
            <color indexed="81"/>
            <rFont val="Tahoma"/>
            <family val="2"/>
          </rPr>
          <t>Deyci Martina Cabrera Ochoa:</t>
        </r>
        <r>
          <rPr>
            <sz val="9"/>
            <color indexed="81"/>
            <rFont val="Tahoma"/>
            <family val="2"/>
          </rPr>
          <t xml:space="preserve">
Avance en un área de ifluenca en los grupos de monitoreo más otra área.
No se pudo hacer en le áre de litigio en 2020, por temas jurídicas, entonces se hizo en Dorado y Peñas Blancas y corredor Oseras, siberia--Ceibas
Para 2021 - Corredor TransAndino Amazónico mas uno del año 2020 que no se reportó</t>
        </r>
      </text>
    </comment>
    <comment ref="B20" authorId="0" shapeId="0">
      <text>
        <r>
          <rPr>
            <b/>
            <sz val="9"/>
            <color indexed="81"/>
            <rFont val="Tahoma"/>
            <family val="2"/>
          </rPr>
          <t>Deyci Martina Cabrera Ochoa:</t>
        </r>
        <r>
          <rPr>
            <sz val="9"/>
            <color indexed="81"/>
            <rFont val="Tahoma"/>
            <family val="2"/>
          </rPr>
          <t xml:space="preserve">
Se contrató fase de aprestamento en 2020 de las 3 áreas y en 2021 la terminación.
Se debe trasladar la Meta 2021 para 2022</t>
        </r>
      </text>
    </comment>
    <comment ref="B21" authorId="0" shapeId="0">
      <text>
        <r>
          <rPr>
            <b/>
            <sz val="9"/>
            <color indexed="81"/>
            <rFont val="Tahoma"/>
            <family val="2"/>
          </rPr>
          <t>Deyci Martina Cabrera Ochoa:</t>
        </r>
        <r>
          <rPr>
            <sz val="9"/>
            <color indexed="81"/>
            <rFont val="Tahoma"/>
            <family val="2"/>
          </rPr>
          <t xml:space="preserve">
2020: L.B. Valoración económica para (4)humedales (Guatipán, Colores, 
          Voltezuela y La Vega) - En Cumplimiento de la Política
2021: Terminación valoración económica
          Zonificación y régimen de uso de páramos (En 2016 se realizó el dcto
          que recoge la información, salió en marzo de 2018 y en mayo salieron
          los lineamientos). Se deben hacer 6 comisiones conjuntas, Ej CVC 
          avanzó en zonificaciones parciales.
2022: PSA
</t>
        </r>
      </text>
    </comment>
    <comment ref="B22" authorId="0" shapeId="0">
      <text>
        <r>
          <rPr>
            <b/>
            <sz val="9"/>
            <color indexed="81"/>
            <rFont val="Tahoma"/>
            <family val="2"/>
          </rPr>
          <t>Deyci Martina Cabrera Ochoa:</t>
        </r>
        <r>
          <rPr>
            <sz val="9"/>
            <color indexed="81"/>
            <rFont val="Tahoma"/>
            <family val="2"/>
          </rPr>
          <t xml:space="preserve">
medios de divulgación, medidas de prevención y control, capacitaciones y educ ambiental (Caracol africano, en áreas protegidas también se trabajan otras especies)</t>
        </r>
      </text>
    </comment>
    <comment ref="B24" authorId="0" shapeId="0">
      <text>
        <r>
          <rPr>
            <b/>
            <sz val="9"/>
            <color indexed="81"/>
            <rFont val="Tahoma"/>
            <family val="2"/>
          </rPr>
          <t>Deyci Martina Cabrera Ochoa:</t>
        </r>
        <r>
          <rPr>
            <sz val="9"/>
            <color indexed="81"/>
            <rFont val="Tahoma"/>
            <family val="2"/>
          </rPr>
          <t xml:space="preserve">
167 Ha. Correspondiente a BST y Humedales</t>
        </r>
      </text>
    </comment>
    <comment ref="B25" authorId="0" shapeId="0">
      <text>
        <r>
          <rPr>
            <b/>
            <sz val="9"/>
            <color indexed="81"/>
            <rFont val="Tahoma"/>
            <family val="2"/>
          </rPr>
          <t>Deyci Martina Cabrera Ochoa:</t>
        </r>
        <r>
          <rPr>
            <sz val="9"/>
            <color indexed="81"/>
            <rFont val="Tahoma"/>
            <family val="2"/>
          </rPr>
          <t xml:space="preserve">
6 especies amenazadas (Oso de anteojos, danta, caimán, Nutria, pataló y roble negro) </t>
        </r>
      </text>
    </comment>
    <comment ref="B41" authorId="1" shapeId="0">
      <text>
        <r>
          <rPr>
            <b/>
            <sz val="9"/>
            <color indexed="81"/>
            <rFont val="Tahoma"/>
            <family val="2"/>
          </rPr>
          <t xml:space="preserve">Actividades: 
Actualización estudio de priorización del Ordenamiento del Recurso Hidrico.
Cuerpos de agua con plan de ordenamiento del recurso hídrico (PORH) adoptados
</t>
        </r>
      </text>
    </comment>
  </commentList>
</comments>
</file>

<file path=xl/comments10.xml><?xml version="1.0" encoding="utf-8"?>
<comments xmlns="http://schemas.openxmlformats.org/spreadsheetml/2006/main">
  <authors>
    <author>Asus</author>
  </authors>
  <commentList>
    <comment ref="A15" authorId="0" shapeId="0">
      <text>
        <r>
          <rPr>
            <b/>
            <sz val="9"/>
            <color indexed="81"/>
            <rFont val="Tahoma"/>
            <family val="2"/>
          </rPr>
          <t xml:space="preserve">Actividades:
Seguimiento a generadores de RESPEL (medianos y grandes) y una muestra de los grandes.
Seguimiento a generadores aceites usados y aceite de cocina.
Seguimiento a generadores RAEE´s, PCB, Bolsas, entre otros
</t>
        </r>
      </text>
    </comment>
    <comment ref="A21" authorId="0" shapeId="0">
      <text>
        <r>
          <rPr>
            <b/>
            <sz val="9"/>
            <color indexed="81"/>
            <rFont val="Tahoma"/>
            <family val="2"/>
          </rPr>
          <t>70 licencias mineras
6.000 concesiones de aguas superficiales 
222 concesiones de aguas subterráneas</t>
        </r>
      </text>
    </comment>
    <comment ref="A138" authorId="0" shapeId="0">
      <text>
        <r>
          <rPr>
            <b/>
            <sz val="9"/>
            <color indexed="81"/>
            <rFont val="Tahoma"/>
            <family val="2"/>
          </rPr>
          <t>5.368 procesos de otras vigencias 
501 procesos vigentes a 24 feb de 2020
Total de: 5.869 acumulado</t>
        </r>
      </text>
    </comment>
    <comment ref="A204" authorId="0" shapeId="0">
      <text>
        <r>
          <rPr>
            <b/>
            <sz val="9"/>
            <color indexed="81"/>
            <rFont val="Tahoma"/>
            <family val="2"/>
          </rPr>
          <t>100% de los gestores y al 100% de los generadores de la muestra definida por la autoridad ambiental a partir de unos criterios de priorización previamente establecidos.</t>
        </r>
        <r>
          <rPr>
            <sz val="9"/>
            <color indexed="81"/>
            <rFont val="Tahoma"/>
            <family val="2"/>
          </rPr>
          <t xml:space="preserve">
</t>
        </r>
      </text>
    </comment>
    <comment ref="A214" authorId="0" shapeId="0">
      <text>
        <r>
          <rPr>
            <b/>
            <sz val="9"/>
            <color indexed="81"/>
            <rFont val="Tahoma"/>
            <family val="2"/>
          </rPr>
          <t xml:space="preserve">Actividades:
Contratación de servicio de refrigerios y almuerzos.
Contratación de servicio público de transporte especial de pasajeros, requerido por servidores públicos para el ejercicio de funciones de Autoridad Ambiental
</t>
        </r>
      </text>
    </comment>
  </commentList>
</comments>
</file>

<file path=xl/comments11.xml><?xml version="1.0" encoding="utf-8"?>
<comments xmlns="http://schemas.openxmlformats.org/spreadsheetml/2006/main">
  <authors>
    <author>Deyci Martina Cabrera Ochoa</author>
    <author>Diana Marcela Bermeo</author>
    <author>Leidy Lorena Montes Cabrera</author>
    <author>Jose Deyson Velasquez Sanchez</author>
    <author>User</author>
  </authors>
  <commentList>
    <comment ref="E11" authorId="0" shapeId="0">
      <text>
        <r>
          <rPr>
            <b/>
            <sz val="9"/>
            <color indexed="81"/>
            <rFont val="Tahoma"/>
            <family val="2"/>
          </rPr>
          <t>Deyci Martina Cabrera Ochoa:</t>
        </r>
        <r>
          <rPr>
            <sz val="9"/>
            <color indexed="81"/>
            <rFont val="Tahoma"/>
            <family val="2"/>
          </rPr>
          <t xml:space="preserve">
Turismo Sirap Macizo y reconvers. Prod.CTAA
</t>
        </r>
      </text>
    </comment>
    <comment ref="D12" authorId="1" shapeId="0">
      <text>
        <r>
          <rPr>
            <b/>
            <sz val="9"/>
            <color indexed="81"/>
            <rFont val="Tahoma"/>
            <family val="2"/>
          </rPr>
          <t>Área Litigio Cauca - Huila; Áreas Influencia G.M. y DRMI La Tatacoa</t>
        </r>
      </text>
    </comment>
    <comment ref="D14" authorId="1" shapeId="0">
      <text>
        <r>
          <rPr>
            <b/>
            <sz val="9"/>
            <color indexed="81"/>
            <rFont val="Tahoma"/>
            <family val="2"/>
          </rPr>
          <t xml:space="preserve">PNR Y DRMI SERRANIA DE MINAS, DRMI CBOB </t>
        </r>
      </text>
    </comment>
    <comment ref="B15" authorId="2" shapeId="0">
      <text>
        <r>
          <rPr>
            <b/>
            <sz val="9"/>
            <color indexed="81"/>
            <rFont val="Tahoma"/>
            <family val="2"/>
          </rPr>
          <t>Leidy Lorena Montes Cabrera:</t>
        </r>
        <r>
          <rPr>
            <sz val="9"/>
            <color indexed="81"/>
            <rFont val="Tahoma"/>
            <family val="2"/>
          </rPr>
          <t xml:space="preserve">
Modifique redaccion, igual a indicadores</t>
        </r>
      </text>
    </comment>
    <comment ref="C16" authorId="1" shapeId="0">
      <text>
        <r>
          <rPr>
            <b/>
            <sz val="9"/>
            <color indexed="81"/>
            <rFont val="Tahoma"/>
            <family val="2"/>
          </rPr>
          <t>humedales (valoración económica-acotamiento de ronda), Tipificación de sistemas productivos para PSA en AP (piloto) y Plataforma Digital</t>
        </r>
      </text>
    </comment>
    <comment ref="E36" authorId="3" shapeId="0">
      <text>
        <r>
          <rPr>
            <sz val="12"/>
            <color indexed="81"/>
            <rFont val="Tahoma"/>
            <family val="2"/>
          </rPr>
          <t>Se adicionan $416,229,997 TSE que vienen trasadados del Proyecto 320502 y $36,000,000 que vienen trasadados del Proyecto 320302  según Acuerdo XXX aprobado en Consejo Directivo 
Reduce $ 88,951,903 según el acuerdo número xxx del consejo directivo del mes de octubre con destino al proyecto 320501</t>
        </r>
      </text>
    </comment>
    <comment ref="G36" authorId="3" shapeId="0">
      <text>
        <r>
          <rPr>
            <b/>
            <sz val="9"/>
            <color indexed="81"/>
            <rFont val="Tahoma"/>
            <family val="2"/>
          </rPr>
          <t>Jose Deyson Velasquez Sanchez:</t>
        </r>
        <r>
          <rPr>
            <sz val="9"/>
            <color indexed="81"/>
            <rFont val="Tahoma"/>
            <family val="2"/>
          </rPr>
          <t xml:space="preserve">
Reduce $ 12,575,711 según el acuerdo número xxx del consejo directivo del mes de octubre con destino al proyecto 320501</t>
        </r>
      </text>
    </comment>
    <comment ref="K36" authorId="2" shapeId="0">
      <text>
        <r>
          <rPr>
            <sz val="16"/>
            <color indexed="81"/>
            <rFont val="Tahoma"/>
            <family val="2"/>
          </rPr>
          <t>Se traslada el valor de  $23.069.460 fuente TR hacia el proyecto 320301 dado el acuerdo número XXX establecido por el consejo directivo.</t>
        </r>
      </text>
    </comment>
    <comment ref="L36" authorId="3" shapeId="0">
      <text>
        <r>
          <rPr>
            <b/>
            <sz val="9"/>
            <color indexed="81"/>
            <rFont val="Tahoma"/>
            <family val="2"/>
          </rPr>
          <t>Jose Deyson Velasquez Sanchez:</t>
        </r>
        <r>
          <rPr>
            <sz val="9"/>
            <color indexed="81"/>
            <rFont val="Tahoma"/>
            <family val="2"/>
          </rPr>
          <t xml:space="preserve">
Reduce $ 230,199 según el acuerdo número xxx del consejo directivo del mes de octubre con destino al proyecto 320501</t>
        </r>
      </text>
    </comment>
    <comment ref="M36" authorId="3" shapeId="0">
      <text>
        <r>
          <rPr>
            <b/>
            <sz val="9"/>
            <color indexed="81"/>
            <rFont val="Tahoma"/>
            <family val="2"/>
          </rPr>
          <t>Jose Deyson Velasquez Sanchez:</t>
        </r>
        <r>
          <rPr>
            <sz val="9"/>
            <color indexed="81"/>
            <rFont val="Tahoma"/>
            <family val="2"/>
          </rPr>
          <t xml:space="preserve">
Se adicionan $16,000,000 que vienen trasladados del Proyecto 320302 según el acuerdo número XXX establecido por el consejo directivo.</t>
        </r>
      </text>
    </comment>
    <comment ref="P36" authorId="4" shapeId="0">
      <text>
        <r>
          <rPr>
            <b/>
            <sz val="9"/>
            <color indexed="81"/>
            <rFont val="Tahoma"/>
            <family val="2"/>
          </rPr>
          <t>User:</t>
        </r>
        <r>
          <rPr>
            <sz val="9"/>
            <color indexed="81"/>
            <rFont val="Tahoma"/>
            <family val="2"/>
          </rPr>
          <t xml:space="preserve">
Se adicionan $600.000.000 del Convenio 023 Gobernación</t>
        </r>
      </text>
    </comment>
    <comment ref="R36" authorId="3" shapeId="0">
      <text>
        <r>
          <rPr>
            <b/>
            <sz val="9"/>
            <color indexed="81"/>
            <rFont val="Tahoma"/>
            <family val="2"/>
          </rPr>
          <t>Jose Deyson Velasquez Sanchez:</t>
        </r>
        <r>
          <rPr>
            <sz val="9"/>
            <color indexed="81"/>
            <rFont val="Tahoma"/>
            <family val="2"/>
          </rPr>
          <t xml:space="preserve">
Se adicionan $600.000.000 del Convenio 023 Gobernación</t>
        </r>
      </text>
    </comment>
  </commentList>
</comments>
</file>

<file path=xl/comments12.xml><?xml version="1.0" encoding="utf-8"?>
<comments xmlns="http://schemas.openxmlformats.org/spreadsheetml/2006/main">
  <authors>
    <author>Diana Marcela Bermeo</author>
    <author>Jose Deyson Velasquez Sanchez</author>
    <author>Deyci Martina Cabrera Ochoa</author>
    <author>Leidy Lorena Montes Cabrera</author>
    <author>User</author>
  </authors>
  <commentList>
    <comment ref="A24" authorId="0" shapeId="0">
      <text>
        <r>
          <rPr>
            <b/>
            <sz val="9"/>
            <color indexed="81"/>
            <rFont val="Tahoma"/>
            <family val="2"/>
          </rPr>
          <t>Diana Marcela Bermeo:</t>
        </r>
        <r>
          <rPr>
            <sz val="9"/>
            <color indexed="81"/>
            <rFont val="Tahoma"/>
            <family val="2"/>
          </rPr>
          <t xml:space="preserve">
SIRAP MACIZO, CEERCCO Y CORREDOR TRASANDINO AMAZONICO (CTAA)</t>
        </r>
      </text>
    </comment>
    <comment ref="A34" authorId="0" shapeId="0">
      <text>
        <r>
          <rPr>
            <b/>
            <sz val="9"/>
            <color indexed="81"/>
            <rFont val="Tahoma"/>
            <family val="2"/>
          </rPr>
          <t>incluye "Proyectos Pilotos Ganadería sostenible"</t>
        </r>
      </text>
    </comment>
    <comment ref="F34" authorId="0" shapeId="0">
      <text>
        <r>
          <rPr>
            <b/>
            <sz val="9"/>
            <color indexed="81"/>
            <rFont val="Tahoma"/>
            <family val="2"/>
          </rPr>
          <t>255+166+200</t>
        </r>
      </text>
    </comment>
    <comment ref="F40" authorId="1" shapeId="0">
      <text>
        <r>
          <rPr>
            <b/>
            <sz val="9"/>
            <color indexed="81"/>
            <rFont val="Tahoma"/>
            <family val="2"/>
          </rPr>
          <t>Jose Deyson Velasquez Sanchez:</t>
        </r>
        <r>
          <rPr>
            <sz val="9"/>
            <color indexed="81"/>
            <rFont val="Tahoma"/>
            <family val="2"/>
          </rPr>
          <t xml:space="preserve">
Se adicionan  $416,229,997  que vienen trasladados del Proyecto 320502 ySe adicionan  $36,000,000  que vienen trasladados del Proyecto 320302</t>
        </r>
      </text>
    </comment>
    <comment ref="N40" authorId="1" shapeId="0">
      <text>
        <r>
          <rPr>
            <b/>
            <sz val="9"/>
            <color indexed="81"/>
            <rFont val="Tahoma"/>
            <family val="2"/>
          </rPr>
          <t>Jose Deyson Velasquez Sanchez:</t>
        </r>
        <r>
          <rPr>
            <sz val="9"/>
            <color indexed="81"/>
            <rFont val="Tahoma"/>
            <family val="2"/>
          </rPr>
          <t xml:space="preserve">
Se adicionan $16,000,000 que vienen trasladados del Proyecto 320302</t>
        </r>
      </text>
    </comment>
    <comment ref="B41" authorId="0" shapeId="0">
      <text>
        <r>
          <rPr>
            <b/>
            <sz val="9"/>
            <color indexed="81"/>
            <rFont val="Tahoma"/>
            <family val="2"/>
          </rPr>
          <t>Diana Marcela Bermeo:</t>
        </r>
        <r>
          <rPr>
            <sz val="9"/>
            <color indexed="81"/>
            <rFont val="Tahoma"/>
            <family val="2"/>
          </rPr>
          <t xml:space="preserve">
4x1000
</t>
        </r>
      </text>
    </comment>
    <comment ref="B42" authorId="0" shapeId="0">
      <text>
        <r>
          <rPr>
            <b/>
            <sz val="9"/>
            <color indexed="81"/>
            <rFont val="Tahoma"/>
            <family val="2"/>
          </rPr>
          <t>tasa prodeporte</t>
        </r>
      </text>
    </comment>
    <comment ref="A43" authorId="0" shapeId="0">
      <text>
        <r>
          <rPr>
            <b/>
            <sz val="9"/>
            <color indexed="81"/>
            <rFont val="Tahoma"/>
            <family val="2"/>
          </rPr>
          <t xml:space="preserve">Áreas Influencia G.M. </t>
        </r>
      </text>
    </comment>
    <comment ref="A56" authorId="0" shapeId="0">
      <text>
        <r>
          <rPr>
            <b/>
            <sz val="9"/>
            <color indexed="81"/>
            <rFont val="Tahoma"/>
            <family val="2"/>
          </rPr>
          <t>Tipificación de sistemas productivos para PSA en AP (piloto)
zonificación y régimen de usos y, PMA 2 complejos de páramos</t>
        </r>
      </text>
    </comment>
    <comment ref="A122" authorId="2" shapeId="0">
      <text>
        <r>
          <rPr>
            <b/>
            <sz val="9"/>
            <color indexed="81"/>
            <rFont val="Tahoma"/>
            <family val="2"/>
          </rPr>
          <t>Deyci Martina Cabrera Ochoa:</t>
        </r>
        <r>
          <rPr>
            <sz val="9"/>
            <color indexed="81"/>
            <rFont val="Tahoma"/>
            <family val="2"/>
          </rPr>
          <t xml:space="preserve">
En junio se vence el corto plazo PMA de 4 humedales</t>
        </r>
      </text>
    </comment>
    <comment ref="F131" authorId="0" shapeId="0">
      <text>
        <r>
          <rPr>
            <b/>
            <sz val="9"/>
            <color indexed="81"/>
            <rFont val="Tahoma"/>
            <family val="2"/>
          </rPr>
          <t xml:space="preserve">166+255
</t>
        </r>
      </text>
    </comment>
    <comment ref="A138" authorId="2" shapeId="0">
      <text>
        <r>
          <rPr>
            <b/>
            <sz val="9"/>
            <color indexed="81"/>
            <rFont val="Tahoma"/>
            <family val="2"/>
          </rPr>
          <t>Deyci Martina Cabrera Ochoa:</t>
        </r>
        <r>
          <rPr>
            <sz val="9"/>
            <color indexed="81"/>
            <rFont val="Tahoma"/>
            <family val="2"/>
          </rPr>
          <t xml:space="preserve">
Reemplaza ornitología</t>
        </r>
      </text>
    </comment>
    <comment ref="F159" authorId="1" shapeId="0">
      <text>
        <r>
          <rPr>
            <sz val="12"/>
            <color indexed="81"/>
            <rFont val="Tahoma"/>
            <family val="2"/>
          </rPr>
          <t>Se adicionan $416,229,997 TSE que vienen trasadados del Proyecto 320502 y $36,000,000 que vienen trasadados del Proyecto 320302  según Acuerdo XXX aprobado en Consejo Directivo 
Reduce $ 88,951,903 según el acuerdo número xxx del consejo directivo del mes de octubre con destino al proyecto 320501</t>
        </r>
      </text>
    </comment>
    <comment ref="H159" authorId="1" shapeId="0">
      <text>
        <r>
          <rPr>
            <b/>
            <sz val="9"/>
            <color indexed="81"/>
            <rFont val="Tahoma"/>
            <family val="2"/>
          </rPr>
          <t>Jose Deyson Velasquez Sanchez:</t>
        </r>
        <r>
          <rPr>
            <sz val="9"/>
            <color indexed="81"/>
            <rFont val="Tahoma"/>
            <family val="2"/>
          </rPr>
          <t xml:space="preserve">
Reduce $ 12,575,711 según el acuerdo número xxx del consejo directivo del mes de octubre con destino al proyecto 320501</t>
        </r>
      </text>
    </comment>
    <comment ref="L159" authorId="3" shapeId="0">
      <text>
        <r>
          <rPr>
            <sz val="16"/>
            <color indexed="81"/>
            <rFont val="Tahoma"/>
            <family val="2"/>
          </rPr>
          <t>Se traslada el valor de  $23.069.460 fuente TR hacia el proyecto 320301 dado el acuerdo número XXX establecido por el consejo directivo.</t>
        </r>
      </text>
    </comment>
    <comment ref="M159" authorId="1" shapeId="0">
      <text>
        <r>
          <rPr>
            <b/>
            <sz val="9"/>
            <color indexed="81"/>
            <rFont val="Tahoma"/>
            <family val="2"/>
          </rPr>
          <t>Jose Deyson Velasquez Sanchez:</t>
        </r>
        <r>
          <rPr>
            <sz val="9"/>
            <color indexed="81"/>
            <rFont val="Tahoma"/>
            <family val="2"/>
          </rPr>
          <t xml:space="preserve">
Reduce $ 230,199 según el acuerdo número xxx del consejo directivo del mes de octubre con destino al proyecto 320501</t>
        </r>
      </text>
    </comment>
    <comment ref="N159" authorId="1" shapeId="0">
      <text>
        <r>
          <rPr>
            <b/>
            <sz val="9"/>
            <color indexed="81"/>
            <rFont val="Tahoma"/>
            <family val="2"/>
          </rPr>
          <t>Jose Deyson Velasquez Sanchez:</t>
        </r>
        <r>
          <rPr>
            <sz val="9"/>
            <color indexed="81"/>
            <rFont val="Tahoma"/>
            <family val="2"/>
          </rPr>
          <t xml:space="preserve">
Se adicionan $16,000,000 que vienen trasladados del Proyecto 320302 según el acuerdo número XXX establecido por el consejo directivo.</t>
        </r>
      </text>
    </comment>
    <comment ref="Q159" authorId="4" shapeId="0">
      <text>
        <r>
          <rPr>
            <b/>
            <sz val="9"/>
            <color indexed="81"/>
            <rFont val="Tahoma"/>
            <family val="2"/>
          </rPr>
          <t>User:</t>
        </r>
        <r>
          <rPr>
            <sz val="9"/>
            <color indexed="81"/>
            <rFont val="Tahoma"/>
            <family val="2"/>
          </rPr>
          <t xml:space="preserve">
Se adicionan $600.000.000 del Convenio 023 Gobernación</t>
        </r>
      </text>
    </comment>
    <comment ref="S159" authorId="4" shapeId="0">
      <text>
        <r>
          <rPr>
            <b/>
            <sz val="9"/>
            <color indexed="81"/>
            <rFont val="Tahoma"/>
            <family val="2"/>
          </rPr>
          <t>User:</t>
        </r>
        <r>
          <rPr>
            <sz val="9"/>
            <color indexed="81"/>
            <rFont val="Tahoma"/>
            <family val="2"/>
          </rPr>
          <t xml:space="preserve">
Se adicionan $600.000.000 del Convenio 023 Gobernación</t>
        </r>
      </text>
    </comment>
  </commentList>
</comments>
</file>

<file path=xl/comments13.xml><?xml version="1.0" encoding="utf-8"?>
<comments xmlns="http://schemas.openxmlformats.org/spreadsheetml/2006/main">
  <authors>
    <author>Leidy Lorena Montes Cabrera</author>
  </authors>
  <commentList>
    <comment ref="J21" authorId="0" shapeId="0">
      <text>
        <r>
          <rPr>
            <b/>
            <sz val="9"/>
            <color indexed="81"/>
            <rFont val="Tahoma"/>
            <family val="2"/>
          </rPr>
          <t>Leidy Lorena Montes Cabrera:</t>
        </r>
        <r>
          <rPr>
            <sz val="9"/>
            <color indexed="81"/>
            <rFont val="Tahoma"/>
            <family val="2"/>
          </rPr>
          <t xml:space="preserve">
Se trasladaron $103.714.372 de la fuente TSE al Proyecto 320301 (Proyecto Ceibas) , por tanto se resta ese valor al ppto de esta fuente quedando en $0</t>
        </r>
      </text>
    </comment>
    <comment ref="L21" authorId="0" shapeId="0">
      <text>
        <r>
          <rPr>
            <b/>
            <sz val="9"/>
            <color indexed="81"/>
            <rFont val="Tahoma"/>
            <family val="2"/>
          </rPr>
          <t>Leidy Lorena Montes Cabrera:</t>
        </r>
        <r>
          <rPr>
            <sz val="9"/>
            <color indexed="81"/>
            <rFont val="Tahoma"/>
            <family val="2"/>
          </rPr>
          <t xml:space="preserve">
eciben del Proyecto 320301 (Proyecto Ceibas) los mismo $103.714.372 pero por fuente % Ambiental, por tanto se suma ese valor al ppto de esta fuente</t>
        </r>
      </text>
    </comment>
  </commentList>
</comments>
</file>

<file path=xl/comments14.xml><?xml version="1.0" encoding="utf-8"?>
<comments xmlns="http://schemas.openxmlformats.org/spreadsheetml/2006/main">
  <authors>
    <author>Asus</author>
    <author>Leidy Lorena Montes Cabrera</author>
  </authors>
  <commentList>
    <comment ref="A72" authorId="0" shapeId="0">
      <text>
        <r>
          <rPr>
            <b/>
            <sz val="9"/>
            <color indexed="81"/>
            <rFont val="Tahoma"/>
            <family val="2"/>
          </rPr>
          <t xml:space="preserve">Actividades:
Implementacion Proyecto Posicionamiento de la Gobernanza Forestal en el Huila.
Seguimiento y promoción al Acuerdo por la Madera Legal en el Huila - AIML.
</t>
        </r>
      </text>
    </comment>
    <comment ref="A84" authorId="0" shapeId="0">
      <text>
        <r>
          <rPr>
            <b/>
            <sz val="9"/>
            <color indexed="81"/>
            <rFont val="Tahoma"/>
            <family val="2"/>
          </rPr>
          <t>Actividades:
Atención por conflicto de fauna silvestre y comunidades (Tarea compartida con SGA)
Atención, manejo y valoración medica y biológica de la fauna silvestre que ingresa al CAV y hogares de paso y su disposición final.
Realización de campañas de educación y sensibilización para la conservación de la fuana silvestre
Mantenimiento de Hogares de paso y Centro de Atención y Valoración de Fauna</t>
        </r>
      </text>
    </comment>
    <comment ref="K118" authorId="1" shapeId="0">
      <text>
        <r>
          <rPr>
            <b/>
            <sz val="9"/>
            <color indexed="81"/>
            <rFont val="Tahoma"/>
            <family val="2"/>
          </rPr>
          <t>Leidy Lorena Montes Cabrera:</t>
        </r>
        <r>
          <rPr>
            <sz val="9"/>
            <color indexed="81"/>
            <rFont val="Tahoma"/>
            <family val="2"/>
          </rPr>
          <t xml:space="preserve">
Se trasladaron $103.714.372 de la fuente TSE al Proyecto 320301 (Proyecto Ceibas) , por tanto se resta ese valor al ppto de esta fuente quedando en $0</t>
        </r>
      </text>
    </comment>
    <comment ref="M118" authorId="1" shapeId="0">
      <text>
        <r>
          <rPr>
            <b/>
            <sz val="9"/>
            <color indexed="81"/>
            <rFont val="Tahoma"/>
            <family val="2"/>
          </rPr>
          <t>Leidy Lorena Montes Cabrera:</t>
        </r>
        <r>
          <rPr>
            <sz val="9"/>
            <color indexed="81"/>
            <rFont val="Tahoma"/>
            <family val="2"/>
          </rPr>
          <t xml:space="preserve">
eciben del Proyecto 320301 (Proyecto Ceibas) los mismo $103.714.372 pero por fuente % Ambiental, por tanto se suma ese valor al ppto de esta fuente</t>
        </r>
      </text>
    </comment>
  </commentList>
</comments>
</file>

<file path=xl/comments15.xml><?xml version="1.0" encoding="utf-8"?>
<comments xmlns="http://schemas.openxmlformats.org/spreadsheetml/2006/main">
  <authors>
    <author>Fredy Anturi</author>
    <author>Leidy Lorena Montes Cabrera</author>
  </authors>
  <commentList>
    <comment ref="C13" authorId="0" shapeId="0">
      <text>
        <r>
          <rPr>
            <b/>
            <sz val="9"/>
            <color indexed="81"/>
            <rFont val="Tahoma"/>
            <family val="2"/>
          </rPr>
          <t>Fredy Anturi:</t>
        </r>
        <r>
          <rPr>
            <sz val="9"/>
            <color indexed="81"/>
            <rFont val="Tahoma"/>
            <family val="2"/>
          </rPr>
          <t xml:space="preserve">
Estos metros lineales protegen más de 500 hectáreas de bosques que conservan el recurso hídrico</t>
        </r>
      </text>
    </comment>
    <comment ref="B18" authorId="1" shapeId="0">
      <text>
        <r>
          <rPr>
            <b/>
            <sz val="9"/>
            <color indexed="81"/>
            <rFont val="Tahoma"/>
            <family val="2"/>
          </rPr>
          <t>Leidy Lorena Montes Cabrera:</t>
        </r>
        <r>
          <rPr>
            <sz val="9"/>
            <color indexed="81"/>
            <rFont val="Tahoma"/>
            <family val="2"/>
          </rPr>
          <t xml:space="preserve">
Los agrergué porque en indicadores de gestión están</t>
        </r>
      </text>
    </comment>
  </commentList>
</comments>
</file>

<file path=xl/comments16.xml><?xml version="1.0" encoding="utf-8"?>
<comments xmlns="http://schemas.openxmlformats.org/spreadsheetml/2006/main">
  <authors>
    <author>Fredy Anturi</author>
    <author>Leidy Lorena Montes Cabrera</author>
  </authors>
  <commentList>
    <comment ref="D22" authorId="0" shapeId="0">
      <text>
        <r>
          <rPr>
            <b/>
            <sz val="9"/>
            <color indexed="81"/>
            <rFont val="Tahoma"/>
            <family val="2"/>
          </rPr>
          <t>Fredy Anturi:</t>
        </r>
        <r>
          <rPr>
            <sz val="9"/>
            <color indexed="81"/>
            <rFont val="Tahoma"/>
            <family val="2"/>
          </rPr>
          <t xml:space="preserve">
Estos metros lineales protegen más de 500 hectáreas de bosques que conservan el recurso hídrico</t>
        </r>
      </text>
    </comment>
    <comment ref="A33" authorId="1" shapeId="0">
      <text>
        <r>
          <rPr>
            <b/>
            <sz val="9"/>
            <color indexed="81"/>
            <rFont val="Tahoma"/>
            <family val="2"/>
          </rPr>
          <t>Leidy Lorena Montes Cabrera:</t>
        </r>
        <r>
          <rPr>
            <sz val="9"/>
            <color indexed="81"/>
            <rFont val="Tahoma"/>
            <family val="2"/>
          </rPr>
          <t xml:space="preserve">
Los agrergué porque en indicadores de gestión están</t>
        </r>
      </text>
    </comment>
  </commentList>
</comments>
</file>

<file path=xl/comments17.xml><?xml version="1.0" encoding="utf-8"?>
<comments xmlns="http://schemas.openxmlformats.org/spreadsheetml/2006/main">
  <authors>
    <author>Leidy Lorena Montes Cabrera</author>
  </authors>
  <commentList>
    <comment ref="E16" authorId="0" shapeId="0">
      <text>
        <r>
          <rPr>
            <b/>
            <sz val="9"/>
            <color indexed="81"/>
            <rFont val="Tahoma"/>
            <family val="2"/>
          </rPr>
          <t>Reduce $ 56.790.622 según el acuerdo número xxx del consejo directivo del mes de octubre con destino al proyecto 320501</t>
        </r>
      </text>
    </comment>
    <comment ref="N16" authorId="0" shapeId="0">
      <text>
        <r>
          <rPr>
            <sz val="11"/>
            <color indexed="81"/>
            <rFont val="Tahoma"/>
            <family val="2"/>
          </rPr>
          <t>Se recibe traslado del proyecto 320201 por valor de $23.069.460 y del 320503 por valor de $62.500.000 dado el acuerdo número XXX establecido en el consejo directivo. De fuente TR</t>
        </r>
        <r>
          <rPr>
            <sz val="9"/>
            <color indexed="81"/>
            <rFont val="Tahoma"/>
            <family val="2"/>
          </rPr>
          <t xml:space="preserve">
</t>
        </r>
      </text>
    </comment>
  </commentList>
</comments>
</file>

<file path=xl/comments18.xml><?xml version="1.0" encoding="utf-8"?>
<comments xmlns="http://schemas.openxmlformats.org/spreadsheetml/2006/main">
  <authors>
    <author>Fredy Anturi</author>
    <author>Leidy Lorena Montes Cabrera</author>
    <author>Deyci Martina Cabrera Ochoa</author>
  </authors>
  <commentList>
    <comment ref="A7" authorId="0" shapeId="0">
      <text>
        <r>
          <rPr>
            <b/>
            <sz val="9"/>
            <color indexed="81"/>
            <rFont val="Tahoma"/>
            <family val="2"/>
          </rPr>
          <t>Fredy Anturi:</t>
        </r>
        <r>
          <rPr>
            <sz val="9"/>
            <color indexed="81"/>
            <rFont val="Tahoma"/>
            <family val="2"/>
          </rPr>
          <t xml:space="preserve">
Valor aporte 2022 $1.764.776.745 vigencias futuras $1.155.897.708</t>
        </r>
      </text>
    </comment>
    <comment ref="I15" authorId="1" shapeId="0">
      <text>
        <r>
          <rPr>
            <b/>
            <sz val="9"/>
            <color indexed="81"/>
            <rFont val="Tahoma"/>
            <family val="2"/>
          </rPr>
          <t>Leidy Lorena Montes Cabrera:</t>
        </r>
        <r>
          <rPr>
            <sz val="9"/>
            <color indexed="81"/>
            <rFont val="Tahoma"/>
            <family val="2"/>
          </rPr>
          <t xml:space="preserve">
Por solicitud de Dirección se trasladan del Proyecto 320301 Proyecto Ceibas $236,008,592 de Predial y se adicionan al Proyecto 320302 en la Fuente TUA. Igualmente se trasladan del Proyecto 320301 Proyecto Ceibas $194,214,323 para Proyecto 320502 de la fuente TSE</t>
        </r>
      </text>
    </comment>
    <comment ref="N15" authorId="1" shapeId="0">
      <text>
        <r>
          <rPr>
            <b/>
            <sz val="9"/>
            <color indexed="81"/>
            <rFont val="Tahoma"/>
            <family val="2"/>
          </rPr>
          <t>Leidy Lorena Montes Cabrera:</t>
        </r>
        <r>
          <rPr>
            <sz val="9"/>
            <color indexed="81"/>
            <rFont val="Tahoma"/>
            <family val="2"/>
          </rPr>
          <t xml:space="preserve">
Por solicitud de Dirección se trasladan del Proyecto 320301 Proyecto Ceibas $236,008,592 de Predial y se adicionan al Proyecto 320302 en la Fuente TUA. Igualmente se trasladan del Proyecto 320301 Proyecto Ceibas $194,214,323 para Proyecto 320502 de la fuente TSE</t>
        </r>
      </text>
    </comment>
    <comment ref="A25" authorId="0" shapeId="0">
      <text>
        <r>
          <rPr>
            <b/>
            <sz val="9"/>
            <color indexed="81"/>
            <rFont val="Tahoma"/>
            <family val="2"/>
          </rPr>
          <t>Fredy Anturi:</t>
        </r>
        <r>
          <rPr>
            <sz val="9"/>
            <color indexed="81"/>
            <rFont val="Tahoma"/>
            <family val="2"/>
          </rPr>
          <t xml:space="preserve">
Henry, Luz Daniela y Yamileth Ortega 9 meses</t>
        </r>
      </text>
    </comment>
    <comment ref="A27" authorId="2" shapeId="0">
      <text>
        <r>
          <rPr>
            <b/>
            <sz val="9"/>
            <color indexed="81"/>
            <rFont val="Tahoma"/>
            <family val="2"/>
          </rPr>
          <t>Deyci Martina Cabrera Ochoa:</t>
        </r>
        <r>
          <rPr>
            <sz val="9"/>
            <color indexed="81"/>
            <rFont val="Tahoma"/>
            <family val="2"/>
          </rPr>
          <t xml:space="preserve">
3 Técnicos nuevos para
los POMCA de Suaza y Guarapas y 1 para Garzón y Barbillas</t>
        </r>
      </text>
    </comment>
    <comment ref="H39" authorId="1" shapeId="0">
      <text>
        <r>
          <rPr>
            <b/>
            <sz val="9"/>
            <color indexed="81"/>
            <rFont val="Tahoma"/>
            <family val="2"/>
          </rPr>
          <t>Reduce $ 56.790.622 según el acuerdo número xxx del consejo directivo del mes de octubre con destino al proyecto 320501</t>
        </r>
      </text>
    </comment>
    <comment ref="Q39" authorId="1" shapeId="0">
      <text>
        <r>
          <rPr>
            <sz val="11"/>
            <color indexed="81"/>
            <rFont val="Tahoma"/>
            <family val="2"/>
          </rPr>
          <t>Se recibe traslado del proyecto 320201 por valor de $23.069.460 y del 320503 por valor de $62.500.000 dado el acuerdo número XXX establecido en el consejo directivo. De fuente TR</t>
        </r>
        <r>
          <rPr>
            <sz val="9"/>
            <color indexed="81"/>
            <rFont val="Tahoma"/>
            <family val="2"/>
          </rPr>
          <t xml:space="preserve">
</t>
        </r>
      </text>
    </comment>
    <comment ref="A43" authorId="0" shapeId="0">
      <text>
        <r>
          <rPr>
            <b/>
            <sz val="9"/>
            <color indexed="81"/>
            <rFont val="Tahoma"/>
            <family val="2"/>
          </rPr>
          <t>Fredy Anturi:</t>
        </r>
        <r>
          <rPr>
            <sz val="9"/>
            <color indexed="81"/>
            <rFont val="Tahoma"/>
            <family val="2"/>
          </rPr>
          <t xml:space="preserve">
Henry, Luz Daniela y Yamileth Ortega 9 meses</t>
        </r>
      </text>
    </comment>
  </commentList>
</comments>
</file>

<file path=xl/comments19.xml><?xml version="1.0" encoding="utf-8"?>
<comments xmlns="http://schemas.openxmlformats.org/spreadsheetml/2006/main">
  <authors>
    <author>Jose Deyson Velasquez Sanchez</author>
    <author>Leidy Lorena Montes Cabrera</author>
  </authors>
  <commentList>
    <comment ref="E28" authorId="0" shapeId="0">
      <text>
        <r>
          <rPr>
            <b/>
            <sz val="9"/>
            <color indexed="81"/>
            <rFont val="Tahoma"/>
            <family val="2"/>
          </rPr>
          <t>Jose Deyson Velasquez Sanchez:</t>
        </r>
        <r>
          <rPr>
            <sz val="9"/>
            <color indexed="81"/>
            <rFont val="Tahoma"/>
            <family val="2"/>
          </rPr>
          <t xml:space="preserve">
Se trasladan $36,000,000  TSEpara el Proyecto 320201 según acuerdo aprobado mediante Consejo Directivo.
Reduce $2.911.739 según el acuerdo número XXXX del consejo directivo del mes de octubre con destino al proyecto 320501</t>
        </r>
      </text>
    </comment>
    <comment ref="J28" authorId="1" shapeId="0">
      <text>
        <r>
          <rPr>
            <b/>
            <sz val="9"/>
            <color indexed="81"/>
            <rFont val="Tahoma"/>
            <family val="2"/>
          </rPr>
          <t>Leidy Lorena Montes Cabrera:</t>
        </r>
        <r>
          <rPr>
            <sz val="9"/>
            <color indexed="81"/>
            <rFont val="Tahoma"/>
            <family val="2"/>
          </rPr>
          <t xml:space="preserve">
Se trasladaron $154.391.020 + $617.564 de la fuente TUA al Proyecto 320301 (Proyecto Ceibas), por tanto se restan al ppto de esta fuente en total $155.008.584</t>
        </r>
      </text>
    </comment>
    <comment ref="K28" authorId="1" shapeId="0">
      <text>
        <r>
          <rPr>
            <b/>
            <sz val="9"/>
            <color indexed="81"/>
            <rFont val="Tahoma"/>
            <family val="2"/>
          </rPr>
          <t>Leidy Lorena Montes Cabrera:</t>
        </r>
        <r>
          <rPr>
            <sz val="9"/>
            <color indexed="81"/>
            <rFont val="Tahoma"/>
            <family val="2"/>
          </rPr>
          <t xml:space="preserve">
Se trasladaron $414.857 de la fuente TSE al Proyecto 320301 (Proyecto Ceibas), por tanto se restan al ppto de esta fuente
Reduce $29.832.357 según el acuerdo número XXXX del consejo directivo del mes de octubre con destino al proyecto 320501</t>
        </r>
      </text>
    </comment>
    <comment ref="L28" authorId="1" shapeId="0">
      <text>
        <r>
          <rPr>
            <b/>
            <sz val="9"/>
            <color indexed="81"/>
            <rFont val="Tahoma"/>
            <family val="2"/>
          </rPr>
          <t>Leidy Lorena Montes Cabrera:</t>
        </r>
        <r>
          <rPr>
            <sz val="9"/>
            <color indexed="81"/>
            <rFont val="Tahoma"/>
            <family val="2"/>
          </rPr>
          <t xml:space="preserve">
se reciben del Proyecto 320301 (Proyecto Ceibas) los mismo $154.391.020  + $414.857 + $ 617.564  pero por fuente % Ambiental, por tanto se crea esta nueva columna con el ingreso al ppto en esta fuente por un total de $ 155.423.441
Se trasladan $16,000,000  % Ambiental para  el Proyecto 320201 según acuerdo aprobado mediante Consejo Directivo
Reduce $30.342.771 según el acuerdo número XXXX del consejo directivo del mes de octubre con destino al proyecto 320501</t>
        </r>
      </text>
    </comment>
  </commentList>
</comments>
</file>

<file path=xl/comments2.xml><?xml version="1.0" encoding="utf-8"?>
<comments xmlns="http://schemas.openxmlformats.org/spreadsheetml/2006/main">
  <authors>
    <author>Deyci Martina Cabrera Ochoa</author>
  </authors>
  <commentList>
    <comment ref="E9" authorId="0" shapeId="0">
      <text>
        <r>
          <rPr>
            <b/>
            <sz val="9"/>
            <color indexed="81"/>
            <rFont val="Tahoma"/>
            <family val="2"/>
          </rPr>
          <t>Deyci Martina Cabrera Ochoa:</t>
        </r>
        <r>
          <rPr>
            <sz val="9"/>
            <color indexed="81"/>
            <rFont val="Tahoma"/>
            <family val="2"/>
          </rPr>
          <t xml:space="preserve">
INCLUYE VALOR CONVENIO 664/2020 POR: $1.322.391.334</t>
        </r>
      </text>
    </comment>
    <comment ref="C16" authorId="0" shapeId="0">
      <text>
        <r>
          <rPr>
            <b/>
            <sz val="9"/>
            <color indexed="81"/>
            <rFont val="Tahoma"/>
            <family val="2"/>
          </rPr>
          <t>Deyci Martina Cabrera Ochoa:</t>
        </r>
        <r>
          <rPr>
            <sz val="9"/>
            <color indexed="81"/>
            <rFont val="Tahoma"/>
            <family val="2"/>
          </rPr>
          <t xml:space="preserve">
PROYECTO CREADO MEDIANTE ACUERDO 009 DEL 23 DE ABRIL DE 2021</t>
        </r>
      </text>
    </comment>
  </commentList>
</comments>
</file>

<file path=xl/comments20.xml><?xml version="1.0" encoding="utf-8"?>
<comments xmlns="http://schemas.openxmlformats.org/spreadsheetml/2006/main">
  <authors>
    <author>Asus</author>
    <author>Leidy Lorena Montes Cabrera</author>
    <author>Deyci Martina Cabrera Ochoa</author>
    <author>Jose Deyson Velasquez Sanchez</author>
  </authors>
  <commentList>
    <comment ref="A24" authorId="0" shapeId="0">
      <text>
        <r>
          <rPr>
            <b/>
            <sz val="9"/>
            <color indexed="81"/>
            <rFont val="Tahoma"/>
            <family val="2"/>
          </rPr>
          <t xml:space="preserve">Actividades: 
Actualización estudio de priorización del Ordenamiento del Recurso Hidrico.
Cuerpos de agua con plan de ordenamiento del recurso hídrico (PORH) adoptados
</t>
        </r>
      </text>
    </comment>
    <comment ref="L26" authorId="1" shapeId="0">
      <text>
        <r>
          <rPr>
            <b/>
            <sz val="9"/>
            <color indexed="81"/>
            <rFont val="Tahoma"/>
            <family val="2"/>
          </rPr>
          <t>Leidy Lorena Montes Cabrera:Dirección solicitó disminuir $236,008,592 de TUA para trasladarlo a Ceibas</t>
        </r>
      </text>
    </comment>
    <comment ref="A33" authorId="0" shapeId="0">
      <text>
        <r>
          <rPr>
            <b/>
            <sz val="9"/>
            <color indexed="81"/>
            <rFont val="Tahoma"/>
            <family val="2"/>
          </rPr>
          <t xml:space="preserve">Actividades de indicador PIRMA:
</t>
        </r>
        <r>
          <rPr>
            <sz val="9"/>
            <color indexed="81"/>
            <rFont val="Tahoma"/>
            <family val="2"/>
          </rPr>
          <t xml:space="preserve">Campañas de monitoreo del recurso hídrico en el río Magdalena y sus principales afluentes
Muestreos y/o contramuestreos - proyecto calidad de aguas
Seguimiento y/o Monitoreo al Recurso Hídrico (Cuencas Abastecedoras y Otras Cuencas Prioritarias)
Estaciones hidrometeorológicas con mantenimiento
</t>
        </r>
        <r>
          <rPr>
            <b/>
            <sz val="9"/>
            <color indexed="81"/>
            <rFont val="Tahoma"/>
            <family val="2"/>
          </rPr>
          <t xml:space="preserve">
</t>
        </r>
      </text>
    </comment>
    <comment ref="A130" authorId="2" shapeId="0">
      <text>
        <r>
          <rPr>
            <b/>
            <sz val="9"/>
            <color indexed="81"/>
            <rFont val="Tahoma"/>
            <family val="2"/>
          </rPr>
          <t>Deyci Martina Cabrera Ochoa:</t>
        </r>
        <r>
          <rPr>
            <sz val="9"/>
            <color indexed="81"/>
            <rFont val="Tahoma"/>
            <family val="2"/>
          </rPr>
          <t xml:space="preserve">
PASA A ADMNISTRACIÓN DEL RECURSO HÍDRICO</t>
        </r>
      </text>
    </comment>
    <comment ref="D136" authorId="2" shapeId="0">
      <text>
        <r>
          <rPr>
            <b/>
            <sz val="9"/>
            <color indexed="81"/>
            <rFont val="Tahoma"/>
            <family val="2"/>
          </rPr>
          <t>Deyci Martina Cabrera Ochoa:</t>
        </r>
        <r>
          <rPr>
            <sz val="9"/>
            <color indexed="81"/>
            <rFont val="Tahoma"/>
            <family val="2"/>
          </rPr>
          <t xml:space="preserve">
120 mills para árboles y $90 mills para cofinanciar AVR
</t>
        </r>
      </text>
    </comment>
    <comment ref="F141" authorId="3" shapeId="0">
      <text>
        <r>
          <rPr>
            <b/>
            <sz val="9"/>
            <color indexed="81"/>
            <rFont val="Tahoma"/>
            <family val="2"/>
          </rPr>
          <t>Jose Deyson Velasquez Sanchez:</t>
        </r>
        <r>
          <rPr>
            <sz val="9"/>
            <color indexed="81"/>
            <rFont val="Tahoma"/>
            <family val="2"/>
          </rPr>
          <t xml:space="preserve">
Se trasladan $36,000,000  TSEpara el Proyecto 320201 según acuerdo aprobado mediante Consejo Directivo.
Reduce $2.911.739 según el acuerdo número XXXX del consejo directivo del mes de octubre con destino al proyecto 320501</t>
        </r>
      </text>
    </comment>
    <comment ref="K141" authorId="1" shapeId="0">
      <text>
        <r>
          <rPr>
            <b/>
            <sz val="9"/>
            <color indexed="81"/>
            <rFont val="Tahoma"/>
            <family val="2"/>
          </rPr>
          <t>Leidy Lorena Montes Cabrera:</t>
        </r>
        <r>
          <rPr>
            <sz val="9"/>
            <color indexed="81"/>
            <rFont val="Tahoma"/>
            <family val="2"/>
          </rPr>
          <t xml:space="preserve">
Se trasladaron $154.391.020 + $617.564 de la fuente TUA al Proyecto 320301 (Proyecto Ceibas), por tanto se restan al ppto de esta fuente en total $155.008.584</t>
        </r>
      </text>
    </comment>
    <comment ref="L141" authorId="1" shapeId="0">
      <text>
        <r>
          <rPr>
            <b/>
            <sz val="9"/>
            <color indexed="81"/>
            <rFont val="Tahoma"/>
            <family val="2"/>
          </rPr>
          <t>Leidy Lorena Montes Cabrera:</t>
        </r>
        <r>
          <rPr>
            <sz val="9"/>
            <color indexed="81"/>
            <rFont val="Tahoma"/>
            <family val="2"/>
          </rPr>
          <t xml:space="preserve">
Se trasladaron $414.857 de la fuente TSE al Proyecto 320301 (Proyecto Ceibas), por tanto se restan al ppto de esta fuente
Reduce $29.832.357 según el acuerdo número XXXX del consejo directivo del mes de octubre con destino al proyecto 320501</t>
        </r>
      </text>
    </comment>
    <comment ref="M141" authorId="1" shapeId="0">
      <text>
        <r>
          <rPr>
            <b/>
            <sz val="9"/>
            <color indexed="81"/>
            <rFont val="Tahoma"/>
            <family val="2"/>
          </rPr>
          <t>Leidy Lorena Montes Cabrera:</t>
        </r>
        <r>
          <rPr>
            <sz val="9"/>
            <color indexed="81"/>
            <rFont val="Tahoma"/>
            <family val="2"/>
          </rPr>
          <t xml:space="preserve">
se reciben del Proyecto 320301 (Proyecto Ceibas) los mismo $154.391.020  + $414.857 + $ 617.564  pero por fuente % Ambiental, por tanto se crea esta nueva columna con el ingreso al ppto en esta fuente por un total de $ 155.423.441
Se trasladan $16,000,000  % Ambiental para  el Proyecto 320201 según acuerdo aprobado mediante Consejo Directivo
Reduce $30.342.771 según el acuerdo número XXXX del consejo directivo del mes de octubre con destino al proyecto 320501</t>
        </r>
      </text>
    </comment>
  </commentList>
</comments>
</file>

<file path=xl/comments21.xml><?xml version="1.0" encoding="utf-8"?>
<comments xmlns="http://schemas.openxmlformats.org/spreadsheetml/2006/main">
  <authors>
    <author>Leidy Lorena Montes Cabrera</author>
  </authors>
  <commentList>
    <comment ref="E14" authorId="0" shapeId="0">
      <text>
        <r>
          <rPr>
            <b/>
            <sz val="9"/>
            <color indexed="81"/>
            <rFont val="Tahoma"/>
            <family val="2"/>
          </rPr>
          <t xml:space="preserve">Se reduce $ 13.240.289 según el acuerdo número XXX por el consejo duirectivo del mes de octubre, con destino al proyecto 320501 
</t>
        </r>
      </text>
    </comment>
    <comment ref="F14" authorId="0" shapeId="0">
      <text>
        <r>
          <rPr>
            <b/>
            <sz val="9"/>
            <color indexed="81"/>
            <rFont val="Tahoma"/>
            <family val="2"/>
          </rPr>
          <t xml:space="preserve">Se reduce $ 7.979.872 según el acuerdo número XXX por el consejo duirectivo del mes de octubre, con destino al proyecto 320501
</t>
        </r>
      </text>
    </comment>
  </commentList>
</comments>
</file>

<file path=xl/comments22.xml><?xml version="1.0" encoding="utf-8"?>
<comments xmlns="http://schemas.openxmlformats.org/spreadsheetml/2006/main">
  <authors>
    <author>Leidy Lorena Montes Cabrera</author>
  </authors>
  <commentList>
    <comment ref="G35" authorId="0" shapeId="0">
      <text>
        <r>
          <rPr>
            <b/>
            <sz val="9"/>
            <color indexed="81"/>
            <rFont val="Tahoma"/>
            <family val="2"/>
          </rPr>
          <t xml:space="preserve">Se reduce $ 13.240.289 según el acuerdo número XXX por el consejo duirectivo del mes de octubre, con destino al proyecto 320501 
</t>
        </r>
      </text>
    </comment>
    <comment ref="H35" authorId="0" shapeId="0">
      <text>
        <r>
          <rPr>
            <b/>
            <sz val="9"/>
            <color indexed="81"/>
            <rFont val="Tahoma"/>
            <family val="2"/>
          </rPr>
          <t xml:space="preserve">Se reduce $ 7.979.872 según el acuerdo número XXX por el consejo duirectivo del mes de octubre, con destino al proyecto 320501
</t>
        </r>
      </text>
    </comment>
  </commentList>
</comments>
</file>

<file path=xl/comments23.xml><?xml version="1.0" encoding="utf-8"?>
<comments xmlns="http://schemas.openxmlformats.org/spreadsheetml/2006/main">
  <authors>
    <author>Leidy Lorena Montes Cabrera</author>
  </authors>
  <commentList>
    <comment ref="E14" authorId="0" shapeId="0">
      <text>
        <r>
          <rPr>
            <b/>
            <sz val="9"/>
            <color indexed="81"/>
            <rFont val="Tahoma"/>
            <family val="2"/>
          </rPr>
          <t>Se adicionan por traslado el valor de $ 45.460.738 concluido en el acuerdo número XXX del  consejo directivo del mes de octubre, provenientes de los proyecto 320101, 320301, 320502,320401, 320801, 329901.</t>
        </r>
      </text>
    </comment>
    <comment ref="F14" authorId="0" shapeId="0">
      <text>
        <r>
          <rPr>
            <b/>
            <sz val="9"/>
            <color indexed="81"/>
            <rFont val="Tahoma"/>
            <family val="2"/>
          </rPr>
          <t>Se adicionan por traslado el valor de $ 8,364,592 concluido en el acuerdo número XXX del  consejo directivo del mes de octubre, provenientes de los proyectos 320101, 320301, 320502,320401, 320801, 329901.</t>
        </r>
      </text>
    </comment>
    <comment ref="G14" authorId="0" shapeId="0">
      <text>
        <r>
          <rPr>
            <b/>
            <sz val="9"/>
            <color indexed="81"/>
            <rFont val="Tahoma"/>
            <family val="2"/>
          </rPr>
          <t>Se adicionan por traslado el valor de $ 146.993.465 concluido en el acuerdo número XXX del  consejo directivo del mes de octubre, provenientes de los proyectos 320101, 320301, 320502,320401, 320801, 329901.</t>
        </r>
      </text>
    </comment>
    <comment ref="H14" authorId="0" shapeId="0">
      <text>
        <r>
          <rPr>
            <b/>
            <sz val="9"/>
            <color indexed="81"/>
            <rFont val="Tahoma"/>
            <family val="2"/>
          </rPr>
          <t>Se adicionan por traslado el valor de $42.510.181 concluido en el acuerdo número XXX del  consejo directivo del mes de octubre, provenientes de los proyectos 320101, 320301, 320502,320401, 320801, 329901.</t>
        </r>
      </text>
    </comment>
    <comment ref="I14" authorId="0" shapeId="0">
      <text>
        <r>
          <rPr>
            <b/>
            <sz val="9"/>
            <color indexed="81"/>
            <rFont val="Tahoma"/>
            <family val="2"/>
          </rPr>
          <t>Se adicionan por traslado el valor de $ 57.871.024 concluido en el acuerdo número XXX del  consejo directivo del mes de octubre, provenientes de los proyectos 320101, 320301, 320502,320401, 320801, 329901.</t>
        </r>
      </text>
    </comment>
  </commentList>
</comments>
</file>

<file path=xl/comments24.xml><?xml version="1.0" encoding="utf-8"?>
<comments xmlns="http://schemas.openxmlformats.org/spreadsheetml/2006/main">
  <authors>
    <author>Leidy Lorena Montes Cabrera</author>
  </authors>
  <commentList>
    <comment ref="I12" authorId="0" shapeId="0">
      <text>
        <r>
          <rPr>
            <b/>
            <sz val="9"/>
            <color indexed="81"/>
            <rFont val="Tahoma"/>
            <family val="2"/>
          </rPr>
          <t>Silvia paso 1345108 para gastos de personal de rubro que sobro 25/05/2022</t>
        </r>
      </text>
    </comment>
    <comment ref="I19" authorId="0" shapeId="0">
      <text>
        <r>
          <rPr>
            <b/>
            <sz val="9"/>
            <color indexed="81"/>
            <rFont val="Tahoma"/>
            <family val="2"/>
          </rPr>
          <t>Silvia paso el valor de 1345108 desde el indicador municipios asesorados, aporyo para detallar información cartografica</t>
        </r>
        <r>
          <rPr>
            <sz val="9"/>
            <color indexed="81"/>
            <rFont val="Tahoma"/>
            <family val="2"/>
          </rPr>
          <t xml:space="preserve">
</t>
        </r>
      </text>
    </comment>
    <comment ref="I22" authorId="0" shapeId="0">
      <text>
        <r>
          <rPr>
            <b/>
            <sz val="9"/>
            <color indexed="81"/>
            <rFont val="Tahoma"/>
            <family val="2"/>
          </rPr>
          <t>Se adicionan por traslado el valor de $ 45.460.738 concluido en el acuerdo número XXX del  consejo directivo del mes de octubre, provenientes de los proyecto 320101, 320301, 320502,320401, 320801, 329901.</t>
        </r>
      </text>
    </comment>
    <comment ref="J22" authorId="0" shapeId="0">
      <text>
        <r>
          <rPr>
            <b/>
            <sz val="9"/>
            <color indexed="81"/>
            <rFont val="Tahoma"/>
            <family val="2"/>
          </rPr>
          <t>Se adicionan por traslado el valor de $ 8,364,592 concluido en el acuerdo número XXX del  consejo directivo del mes de octubre, provenientes de los proyectos 320101, 320301, 320502,320401, 320801, 329901.</t>
        </r>
      </text>
    </comment>
    <comment ref="K22" authorId="0" shapeId="0">
      <text>
        <r>
          <rPr>
            <b/>
            <sz val="9"/>
            <color indexed="81"/>
            <rFont val="Tahoma"/>
            <family val="2"/>
          </rPr>
          <t>Se adicionan por traslado el valor de $ 146.993.465 concluido en el acuerdo número XXX del  consejo directivo del mes de octubre, provenientes de los proyectos 320101, 320301, 320502,320401, 320801, 329901.</t>
        </r>
      </text>
    </comment>
    <comment ref="L22" authorId="0" shapeId="0">
      <text>
        <r>
          <rPr>
            <b/>
            <sz val="9"/>
            <color indexed="81"/>
            <rFont val="Tahoma"/>
            <family val="2"/>
          </rPr>
          <t>Se adicionan por traslado el valor de $42.510.181 concluido en el acuerdo número XXX del  consejo directivo del mes de octubre, provenientes de los proyectos 320101, 320301, 320502,320401, 320801, 329901.</t>
        </r>
      </text>
    </comment>
    <comment ref="M22" authorId="0" shapeId="0">
      <text>
        <r>
          <rPr>
            <b/>
            <sz val="9"/>
            <color indexed="81"/>
            <rFont val="Tahoma"/>
            <family val="2"/>
          </rPr>
          <t>Se adicionan por traslado el valor de $ 57.871.024 concluido en el acuerdo número XXX del  consejo directivo del mes de octubre, provenientes de los proyectos 320101, 320301, 320502,320401, 320801, 329901.</t>
        </r>
      </text>
    </comment>
  </commentList>
</comments>
</file>

<file path=xl/comments25.xml><?xml version="1.0" encoding="utf-8"?>
<comments xmlns="http://schemas.openxmlformats.org/spreadsheetml/2006/main">
  <authors>
    <author>Leidy Lorena Montes Cabrera</author>
  </authors>
  <commentList>
    <comment ref="E20" authorId="0" shapeId="0">
      <text>
        <r>
          <rPr>
            <b/>
            <sz val="9"/>
            <color indexed="81"/>
            <rFont val="Tahoma"/>
            <family val="2"/>
          </rPr>
          <t>Leidy Lorena Montes Cabrera:</t>
        </r>
        <r>
          <rPr>
            <sz val="9"/>
            <color indexed="81"/>
            <rFont val="Tahoma"/>
            <family val="2"/>
          </rPr>
          <t xml:space="preserve">
Se trasladaron $194.214.323 + $776.857 de la fuente TSE al Proyecto 320301 (Proyecto Ceibas), por tanto se resta el ppto de esta fuente un total de $194.991.180
Se trasladaron $416,229,997 de TSE mediante memorando XX aprobado por el Consejo Directivo el 27/09/2022 al Proyecto 320201</t>
        </r>
      </text>
    </comment>
    <comment ref="F20" authorId="0" shapeId="0">
      <text>
        <r>
          <rPr>
            <b/>
            <sz val="9"/>
            <color indexed="81"/>
            <rFont val="Tahoma"/>
            <family val="2"/>
          </rPr>
          <t>Leidy Lorena Montes Cabrera:</t>
        </r>
        <r>
          <rPr>
            <sz val="9"/>
            <color indexed="81"/>
            <rFont val="Tahoma"/>
            <family val="2"/>
          </rPr>
          <t xml:space="preserve">
Se reciben del Proyecto 320301 (Proyecto Ceibas) $194.214.323 + $776.857 por fuente % Ambiental, por tanto se suma el ppto de esta fuente un total de $194.991.180.
Se reducen $ 13.283.659 según el acuerdo número xxx del consejo directivo del mes de octubre con destino al proyecto 320501</t>
        </r>
      </text>
    </comment>
  </commentList>
</comments>
</file>

<file path=xl/comments26.xml><?xml version="1.0" encoding="utf-8"?>
<comments xmlns="http://schemas.openxmlformats.org/spreadsheetml/2006/main">
  <authors>
    <author>Deyci Martina Cabrera Ochoa</author>
    <author>Leidy Lorena Montes Cabrera</author>
  </authors>
  <commentList>
    <comment ref="A30" authorId="0" shapeId="0">
      <text>
        <r>
          <rPr>
            <b/>
            <sz val="9"/>
            <color indexed="81"/>
            <rFont val="Tahoma"/>
            <family val="2"/>
          </rPr>
          <t>Deyci Martina Cabrera Ochoa:</t>
        </r>
        <r>
          <rPr>
            <sz val="9"/>
            <color indexed="81"/>
            <rFont val="Tahoma"/>
            <family val="2"/>
          </rPr>
          <t xml:space="preserve">
POR DEFINIR
 TIMANA</t>
        </r>
      </text>
    </comment>
    <comment ref="F50" authorId="1" shapeId="0">
      <text>
        <r>
          <rPr>
            <b/>
            <sz val="9"/>
            <color indexed="81"/>
            <rFont val="Tahoma"/>
            <family val="2"/>
          </rPr>
          <t>Leidy Lorena Montes Cabrera:</t>
        </r>
        <r>
          <rPr>
            <sz val="9"/>
            <color indexed="81"/>
            <rFont val="Tahoma"/>
            <family val="2"/>
          </rPr>
          <t xml:space="preserve">
Se trasladaron $194.214.323 + $776.857 de la fuente TSE al Proyecto 320301 (Proyecto Ceibas), por tanto se resta el ppto de esta fuente un total de $194.991.180
Se trasladaron $416,229,997 de TSE mediante memorando XX aprobado por el Consejo Directivo el 27/09/2022 al Proyecto 320201</t>
        </r>
      </text>
    </comment>
    <comment ref="G50" authorId="1" shapeId="0">
      <text>
        <r>
          <rPr>
            <b/>
            <sz val="9"/>
            <color indexed="81"/>
            <rFont val="Tahoma"/>
            <family val="2"/>
          </rPr>
          <t>Leidy Lorena Montes Cabrera:</t>
        </r>
        <r>
          <rPr>
            <sz val="9"/>
            <color indexed="81"/>
            <rFont val="Tahoma"/>
            <family val="2"/>
          </rPr>
          <t xml:space="preserve">
Se reciben del Proyecto 320301 (Proyecto Ceibas) $194.214.323 + $776.857 por fuente % Ambiental, por tanto se suma el ppto de esta fuente un total de $194.991.180.
Se reducen $ 13.283.659 según el acuerdo número xxx del consejo directivo del mes de octubre con destino al proyecto 320501</t>
        </r>
      </text>
    </comment>
  </commentList>
</comments>
</file>

<file path=xl/comments27.xml><?xml version="1.0" encoding="utf-8"?>
<comments xmlns="http://schemas.openxmlformats.org/spreadsheetml/2006/main">
  <authors>
    <author>Leidy Lorena Montes Cabrera</author>
  </authors>
  <commentList>
    <comment ref="J14" authorId="0" shapeId="0">
      <text>
        <r>
          <rPr>
            <b/>
            <sz val="9"/>
            <color indexed="81"/>
            <rFont val="Tahoma"/>
            <family val="2"/>
          </rPr>
          <t>Se Resta  el valor de $62,500,000 por traslado autorizado en el acuerdo XXX mediante consejo directivo e ingresara al proyecto 320301 del Ing. Fredy Antury quedando TR en $ 0</t>
        </r>
      </text>
    </comment>
  </commentList>
</comments>
</file>

<file path=xl/comments28.xml><?xml version="1.0" encoding="utf-8"?>
<comments xmlns="http://schemas.openxmlformats.org/spreadsheetml/2006/main">
  <authors>
    <author>Leidy Lorena Montes Cabrera</author>
  </authors>
  <commentList>
    <comment ref="K23" authorId="0" shapeId="0">
      <text>
        <r>
          <rPr>
            <b/>
            <sz val="11"/>
            <color indexed="81"/>
            <rFont val="Tahoma"/>
            <family val="2"/>
          </rPr>
          <t>Se ajusta  el valor de $62,500,000 por traslado autorizado en el acuerdo XXX mediante consejo directivo e ingresara al proyecto 320301 del Ing. Fredy Antury quedando TR en $ 0</t>
        </r>
      </text>
    </comment>
  </commentList>
</comments>
</file>

<file path=xl/comments29.xml><?xml version="1.0" encoding="utf-8"?>
<comments xmlns="http://schemas.openxmlformats.org/spreadsheetml/2006/main">
  <authors>
    <author>Deyci Martina Cabrera Ochoa</author>
  </authors>
  <commentList>
    <comment ref="B10" authorId="0" shapeId="0">
      <text>
        <r>
          <rPr>
            <b/>
            <sz val="9"/>
            <color indexed="81"/>
            <rFont val="Tahoma"/>
            <family val="2"/>
          </rPr>
          <t>Deyci Martina Cabrera Ochoa:</t>
        </r>
        <r>
          <rPr>
            <sz val="9"/>
            <color indexed="81"/>
            <rFont val="Tahoma"/>
            <family val="2"/>
          </rPr>
          <t xml:space="preserve">
Adecuación horno ladrillero</t>
        </r>
      </text>
    </comment>
  </commentList>
</comments>
</file>

<file path=xl/comments3.xml><?xml version="1.0" encoding="utf-8"?>
<comments xmlns="http://schemas.openxmlformats.org/spreadsheetml/2006/main">
  <authors>
    <author>Usuario de Windows</author>
  </authors>
  <commentList>
    <comment ref="E32" authorId="0" shapeId="0">
      <text>
        <r>
          <rPr>
            <b/>
            <sz val="9"/>
            <color indexed="81"/>
            <rFont val="Tahoma"/>
            <family val="2"/>
          </rPr>
          <t>Usuario de Windows:</t>
        </r>
        <r>
          <rPr>
            <sz val="9"/>
            <color indexed="81"/>
            <rFont val="Tahoma"/>
            <family val="2"/>
          </rPr>
          <t xml:space="preserve">
Dorado, Peñas Blancas y Oseras-Siberia-Ceibas</t>
        </r>
      </text>
    </comment>
    <comment ref="D88" authorId="0" shapeId="0">
      <text>
        <r>
          <rPr>
            <b/>
            <sz val="9"/>
            <color indexed="81"/>
            <rFont val="Tahoma"/>
            <family val="2"/>
          </rPr>
          <t>Usuario de Windows:</t>
        </r>
        <r>
          <rPr>
            <sz val="9"/>
            <color indexed="81"/>
            <rFont val="Tahoma"/>
            <family val="2"/>
          </rPr>
          <t xml:space="preserve">
A pesar de tener solo dos indicadores de producto, dentro de estos se desagregan actividades con diferentes códigos de producto</t>
        </r>
      </text>
    </comment>
  </commentList>
</comments>
</file>

<file path=xl/comments30.xml><?xml version="1.0" encoding="utf-8"?>
<comments xmlns="http://schemas.openxmlformats.org/spreadsheetml/2006/main">
  <authors>
    <author>Laura Maria Gonzalez Camacho</author>
  </authors>
  <commentList>
    <comment ref="E11" authorId="0" shapeId="0">
      <text>
        <r>
          <rPr>
            <b/>
            <sz val="9"/>
            <color indexed="81"/>
            <rFont val="Tahoma"/>
            <family val="2"/>
          </rPr>
          <t>Laura Maria Gonzalez Camacho:</t>
        </r>
        <r>
          <rPr>
            <sz val="9"/>
            <color indexed="81"/>
            <rFont val="Tahoma"/>
            <family val="2"/>
          </rPr>
          <t xml:space="preserve">
1 Cubierta horno panelero la gabriela: $7.000.000</t>
        </r>
      </text>
    </comment>
  </commentList>
</comments>
</file>

<file path=xl/comments31.xml><?xml version="1.0" encoding="utf-8"?>
<comments xmlns="http://schemas.openxmlformats.org/spreadsheetml/2006/main">
  <authors>
    <author>Leidy Lorena Montes Cabrera</author>
  </authors>
  <commentList>
    <comment ref="I18" authorId="0" shapeId="0">
      <text>
        <r>
          <rPr>
            <b/>
            <sz val="9"/>
            <color indexed="81"/>
            <rFont val="Tahoma"/>
            <family val="2"/>
          </rPr>
          <t>Reduce $20.697.474 según el acuerdo número XXX del consejo directivo del mes de octubre, con destino al proyecto 320501</t>
        </r>
        <r>
          <rPr>
            <sz val="9"/>
            <color indexed="81"/>
            <rFont val="Tahoma"/>
            <family val="2"/>
          </rPr>
          <t xml:space="preserve">
</t>
        </r>
      </text>
    </comment>
    <comment ref="N18" authorId="0" shapeId="0">
      <text>
        <r>
          <rPr>
            <b/>
            <sz val="9"/>
            <color indexed="81"/>
            <rFont val="Tahoma"/>
            <family val="2"/>
          </rPr>
          <t>Leidy Lorena Montes Cabrera:</t>
        </r>
        <r>
          <rPr>
            <sz val="9"/>
            <color indexed="81"/>
            <rFont val="Tahoma"/>
            <family val="2"/>
          </rPr>
          <t xml:space="preserve">
Se adiciona presupuesto del año 2022 del Proyecto SENDICAM $ 1815020178,98</t>
        </r>
      </text>
    </comment>
  </commentList>
</comments>
</file>

<file path=xl/comments32.xml><?xml version="1.0" encoding="utf-8"?>
<comments xmlns="http://schemas.openxmlformats.org/spreadsheetml/2006/main">
  <authors>
    <author>Leidy Lorena Montes Cabrera</author>
  </authors>
  <commentList>
    <comment ref="J59" authorId="0" shapeId="0">
      <text>
        <r>
          <rPr>
            <b/>
            <sz val="9"/>
            <color indexed="81"/>
            <rFont val="Tahoma"/>
            <family val="2"/>
          </rPr>
          <t>Reduce $20.697.474 según el acuerdo número XXX del consejo directivo del mes de octubre, con destino al proyecto 320501</t>
        </r>
        <r>
          <rPr>
            <sz val="9"/>
            <color indexed="81"/>
            <rFont val="Tahoma"/>
            <family val="2"/>
          </rPr>
          <t xml:space="preserve">
</t>
        </r>
      </text>
    </comment>
    <comment ref="O59" authorId="0" shapeId="0">
      <text>
        <r>
          <rPr>
            <b/>
            <sz val="9"/>
            <color indexed="81"/>
            <rFont val="Tahoma"/>
            <family val="2"/>
          </rPr>
          <t>Leidy Lorena Montes Cabrera:</t>
        </r>
        <r>
          <rPr>
            <sz val="9"/>
            <color indexed="81"/>
            <rFont val="Tahoma"/>
            <family val="2"/>
          </rPr>
          <t xml:space="preserve">
Se adiciona presupuesto del año 2022 del Proyecto SENDICAM $ 1815020178,98</t>
        </r>
      </text>
    </comment>
  </commentList>
</comments>
</file>

<file path=xl/comments33.xml><?xml version="1.0" encoding="utf-8"?>
<comments xmlns="http://schemas.openxmlformats.org/spreadsheetml/2006/main">
  <authors>
    <author>Leidy Lorena Montes Cabrera</author>
  </authors>
  <commentList>
    <comment ref="E27" authorId="0" shapeId="0">
      <text>
        <r>
          <rPr>
            <b/>
            <sz val="9"/>
            <color indexed="81"/>
            <rFont val="Tahoma"/>
            <family val="2"/>
          </rPr>
          <t>Reduce $335.306 según el acuerdo número XXXX del consejo directivo del mes de octubre con destino al proyecto 320501</t>
        </r>
      </text>
    </comment>
    <comment ref="F27" authorId="0" shapeId="0">
      <text>
        <r>
          <rPr>
            <b/>
            <sz val="9"/>
            <color indexed="81"/>
            <rFont val="Tahoma"/>
            <family val="2"/>
          </rPr>
          <t>Reduce$384.720 según el acuerdo número XXX del consejo directivo del mes de octubre con destino al proyecto 320501</t>
        </r>
      </text>
    </comment>
    <comment ref="I27" authorId="0" shapeId="0">
      <text>
        <r>
          <rPr>
            <b/>
            <sz val="9"/>
            <color indexed="81"/>
            <rFont val="Tahoma"/>
            <family val="2"/>
          </rPr>
          <t>Reduce $4056428 según el acuerdo número XXX del consejo directivo del mes de octubre con destino al proyecto 320501</t>
        </r>
      </text>
    </comment>
  </commentList>
</comments>
</file>

<file path=xl/comments34.xml><?xml version="1.0" encoding="utf-8"?>
<comments xmlns="http://schemas.openxmlformats.org/spreadsheetml/2006/main">
  <authors>
    <author>Deyci Martina Cabrera Ochoa</author>
    <author>Leidy Lorena Montes Cabrera</author>
  </authors>
  <commentList>
    <comment ref="A23" authorId="0" shapeId="0">
      <text>
        <r>
          <rPr>
            <b/>
            <sz val="9"/>
            <color indexed="81"/>
            <rFont val="Tahoma"/>
            <family val="2"/>
          </rPr>
          <t>Deyci Martina Cabrera Ochoa:</t>
        </r>
        <r>
          <rPr>
            <sz val="9"/>
            <color indexed="81"/>
            <rFont val="Tahoma"/>
            <family val="2"/>
          </rPr>
          <t xml:space="preserve">
PENSEMOS</t>
        </r>
      </text>
    </comment>
    <comment ref="A61" authorId="0" shapeId="0">
      <text>
        <r>
          <rPr>
            <b/>
            <sz val="9"/>
            <color indexed="81"/>
            <rFont val="Tahoma"/>
            <family val="2"/>
          </rPr>
          <t>Deyci Martina Cabrera Ochoa:</t>
        </r>
        <r>
          <rPr>
            <sz val="9"/>
            <color indexed="81"/>
            <rFont val="Tahoma"/>
            <family val="2"/>
          </rPr>
          <t xml:space="preserve">
Estimado para red de cableado estructurado del bloque policía ambiental y nueva oficina de contratación. </t>
        </r>
      </text>
    </comment>
    <comment ref="A70" authorId="1" shapeId="0">
      <text>
        <r>
          <rPr>
            <b/>
            <sz val="9"/>
            <color indexed="81"/>
            <rFont val="Tahoma"/>
            <family val="2"/>
          </rPr>
          <t>Leidy Lorena Montes Cabrera:</t>
        </r>
        <r>
          <rPr>
            <sz val="9"/>
            <color indexed="81"/>
            <rFont val="Tahoma"/>
            <family val="2"/>
          </rPr>
          <t xml:space="preserve">
se creó esta acción</t>
        </r>
      </text>
    </comment>
    <comment ref="K81" authorId="1" shapeId="0">
      <text>
        <r>
          <rPr>
            <b/>
            <sz val="9"/>
            <color indexed="81"/>
            <rFont val="Tahoma"/>
            <family val="2"/>
          </rPr>
          <t>Reduce $335.306 según el acuerdo número XXXX del consejo directivo del mes de octubre con destino al proyecto 320501</t>
        </r>
      </text>
    </comment>
    <comment ref="L81" authorId="1" shapeId="0">
      <text>
        <r>
          <rPr>
            <b/>
            <sz val="9"/>
            <color indexed="81"/>
            <rFont val="Tahoma"/>
            <family val="2"/>
          </rPr>
          <t>Reduce$384.720 según el acuerdo número XXX del consejo directivo del mes de octubre con destino al proyecto 320501</t>
        </r>
      </text>
    </comment>
    <comment ref="O81" authorId="1" shapeId="0">
      <text>
        <r>
          <rPr>
            <b/>
            <sz val="9"/>
            <color indexed="81"/>
            <rFont val="Tahoma"/>
            <family val="2"/>
          </rPr>
          <t>Reduce $4056428 según el acuerdo número XXX del consejo directivo del mes de octubre con destino al proyecto 320501</t>
        </r>
      </text>
    </comment>
  </commentList>
</comments>
</file>

<file path=xl/comments4.xml><?xml version="1.0" encoding="utf-8"?>
<comments xmlns="http://schemas.openxmlformats.org/spreadsheetml/2006/main">
  <authors>
    <author>Deyci Martina Cabrera Ochoa</author>
    <author>Asus</author>
  </authors>
  <commentList>
    <comment ref="B28" authorId="0" shapeId="0">
      <text>
        <r>
          <rPr>
            <b/>
            <sz val="9"/>
            <color indexed="81"/>
            <rFont val="Tahoma"/>
            <family val="2"/>
          </rPr>
          <t>Deyci Martina Cabrera Ochoa:</t>
        </r>
        <r>
          <rPr>
            <sz val="9"/>
            <color indexed="81"/>
            <rFont val="Tahoma"/>
            <family val="2"/>
          </rPr>
          <t xml:space="preserve">
Avance en un área de ifluenca en los grupos de monitoreo más otra área.
No se pudo hacer en le áre de litigio en 2020, por temas jurídicas, entonces se hizo en Dorado y Peñas Blancas y corredor Oseras, siberia--Ceibas
Para 2021 - Corredor TransAndino Amazónico mas uno del año 2020 que no se reportó</t>
        </r>
      </text>
    </comment>
    <comment ref="B29" authorId="0" shapeId="0">
      <text>
        <r>
          <rPr>
            <b/>
            <sz val="9"/>
            <color indexed="81"/>
            <rFont val="Tahoma"/>
            <family val="2"/>
          </rPr>
          <t>Deyci Martina Cabrera Ochoa:</t>
        </r>
        <r>
          <rPr>
            <sz val="9"/>
            <color indexed="81"/>
            <rFont val="Tahoma"/>
            <family val="2"/>
          </rPr>
          <t xml:space="preserve">
Se contrató fase de aprestamento en 2020 de las 3 áreas y en 2021 la terminación.
Se debe trasladar la Meta 2021 para 2022</t>
        </r>
      </text>
    </comment>
    <comment ref="B30" authorId="0" shapeId="0">
      <text>
        <r>
          <rPr>
            <b/>
            <sz val="9"/>
            <color indexed="81"/>
            <rFont val="Tahoma"/>
            <family val="2"/>
          </rPr>
          <t>Deyci Martina Cabrera Ochoa:</t>
        </r>
        <r>
          <rPr>
            <sz val="9"/>
            <color indexed="81"/>
            <rFont val="Tahoma"/>
            <family val="2"/>
          </rPr>
          <t xml:space="preserve">
2020: L.B. Valoración económica para (4)humedales (Guatipán, Colores, 
          Voltezuela y La Vega) - En Cumplimiento de la Política
2021: Terminación valoración económica
          Zonificación y régimen de uso de páramos (En 2016 se realizó el dcto
          que recoge la información, salió en marzo de 2018 y en mayo salieron
          los lineamientos). Se deben hacer 6 comisiones conjuntas, Ej CVC 
          avanzó en zonificaciones parciales.
2022: PSA
</t>
        </r>
      </text>
    </comment>
    <comment ref="B31" authorId="0" shapeId="0">
      <text>
        <r>
          <rPr>
            <b/>
            <sz val="9"/>
            <color indexed="81"/>
            <rFont val="Tahoma"/>
            <family val="2"/>
          </rPr>
          <t>Deyci Martina Cabrera Ochoa:</t>
        </r>
        <r>
          <rPr>
            <sz val="9"/>
            <color indexed="81"/>
            <rFont val="Tahoma"/>
            <family val="2"/>
          </rPr>
          <t xml:space="preserve">
medios de divulgación, medidas de prevención y control, capacitaciones y educ ambiental (Caracol africano, en áreas protegidas también se trabajan otras especies)</t>
        </r>
      </text>
    </comment>
    <comment ref="B33" authorId="0" shapeId="0">
      <text>
        <r>
          <rPr>
            <b/>
            <sz val="9"/>
            <color indexed="81"/>
            <rFont val="Tahoma"/>
            <family val="2"/>
          </rPr>
          <t>Deyci Martina Cabrera Ochoa:</t>
        </r>
        <r>
          <rPr>
            <sz val="9"/>
            <color indexed="81"/>
            <rFont val="Tahoma"/>
            <family val="2"/>
          </rPr>
          <t xml:space="preserve">
167 Ha. Correspondiente a BST y Humedales</t>
        </r>
      </text>
    </comment>
    <comment ref="B34" authorId="0" shapeId="0">
      <text>
        <r>
          <rPr>
            <b/>
            <sz val="9"/>
            <color indexed="81"/>
            <rFont val="Tahoma"/>
            <family val="2"/>
          </rPr>
          <t>Deyci Martina Cabrera Ochoa:</t>
        </r>
        <r>
          <rPr>
            <sz val="9"/>
            <color indexed="81"/>
            <rFont val="Tahoma"/>
            <family val="2"/>
          </rPr>
          <t xml:space="preserve">
6 especies amenazadas (Oso de anteojos, danta, caimán, Nutria, pataló y roble negro) </t>
        </r>
      </text>
    </comment>
    <comment ref="B55" authorId="1" shapeId="0">
      <text>
        <r>
          <rPr>
            <b/>
            <sz val="9"/>
            <color indexed="81"/>
            <rFont val="Tahoma"/>
            <family val="2"/>
          </rPr>
          <t xml:space="preserve">Actividades: 
Actualización estudio de priorización del Ordenamiento del Recurso Hidrico.
Cuerpos de agua con plan de ordenamiento del recurso hídrico (PORH) adoptados
</t>
        </r>
      </text>
    </comment>
  </commentList>
</comments>
</file>

<file path=xl/comments5.xml><?xml version="1.0" encoding="utf-8"?>
<comments xmlns="http://schemas.openxmlformats.org/spreadsheetml/2006/main">
  <authors>
    <author>Deyci Martina Cabrera Ochoa</author>
    <author>Leidy Lorena Montes Cabrera</author>
  </authors>
  <commentList>
    <comment ref="D17" authorId="0" shapeId="0">
      <text>
        <r>
          <rPr>
            <b/>
            <sz val="9"/>
            <color indexed="81"/>
            <rFont val="Tahoma"/>
            <family val="2"/>
          </rPr>
          <t>Deyci Martina Cabrera Ochoa:</t>
        </r>
        <r>
          <rPr>
            <sz val="9"/>
            <color indexed="81"/>
            <rFont val="Tahoma"/>
            <family val="2"/>
          </rPr>
          <t xml:space="preserve">
PROYECTO CREADO MEDIANTE ACUERDO 009 DEL 23 DE ABRIL DE 2021</t>
        </r>
      </text>
    </comment>
    <comment ref="Z22" authorId="1" shapeId="0">
      <text>
        <r>
          <rPr>
            <b/>
            <sz val="9"/>
            <color indexed="81"/>
            <rFont val="Tahoma"/>
            <family val="2"/>
          </rPr>
          <t>Leidy Lorena Montes Cabrera:</t>
        </r>
        <r>
          <rPr>
            <sz val="9"/>
            <color indexed="81"/>
            <rFont val="Tahoma"/>
            <family val="2"/>
          </rPr>
          <t xml:space="preserve">
Se adiciona presupuesto del año 2022 del Proyecto SENDICAM $ 1815020178,98
Se adiciona presupuesto del Proyecto Meliponas, recursos SGR por valor de $1.665.320.477
SE ADICIONAN $600.000.000 DEL CONV. 023 - GOBERNACIÓN EN EL PROYECTO 320201</t>
        </r>
      </text>
    </comment>
  </commentList>
</comments>
</file>

<file path=xl/comments6.xml><?xml version="1.0" encoding="utf-8"?>
<comments xmlns="http://schemas.openxmlformats.org/spreadsheetml/2006/main">
  <authors>
    <author>Leidy Lorena Montes Cabrera</author>
  </authors>
  <commentList>
    <comment ref="E20" authorId="0" shapeId="0">
      <text>
        <r>
          <rPr>
            <sz val="10"/>
            <color indexed="81"/>
            <rFont val="Tahoma"/>
            <family val="2"/>
          </rPr>
          <t>Reduce $6.025.711 según el acuerdo número xxx del consejo directivo del mes de octubre con destino al proyecto 320501</t>
        </r>
      </text>
    </comment>
    <comment ref="H20" authorId="0" shapeId="0">
      <text>
        <r>
          <rPr>
            <b/>
            <sz val="9"/>
            <color indexed="81"/>
            <rFont val="Tahoma"/>
            <family val="2"/>
          </rPr>
          <t>Reduce $8.110.982
según el acuerdo número xxx del consejo directivo del mes de octubre con destino al proyecto 320501</t>
        </r>
      </text>
    </comment>
    <comment ref="I20" authorId="0" shapeId="0">
      <text>
        <r>
          <rPr>
            <b/>
            <sz val="9"/>
            <color indexed="81"/>
            <rFont val="Tahoma"/>
            <family val="2"/>
          </rPr>
          <t>Reduce $ 7,110.994
según el acuerdo número xxx del consejo directivo del mes de octubre con destino al proyecto 320501</t>
        </r>
      </text>
    </comment>
    <comment ref="O20" authorId="0" shapeId="0">
      <text>
        <r>
          <rPr>
            <b/>
            <sz val="9"/>
            <color indexed="81"/>
            <rFont val="Tahoma"/>
            <family val="2"/>
          </rPr>
          <t>Leidy Lorena Montes Cabrera:</t>
        </r>
        <r>
          <rPr>
            <sz val="9"/>
            <color indexed="81"/>
            <rFont val="Tahoma"/>
            <family val="2"/>
          </rPr>
          <t xml:space="preserve">
Se adicionan $849.110.873 por SGR del Proyecto Meliponas</t>
        </r>
      </text>
    </comment>
  </commentList>
</comments>
</file>

<file path=xl/comments7.xml><?xml version="1.0" encoding="utf-8"?>
<comments xmlns="http://schemas.openxmlformats.org/spreadsheetml/2006/main">
  <authors>
    <author>Laura Maria Gonzalez Camacho</author>
    <author>Leidy Lorena Montes Cabrera</author>
    <author>Jose Deyson Velasquez Sanchez</author>
  </authors>
  <commentList>
    <comment ref="B16" authorId="0" shapeId="0">
      <text>
        <r>
          <rPr>
            <b/>
            <sz val="9"/>
            <color indexed="81"/>
            <rFont val="Tahoma"/>
            <family val="2"/>
          </rPr>
          <t>Laura Maria Gonzalez Camacho:</t>
        </r>
        <r>
          <rPr>
            <sz val="9"/>
            <color indexed="81"/>
            <rFont val="Tahoma"/>
            <family val="2"/>
          </rPr>
          <t xml:space="preserve">
Acuerdo marco 166-amp-2021</t>
        </r>
      </text>
    </comment>
    <comment ref="I22" authorId="1" shapeId="0">
      <text>
        <r>
          <rPr>
            <b/>
            <sz val="9"/>
            <color indexed="81"/>
            <rFont val="Tahoma"/>
          </rPr>
          <t>silvia Saco 389594 para gastos de personal</t>
        </r>
      </text>
    </comment>
    <comment ref="I23" authorId="1" shapeId="0">
      <text>
        <r>
          <rPr>
            <b/>
            <sz val="9"/>
            <color indexed="81"/>
            <rFont val="Tahoma"/>
          </rPr>
          <t>183000 saco Silvia en el cierre para gastos de personal que sobro</t>
        </r>
      </text>
    </comment>
    <comment ref="B29" authorId="0" shapeId="0">
      <text>
        <r>
          <rPr>
            <b/>
            <sz val="9"/>
            <color indexed="81"/>
            <rFont val="Tahoma"/>
            <family val="2"/>
          </rPr>
          <t>Laura Maria Gonzalez Camacho:</t>
        </r>
        <r>
          <rPr>
            <sz val="9"/>
            <color indexed="81"/>
            <rFont val="Tahoma"/>
            <family val="2"/>
          </rPr>
          <t xml:space="preserve">
tener en cuenta el codigo 2,3,2,02,008 para contratar el personal de seguimiento 
</t>
        </r>
      </text>
    </comment>
    <comment ref="I29" authorId="0" shapeId="0">
      <text>
        <r>
          <rPr>
            <b/>
            <sz val="9"/>
            <color indexed="81"/>
            <rFont val="Tahoma"/>
            <family val="2"/>
          </rPr>
          <t>Laura Maria Gonzalez Camacho:</t>
        </r>
        <r>
          <rPr>
            <sz val="9"/>
            <color indexed="81"/>
            <rFont val="Tahoma"/>
            <family val="2"/>
          </rPr>
          <t xml:space="preserve">
se trasladaron 8 millones de material vegetal</t>
        </r>
      </text>
    </comment>
    <comment ref="I45" authorId="1" shapeId="0">
      <text>
        <r>
          <rPr>
            <b/>
            <sz val="9"/>
            <color indexed="81"/>
            <rFont val="Tahoma"/>
          </rPr>
          <t>Valores 572594 que se pasaron de porcentaje de sectores de la actividad ejecución de proyectos, Silvia los paso en el cierre 25/01/2023</t>
        </r>
      </text>
    </comment>
    <comment ref="F48" authorId="1" shapeId="0">
      <text>
        <r>
          <rPr>
            <sz val="10"/>
            <color indexed="81"/>
            <rFont val="Tahoma"/>
            <family val="2"/>
          </rPr>
          <t>Reduce $6.025.711 según el acuerdo número xxx del consejo directivo del mes de octubre con destino al proyecto 320501</t>
        </r>
      </text>
    </comment>
    <comment ref="I48" authorId="1" shapeId="0">
      <text>
        <r>
          <rPr>
            <b/>
            <sz val="9"/>
            <color indexed="81"/>
            <rFont val="Tahoma"/>
            <family val="2"/>
          </rPr>
          <t>Reduce $8.110.982
según el acuerdo número xxx del consejo directivo del mes de octubre con destino al proyecto 320501</t>
        </r>
      </text>
    </comment>
    <comment ref="J48" authorId="1" shapeId="0">
      <text>
        <r>
          <rPr>
            <b/>
            <sz val="9"/>
            <color indexed="81"/>
            <rFont val="Tahoma"/>
            <family val="2"/>
          </rPr>
          <t>Reduce $ 7,110.994
según el acuerdo número xxx del consejo directivo del mes de octubre con destino al proyecto 320501</t>
        </r>
      </text>
    </comment>
    <comment ref="N48" authorId="2" shapeId="0">
      <text>
        <r>
          <rPr>
            <b/>
            <sz val="9"/>
            <color indexed="81"/>
            <rFont val="Tahoma"/>
            <family val="2"/>
          </rPr>
          <t>Jose Deyson Velasquez Sanchez:</t>
        </r>
        <r>
          <rPr>
            <sz val="9"/>
            <color indexed="81"/>
            <rFont val="Tahoma"/>
            <family val="2"/>
          </rPr>
          <t xml:space="preserve">
Se incrementa en le presupuesto $60,000 por decisión del coordinador Ing. Laura</t>
        </r>
      </text>
    </comment>
    <comment ref="P48" authorId="1" shapeId="0">
      <text>
        <r>
          <rPr>
            <b/>
            <sz val="9"/>
            <color indexed="81"/>
            <rFont val="Tahoma"/>
            <family val="2"/>
          </rPr>
          <t>Leidy Lorena Montes Cabrera:</t>
        </r>
        <r>
          <rPr>
            <sz val="9"/>
            <color indexed="81"/>
            <rFont val="Tahoma"/>
            <family val="2"/>
          </rPr>
          <t xml:space="preserve">
Se adicionan $849.110.873 por SGR del Proyecto Meliponas</t>
        </r>
      </text>
    </comment>
  </commentList>
</comments>
</file>

<file path=xl/comments8.xml><?xml version="1.0" encoding="utf-8"?>
<comments xmlns="http://schemas.openxmlformats.org/spreadsheetml/2006/main">
  <authors>
    <author>Leidy Lorena Montes Cabrera</author>
  </authors>
  <commentList>
    <comment ref="L17" authorId="0" shapeId="0">
      <text>
        <r>
          <rPr>
            <b/>
            <sz val="9"/>
            <color indexed="81"/>
            <rFont val="Tahoma"/>
            <family val="2"/>
          </rPr>
          <t>Leidy Lorena Montes Cabrera:</t>
        </r>
        <r>
          <rPr>
            <sz val="9"/>
            <color indexed="81"/>
            <rFont val="Tahoma"/>
            <family val="2"/>
          </rPr>
          <t xml:space="preserve">
Se adicionan recursos por $816,149,600 SGR Proyecto Meliponas</t>
        </r>
      </text>
    </comment>
  </commentList>
</comments>
</file>

<file path=xl/comments9.xml><?xml version="1.0" encoding="utf-8"?>
<comments xmlns="http://schemas.openxmlformats.org/spreadsheetml/2006/main">
  <authors>
    <author>Deyci Martina Cabrera Ochoa</author>
    <author>Leidy Lorena Montes Cabrera</author>
  </authors>
  <commentList>
    <comment ref="A10" authorId="0" shapeId="0">
      <text>
        <r>
          <rPr>
            <b/>
            <sz val="9"/>
            <color indexed="81"/>
            <rFont val="Tahoma"/>
            <family val="2"/>
          </rPr>
          <t>Deyci Martina Cabrera Ochoa:</t>
        </r>
        <r>
          <rPr>
            <sz val="9"/>
            <color indexed="81"/>
            <rFont val="Tahoma"/>
            <family val="2"/>
          </rPr>
          <t xml:space="preserve">
Opcional
</t>
        </r>
      </text>
    </comment>
    <comment ref="N30" authorId="1" shapeId="0">
      <text>
        <r>
          <rPr>
            <b/>
            <sz val="9"/>
            <color indexed="81"/>
            <rFont val="Tahoma"/>
            <family val="2"/>
          </rPr>
          <t>Leidy Lorena Montes Cabrera:</t>
        </r>
        <r>
          <rPr>
            <sz val="9"/>
            <color indexed="81"/>
            <rFont val="Tahoma"/>
            <family val="2"/>
          </rPr>
          <t xml:space="preserve">
Se adicionan recursos por $816,149,600 SGR Proyecto Meliponas</t>
        </r>
      </text>
    </comment>
  </commentList>
</comments>
</file>

<file path=xl/sharedStrings.xml><?xml version="1.0" encoding="utf-8"?>
<sst xmlns="http://schemas.openxmlformats.org/spreadsheetml/2006/main" count="4162" uniqueCount="1213">
  <si>
    <t>Apoyo a la Gestión, Operación, Administración y Promoción del Proyecto</t>
  </si>
  <si>
    <t>Porcentaje de municipios asesorados o asistidos en la inclusión del componente ambiental en los procesos de planificación y ordenamiento territorial, con énfasis en la incorporación de las determinantes ambientales para la revisión y ajuste de los POT (IM 24)</t>
  </si>
  <si>
    <t>Porcentaje de entes territoriales asesorados en la incorporación, planificación y ejecución de acciones relacionadas con cambio climático en el marco de los instrumentos de planificación territorial (IM 7)</t>
  </si>
  <si>
    <t>Porcentaje de ejecución de acciones en gestión ambiental urbana (IM 19)</t>
  </si>
  <si>
    <t>Comunidades Indígenas apoyadas en temas de competencia de la Corporación</t>
  </si>
  <si>
    <t xml:space="preserve">Apoyo logístico para la consolidación de las actividades contenidas en el proyecto Negocios verdes </t>
  </si>
  <si>
    <t>Porcentaje de Consolidación y fortalecimiento del Modelo Integrado de Planeación y Gestión - MIPG</t>
  </si>
  <si>
    <t>Porcentaje de la Política de servicio al ciudadano implementada</t>
  </si>
  <si>
    <t>Porcentaje de actualización e implementación del Plan Estratégico Tecnológico de la CAM para el período 2020-2023</t>
  </si>
  <si>
    <t>Porcentaje de sedes Diseñadas y/o construidas y/o adecuadas, como ejemplo de sostenibilidad ambiental y armonía con el ambiente</t>
  </si>
  <si>
    <t>TOTAL</t>
  </si>
  <si>
    <t>Porcentaje de sectores con acompañamiento para la reconversión hacia sistemas sostenibles de producción (IM 18)</t>
  </si>
  <si>
    <t>Identificación, promoción y aplicación de energías alternativas y/o utilización de sistemas ecoeficientes de combustión en sectores productivos y/o para uso doméstico</t>
  </si>
  <si>
    <t>PROGRAMA</t>
  </si>
  <si>
    <t>PROYECTOS</t>
  </si>
  <si>
    <t>1.1</t>
  </si>
  <si>
    <t>1.2</t>
  </si>
  <si>
    <t>CONSERVACIÓN Y USO EFICIENTE DEL RECURSO HÍDRICO</t>
  </si>
  <si>
    <t>2.1</t>
  </si>
  <si>
    <t>DESARROLLO SECTORIAL SOSTENIBLE</t>
  </si>
  <si>
    <t>2.2</t>
  </si>
  <si>
    <t xml:space="preserve">NEGOCIOS VERDES </t>
  </si>
  <si>
    <t>3.1</t>
  </si>
  <si>
    <t>FORTALECIMIENTO DE LOS PROCESOS DE ORDENAMIENTO Y PLANIFICACIÓN TERRITORIAL</t>
  </si>
  <si>
    <t>3.2</t>
  </si>
  <si>
    <t>3.3</t>
  </si>
  <si>
    <t>GESTIÓN AMBIENTAL CON COMUNIDADES ÉTNICAS</t>
  </si>
  <si>
    <t>4.1</t>
  </si>
  <si>
    <t>AUTORIDAD, REGLAMENTACIÓN Y REGULACIÓN AMBIENTAL</t>
  </si>
  <si>
    <t>4.2</t>
  </si>
  <si>
    <t>FORTALECIMIENTO INSTITUCIONAL PARA LA GESTIÓN AMBIENTAL</t>
  </si>
  <si>
    <t>4.3</t>
  </si>
  <si>
    <t>EDUCACIÓN Y CULTURA AMBIENTAL</t>
  </si>
  <si>
    <t>No. ecosistemas compartidos planificados y/o gestionados por la Corporación</t>
  </si>
  <si>
    <t>% de estudios elaborados  en ejecución de la Política Ambiental</t>
  </si>
  <si>
    <t>Porcentaje de especies  invasoras con medidas de prevención, control y manejo en ejecución (IM 14)</t>
  </si>
  <si>
    <t>Porcentaje de áreas de ecosistemas en restauración, rehabilitación y reforestación (IM 15)</t>
  </si>
  <si>
    <t>Porcentaje de especies amenazadas con medidas de conservación y manejo en ejecución (IM 13)</t>
  </si>
  <si>
    <t>Gestión, Operación, Administración y Promoción del Proyecto apoyados</t>
  </si>
  <si>
    <t xml:space="preserve">Porcentaje de avance en la formulación y/o ajustes de los  Planes de Ordenación y Manejo de Cuencas (POMCAS), Planes de Manejo de Acuíferos (PMA) y Planes de Manejo de Microcuencas (PMM). (IM 1) </t>
  </si>
  <si>
    <t>Porcentaje de Planes de Ordenación y Manejo de Cuencas (POMCAS), Planes de Manejo de Acuíferos (PMA) y Planes de Manejo de Microcuencas (PMM) en ejecución (IM 6)</t>
  </si>
  <si>
    <t>Ha. Recuperadas  y/o rehabilitadas, de suelos degradados por erosión y/o afectación de incendios forestales. Incluye asistencia técnica, capacitación, interventoria, apoyo losgistico (Transporte, almuerzos y refrigerios)</t>
  </si>
  <si>
    <t xml:space="preserve">Ha. revegetalizadas naturalmente para la protección de cuencas abastecedoras </t>
  </si>
  <si>
    <t>Porcentaje de áreas revegetalizadas naturalmente para la protección de cuencas abastecedoras con mantenimiento.</t>
  </si>
  <si>
    <t>Ha. adquiridas y administradas para la restauración  y conservación de áreas estratégicas en cuencas hidrográficas abastecedoras de acueductos municipales y/o veredales</t>
  </si>
  <si>
    <t>Porcentaje de Programas de Uso Eficiente y Ahorro del Agua (PUEAA) con seguimiento (IM 5)</t>
  </si>
  <si>
    <t>Porcentaje de Planes de Gestión Integral de Residuos Sólidos (PGIRS) con seguimiento a metas de aprovechamiento (IM 17)</t>
  </si>
  <si>
    <t>Porcentaje de Planes de Saneamiento y Manejo de Vertimientos –PSMV- con seguimiento (IM 3)</t>
  </si>
  <si>
    <t xml:space="preserve">Porcentaje de asistencia técnica, seguimiento y control a generadores de residuos o desechos peligrosos – RESPEL y especiales </t>
  </si>
  <si>
    <t>Porcentaje de autorizaciones ambientales con seguimiento (IM 22)</t>
  </si>
  <si>
    <t>Tiempo promedio de trámite para la resolución de autorizaciones ambientales otorgadas por la Corporación. (IM 21)</t>
  </si>
  <si>
    <t>Porcentaje de solicitudes de licencias y permisos ambientales resueltos.</t>
  </si>
  <si>
    <t>Porcentaje de procesos sancionatorios resueltos (IM 23)</t>
  </si>
  <si>
    <t>Mapas de ruido y planes de descontaminación actualizados</t>
  </si>
  <si>
    <t>Porcentaje de Optimización y seguimiento de los aplicativos en línea de trámites ambientales (CITA, RUIA, SUNL, LOFL, SILAMC - VITAL).</t>
  </si>
  <si>
    <t>Porcentaje de actualización y reporte de la información en el SIAC (IM 26)</t>
  </si>
  <si>
    <t>Porcentaje de cuerpos de agua con reglamentación por uso de las aguas (IM 4)</t>
  </si>
  <si>
    <t>Porcentaje de cuerpos de agua con plan de ordenamiento del recurso hídrico (PORH) adoptados (IM 2)</t>
  </si>
  <si>
    <t>Implementación del Programa Institucional Regional de monitoreo del agua - PIRMA en aguas superficial y subterráneas</t>
  </si>
  <si>
    <t>Estudios Ambientales del recurso hídrico Evaluación Regional del Agua - ERA) elaborados</t>
  </si>
  <si>
    <t>Porcentaje de áreas reforestadas gestionadas y con mantenimiento para la protección de cuencas abastecedoras.</t>
  </si>
  <si>
    <t>Programa 3203: Gestión integral del recurso hídrico.</t>
  </si>
  <si>
    <t>PRODUCTOS / METAS</t>
  </si>
  <si>
    <t xml:space="preserve">INDICADOR DE PRODUCTO </t>
  </si>
  <si>
    <t>Apoyar la  caracterización y/o gestión de predios como Reserva Natural de la Sociedad Civil - RNSC</t>
  </si>
  <si>
    <t>No. predios apoyados para su caracterización y/o gestión como RNSC</t>
  </si>
  <si>
    <t>Planificar y/o gestionar Ecosistemas compartidos : SIRAP MACIZO, CEERCCO Y CORREDOR TRASANDINO AMAZONICO (CTA)</t>
  </si>
  <si>
    <t>Apoyar las áreas estratégicas en el desarrollo de actividades de investigación -monitoreo y estudios de caracterización de la biodiversidad con participación comunitaria</t>
  </si>
  <si>
    <t>Formular y/o actualizar estudios de Planes de manejo ambiental (PMA) de áreas protegidas (PNR Y DRMI SERRANIA DE MINAS, DRMI CBOB, PNR SIBCEI Y DRMI LA TATACOA)</t>
  </si>
  <si>
    <t>No.</t>
  </si>
  <si>
    <t>Elaborar los estudios priorizados en ejecución de la Política Ambiental</t>
  </si>
  <si>
    <t>Implementar medidas de prevención, control y manejo de especies invasoras</t>
  </si>
  <si>
    <t xml:space="preserve">Ejecutar los Planes de Manejo de Áreas Protegidas </t>
  </si>
  <si>
    <t>Porcentaje de áreas protegidas con planes de manejo en ejecución          (IM 12)</t>
  </si>
  <si>
    <t>Restauración, rehabilitación y reforestación de áreas de ecosistemas</t>
  </si>
  <si>
    <t>Ejecutar medidas de conservación y manejo de especies amenazadas</t>
  </si>
  <si>
    <t xml:space="preserve">Avanzar en la formulación y/o ajustes de los Planes de Ordenación y Manejo de Cuencas (POMCAS), Planes de Manejo de Acuíferos (PMA) y Planes de Manejo de Microcuencas (PMM). </t>
  </si>
  <si>
    <t>Continuar con la ejecución de los Planes de Ordenación y Manejo de Cuencas (POMCAS), Planes de Manejo de Acuíferos (PMA) y Planes de Manejo de Microcuencas (PMM)</t>
  </si>
  <si>
    <t>Porcentaje de suelos degradados en recuperación o rehabilitación (IM 8)</t>
  </si>
  <si>
    <t>Gestión y mantenimiento de áreas reforestadas para la protección de cuencas abastecedoras</t>
  </si>
  <si>
    <t>Apoyo a la revegetalización natural para la protección de cuencas abastecedoras</t>
  </si>
  <si>
    <t>Apoyo al mantenimiento de áreas revegetalizadas naturalmente para la protección de cuencas abastecedoras</t>
  </si>
  <si>
    <t>Adquirir y administrar áreas para la  restauración  y conservación de áreas estratégicas en cuencas hidrográficas abastecedoras de acueductos municipales y/o veredales</t>
  </si>
  <si>
    <t>Suscribir convenios de cofinanciación con municipios para la construcción y seguimiento a proyectos de saneamiento ambiental hídrico como: interceptores, emisarios finales, sistemas de tratamiento de aguas residuales domésticas y/o estudios y diseños asociados a estas obras.</t>
  </si>
  <si>
    <t>Acompañar a los sectores  para la reconversión hacia sistemas sostenibles de producción</t>
  </si>
  <si>
    <t>Apoyo logístico para la consolidación de las actividades contenidas en el proyecto desarrollo sectorial sostenible</t>
  </si>
  <si>
    <t>Implementar el Programa Regional de Negocios Verdes por la Autoridad Ambiental - CAM</t>
  </si>
  <si>
    <t>Asesorar o asistir a los municipios en la inclusión del componente ambiental en los procesos de planificación y ordenamiento territorial, con énfasis en la incorporación de las determinantes ambientales para la revisión y ajuste de los POT</t>
  </si>
  <si>
    <t>Asesorar a los entes territoriales en la incorporación, planificación y ejecución de acciones relacionadas con cambio climático en el marco de los instrumentos de planificación territorial</t>
  </si>
  <si>
    <t>Ejecución de acciones en gestión ambiental</t>
  </si>
  <si>
    <t>Gestión del Conocimiento del Riesgo de Desastres</t>
  </si>
  <si>
    <t>Gestión de Reducción del Riesgo de  Desastres</t>
  </si>
  <si>
    <t>Apoyar a las comunidades indígenas del Dpto en los temas de competencia de la Corporación</t>
  </si>
  <si>
    <t xml:space="preserve">Seguimiento a Programas de Uso Eficiente y Ahorro del Agua (PUEAA) </t>
  </si>
  <si>
    <t xml:space="preserve">No. </t>
  </si>
  <si>
    <t xml:space="preserve">Seguimiento a metas de aprovechamiento de los Planes de Gestión Integral de Residuos Sólidos (PGIRS) </t>
  </si>
  <si>
    <t xml:space="preserve">Seguimiento a  Planes de Saneamiento y Manejo de Vertimientos –PSMV- </t>
  </si>
  <si>
    <t xml:space="preserve">Asistencia técnica, seguimiento y control a generadores de residuos o desechos peligrosos – RESPEL y especiales </t>
  </si>
  <si>
    <t xml:space="preserve">Seguimiento a autorizaciones ambientales </t>
  </si>
  <si>
    <t>Resolución de autorizaciones ambientales otorgadas por la Corporación en el Tiempo promedio de trámite</t>
  </si>
  <si>
    <t xml:space="preserve">Resolución de solicitudes de licencias y permisos ambientales </t>
  </si>
  <si>
    <t xml:space="preserve">Resolución de procesos sancionatorios </t>
  </si>
  <si>
    <t>Implementación de Estrategias de control para extracción ilegal de los recursos naturales. RED DE CONTROL AMBIENTAL RECAM</t>
  </si>
  <si>
    <t>Seguimiento, monitoreo y control a fuentes móviles de emisiones atmosféricas (vía publica y empresas transportadoras - Laboratorio de fuentes móviles)</t>
  </si>
  <si>
    <t>Implementación de la Red de vigilancia y monitoreo de la calidad del aire</t>
  </si>
  <si>
    <t>Seguimiento a los generadores y gestores de Residuos de Construcción y Demolición - RCD</t>
  </si>
  <si>
    <t>Seguimiento a Empresas obligadas a conformar el Departamento de Gestión Ambiental.</t>
  </si>
  <si>
    <t>Optimización y seguimiento de los aplicativos en línea de trámites ambientales (CITA, RUIA, SUNL, LOFL, SILAMC - VITAL).</t>
  </si>
  <si>
    <t xml:space="preserve">Actualización y reporte de la información en el SIAC </t>
  </si>
  <si>
    <t xml:space="preserve">Reglamentación de cuerpos de agua por uso de las aguas </t>
  </si>
  <si>
    <t>Cuerpos de agua con plan de ordenamiento del recurso hídrico (PORH) adoptados (IM 2)</t>
  </si>
  <si>
    <t>Elaboración de estudios Ambientales del recurso hídrico Evaluación Regional del Agua - ERA)</t>
  </si>
  <si>
    <t>Consolidación y fortalecimiento del Modelo Integrado de Gestión - MIPG</t>
  </si>
  <si>
    <t>Implementación de la política de servicio al ciudadano</t>
  </si>
  <si>
    <t>Actualización e implementación del Plan Estratégico Tecnológico de la CAM para el período 2020-2023</t>
  </si>
  <si>
    <t>Actualización e implementación del Programa de Gestión Documental</t>
  </si>
  <si>
    <t xml:space="preserve">Porcentaje de actualización e Implementación del programa de gestión documental  </t>
  </si>
  <si>
    <t>Sedes diseñadas y/o construidas y/o adecuadas, como ejemplo de sostenibilidad ambiental y armonía con el ambiente</t>
  </si>
  <si>
    <t>Ejecutar acciones en Educación ambiental</t>
  </si>
  <si>
    <t>Apoyo logístico para la consolidación de las actividades de Educación y Cultura Ambiental</t>
  </si>
  <si>
    <t>Programa 3204 Gestión de la información y el conocimiento ambiental</t>
  </si>
  <si>
    <t>3299 PROGRAMA  Fortalecimiento de la gestión y dirección del Sector Ambiente y Desarrollo Sostenible</t>
  </si>
  <si>
    <t>329901 Proyecto  FORTALECIMIENTO INSTITUCIONAL PARA LA GESTIÓN AMBIENTAL</t>
  </si>
  <si>
    <t>PROGRAMA 3208 EDUCACIÓN AMBIENTAL</t>
  </si>
  <si>
    <t>320801 Proyecto  EDUCACIÓN Y CULTURA AMBIENTAL</t>
  </si>
  <si>
    <t>GESTIÓN INTEGRAL DE LA BIODIVERSIDAD Y SUS SERVICIOS ECOSISTÉMICOS</t>
  </si>
  <si>
    <t>GESTIÓN EN CONOCIMIENTO Y REDUCCIÓN DEL  RIESGO DE DESASTRES</t>
  </si>
  <si>
    <t>PROGRAMAS</t>
  </si>
  <si>
    <t>Proyecto 320301  CONSERVACIÓN Y USO EFICIENTE DEL RECUSO HÍDRICO</t>
  </si>
  <si>
    <t>Proyecto 320302 ADMINISTRACIÓN DEL RECURSO HÍDRICO</t>
  </si>
  <si>
    <t>Proyecto 320101 DESARROLLO SECTORIAL SOSTENIBLE</t>
  </si>
  <si>
    <t>Programa 3201 Fortalecimiento del desempeño ambiental de los sectores productivos.</t>
  </si>
  <si>
    <t>Proyecto 320102  NEGOCIOS VERDES</t>
  </si>
  <si>
    <t>No. de estrategias de control implementadas para extracción ilegal de los recursos naturales. RED DE CONTROL AMBIENTAL RECAM</t>
  </si>
  <si>
    <t>No. de estrategias de control a la deforestación y conservación y uso sostenible de los bosques en el departamento del Huila implementada</t>
  </si>
  <si>
    <t xml:space="preserve">Implementación de una estrategia de control a la deforestación y conservación y uso sostenible de los bosques en el departamento del Huila. </t>
  </si>
  <si>
    <t>Formulación e implementación de una estrategia para la preservación, conservación, rehabilitación y/o reintroducción, control y seguimiento a la fauna silvestre.</t>
  </si>
  <si>
    <t xml:space="preserve"> No. de estrategias para la preservación, conservación, rehabilitación y/o reintroducción, control y seguimiento a la fauna silvestre formulada e implementada</t>
  </si>
  <si>
    <t>META 2020</t>
  </si>
  <si>
    <t>META 2021</t>
  </si>
  <si>
    <t>META 2022</t>
  </si>
  <si>
    <t>META 2023</t>
  </si>
  <si>
    <t>META PAC</t>
  </si>
  <si>
    <t>Número de fuentes móviles de emisiones atmosféricas (vía publica y empresas transportadoras - Laboratorio de fuentes móviles) con seguimiento, monitoreo y control</t>
  </si>
  <si>
    <t>Número de redes de vigilancia y monitoreo de la calidad del aire implementada</t>
  </si>
  <si>
    <t xml:space="preserve">Actualización de mapas de ruido y planes de descontaminación </t>
  </si>
  <si>
    <t>% generadores y gestores de Residuos de Construcción y Demolición - RCD con seguimiento</t>
  </si>
  <si>
    <t>% empresas obligadas a conformar el Departamento de Gestión Ambiental con seguimiento</t>
  </si>
  <si>
    <t>% Implementación del Programa Regional de Negocios Verdes por la autoridad ambiental (IM 20)</t>
  </si>
  <si>
    <t>No. áreas estratégicas con desarrollo de actividades de investigacion-monitoreo y estudios de caracterización de la biodiversidad con participación comunitaria</t>
  </si>
  <si>
    <t xml:space="preserve">No.  estudios formulados  y/o actualizados de planes de manejo ambiental (PMA) de áreas protegidas </t>
  </si>
  <si>
    <t xml:space="preserve">Proyecto 320202  CONTROL, SEGUIMIENTO Y MONITOREO AL USO Y MANEJO DE LOS RECURSOS DE LA OFERTA NATURAL </t>
  </si>
  <si>
    <t>META 20</t>
  </si>
  <si>
    <t>Proyecto 320103 CONTROL Y VIGLANCIA AL DESARROLLO SECTORIAL SOSTENIBLE</t>
  </si>
  <si>
    <t>Suelos degradados en recuperación</t>
  </si>
  <si>
    <t>Proyecto 320201 GESTIÓN DE LA BIODIVERSIDAD Y SUS SERVICIOS ECOSISTÉMICOS</t>
  </si>
  <si>
    <t xml:space="preserve"> Proyecto 320501 FORTALECIMIENTO DE LOS PROCESOS DE ORDENAMIENTO Y PLANIFICACIÓN TERRITORIAL</t>
  </si>
  <si>
    <t>Programa 3205 Ordenamiento ambiental territorial.</t>
  </si>
  <si>
    <t>Programa 3206 Gestión del cambio climático para un desarrollo bajo en carbono y resiliente al clima</t>
  </si>
  <si>
    <t xml:space="preserve">Proyecto 320601 GESTIÓN DEL CAMBIO CLIMÁTICO </t>
  </si>
  <si>
    <t>CONTROL Y VIGILANCIA AL DESARROLLO SECTORIAL SOSTENIBLE</t>
  </si>
  <si>
    <t>CONTROL, SEGUIMIENTO Y MONITOREO AL USO Y MANEJO DE RECURSOS DE LA OFERTA NATURAL</t>
  </si>
  <si>
    <t>RESTAURACIÓN, REFORESTACIÓN Y PROTECCIÓN DE ECOSISTEMAS ESTRATÉGICOS EN CUENCAS HIDROGRÁFICAS</t>
  </si>
  <si>
    <t>Proyecto 320203 Restauración, reforestación y protección de ecosistemas estratégicos en cuencas hidrográficas</t>
  </si>
  <si>
    <t xml:space="preserve">ADMINISTRACIÓN DEL RECURSO HIDRICO </t>
  </si>
  <si>
    <t>INFORMACIÓN Y CONOCIMIENTO AMBIENTAL</t>
  </si>
  <si>
    <t>GESTIÓN DEL CAMBIO CLIMÁTICO</t>
  </si>
  <si>
    <t>Programa 3202 Conservación de la biodiversidad y sus servicios ecosistémicos</t>
  </si>
  <si>
    <t>PRESUPUESTO DE INVERSIÓN</t>
  </si>
  <si>
    <t>GESTIÓN DEL CONOCIMIENTO Y REDUCCIÓN DEL  RIESGO DE DESASTRES</t>
  </si>
  <si>
    <t>Proyecto 320502 GESTIÓN DEL CONOCIMIENTO Y REDUCCIÓN DEL RIESGO DE DESASTRES</t>
  </si>
  <si>
    <t>Energías alternativas y/o utilización de sistemas ecoeficientes de combustión en sectores productivos y/o para uso doméstico Identificadas, promovidas y aplicadas (%)</t>
  </si>
  <si>
    <t>% Ejecución de acciones en Educación Ambiental (IMG)</t>
  </si>
  <si>
    <t>CONOCIMIENTO DEL RIESGO DE DESASTRES GESTIONADO (%)</t>
  </si>
  <si>
    <t>REDUCCIÓN DEL RIESGO DE DESASTRES GESTIONADO (%)</t>
  </si>
  <si>
    <t>PRESUPUESTO DE INVERSIÓN 2021 - NUEVA ESTRUCTURA PLAN DE ACCIÓN</t>
  </si>
  <si>
    <t xml:space="preserve"> Proyecto 320503 GESTIÓN AMBIENTAL CON COMUNIDADES ÉTNICAS </t>
  </si>
  <si>
    <t xml:space="preserve">GESTIÓN AMBIENTAL CON COMUNIDADES ETNICAS </t>
  </si>
  <si>
    <t>PROYECTO 320101:  DESARROLLO SECTORIAL SOSTENIBLE</t>
  </si>
  <si>
    <t xml:space="preserve">PROYECTO 320102: NEGOCIOS VERDES </t>
  </si>
  <si>
    <t>PROYECTO 320103: CONTROL Y VIGLANCIA AL DESARROLLO SECTORIAL SOSTENIBLE</t>
  </si>
  <si>
    <t>PROGRAMA 3202: CONSERVACION DE LA BIODIVERSIDAD Y SUS SERVICIOS ECOSISTEMICOS</t>
  </si>
  <si>
    <t>PROYECTO 320201: GESTIÓN DE LA BIODIVERSIDAD Y SUS SERVICIOS ECOSISTÉMICOS</t>
  </si>
  <si>
    <t xml:space="preserve">PROYECTO 320202:  CONTROL, SEGUIMIENTO Y MONITOREO AL USO Y MANEJO DE LOS RECURSOS DE LA OFERTA NATURAL </t>
  </si>
  <si>
    <t>PROGRAMA 3203: GESTIÓN INTEGRAL DEL RECURSO HÍDRICO.</t>
  </si>
  <si>
    <t>PROYECTO 320301:  CONSERVACIÓN Y USO EFICIENTE DEL RECUSO HÍDRICO</t>
  </si>
  <si>
    <t>PROYECTO 320302: ADMINISTRACIÓN DEL RECURSO HÍDRICO</t>
  </si>
  <si>
    <t>PROGRAMA 3204 GESTIÓN DE LA INFORMACIÓN Y EL CONOCIMIENTO AMBIENTAL</t>
  </si>
  <si>
    <t>PROYECTO 320401: INFORMACIÓN Y CONOCIMIENTO AMBIENTAL</t>
  </si>
  <si>
    <t>PROGRAMA 3205 ORDENAMIENTO AMBIENTAL TERRITORIAL.</t>
  </si>
  <si>
    <t>PROYECTO 320502: GESTIÓN DEL CONOCIMIENTO Y REDUCCIÓN DEL RIESGO DE DESASTRES</t>
  </si>
  <si>
    <t xml:space="preserve"> PROYECTO 320503: GESTIÓN AMBIENTAL CON COMUNIDADES ÉTNICAS </t>
  </si>
  <si>
    <t>PROGRAMA 3206: GESTIÓN DEL CAMBIO CLIMÁTICO PARA UN DESARROLLO BAJO EN CARBONO Y RESILIENTE AL CLIMA</t>
  </si>
  <si>
    <t xml:space="preserve">PROYECTO 320601: GESTIÓN DEL CAMBIO CLIMÁTICO </t>
  </si>
  <si>
    <t>PROGRAMA: 3208 EDUCACIÓN AMBIENTAL</t>
  </si>
  <si>
    <t>PROYECTO 320801: EDUCACIÓN Y CULTURA AMBIENTAL</t>
  </si>
  <si>
    <t>PROGRAMA  3299: FORTALECIMIENTO DE LA GESTIÓN Y DIRECCIÓN DEL SECTOR AMBIENTE Y DESARROLLO SOSTENIBLE</t>
  </si>
  <si>
    <t>PROYECTO 329901:  FORTALECIMIENTO INSTITUCIONAL PARA LA GESTIÓN AMBIENTAL</t>
  </si>
  <si>
    <t>INDICADOR / ACTIVIDAD</t>
  </si>
  <si>
    <t>FUENTES</t>
  </si>
  <si>
    <t>UNIDAD DE MEDIDA</t>
  </si>
  <si>
    <t>CANTIDAD</t>
  </si>
  <si>
    <t>TSE</t>
  </si>
  <si>
    <t>TUA</t>
  </si>
  <si>
    <t>% AMBIENTAL</t>
  </si>
  <si>
    <t xml:space="preserve">VALOR TOTAL </t>
  </si>
  <si>
    <t>No. predios apoyados para su caracterización y/o gestión como reserva natural de la sociedad civil</t>
  </si>
  <si>
    <t>Apoyo en la gestion e inscripción de RNSC</t>
  </si>
  <si>
    <t>Hombre/mes</t>
  </si>
  <si>
    <t xml:space="preserve">Apoyo a RNSC priorizadas </t>
  </si>
  <si>
    <t>Global</t>
  </si>
  <si>
    <t>Und</t>
  </si>
  <si>
    <t>No.de áreas estratégicas con desarrollo de actividades de investigacion-monitoreo y estudios de caracterización de la biodiversidad con participación comunitaria</t>
  </si>
  <si>
    <t>Elaboración de estudios de caracterización biológica participativa en areas estrategicas</t>
  </si>
  <si>
    <t xml:space="preserve">No. De estudios formulados  y/o actualizados de planes de manejo ambiental (PMA) de áreas protegidas </t>
  </si>
  <si>
    <t>%</t>
  </si>
  <si>
    <t>Elaboración de estudios  en Humedales, PSA y Páramos</t>
  </si>
  <si>
    <t>Implementación de medidas de prevención, control y manejo de especies  invasoras en ejecución</t>
  </si>
  <si>
    <t>Porcentaje de áreas protegidas con planes de manejo en ejecución (IM 12)</t>
  </si>
  <si>
    <t>Asesoría, Asistencia Técnica y capacitación Ambiental para la administración, promoción y gestión de las Áreas Protegidas Registradas</t>
  </si>
  <si>
    <t>Asesoría, Asistencia Técnica y capacitación Ambiental para la administración, promoción y gestión de las Áreas Protegidas</t>
  </si>
  <si>
    <t>Implementación de proyectos y actividades de ejecución de los PMA de las áreas protegidas</t>
  </si>
  <si>
    <t>Asesoría, Asistencia Técnica y capacitación Ambiental para la adminsitración, promoción y gestión en los ecosistemas para restauración, rehabilitación y reforestación</t>
  </si>
  <si>
    <t xml:space="preserve">Implementación de proyectos y actividades en los ecosistemas para restauración, rehabilitación y reforestación y/o ejecución de PMA adoptados de ecosistemas estrategicos de humedales </t>
  </si>
  <si>
    <t>Asesoría y Asistencia Técnica para el manejo de especies amenazadas</t>
  </si>
  <si>
    <t>Implementación de proyectos y actividades para el manejo de especies amenazadas</t>
  </si>
  <si>
    <t>Apoyo logístico(Refrigerios y Almuerzos) para la consolidación de las actividades contenidas en los Planes de Manejo Ambiental de las areas protegidas y ecosistemas estratégicos</t>
  </si>
  <si>
    <t>Apoyo logístico (Transporte de Pasajeros) para la consolidación de las actividades contenidas en los Planes de Manejo Ambiental de las areas protegidas y ecosistemas estratégicos</t>
  </si>
  <si>
    <t>Gastos de personal</t>
  </si>
  <si>
    <t xml:space="preserve">TOTAL </t>
  </si>
  <si>
    <t>CÓDIGO PRESUPUESTAL</t>
  </si>
  <si>
    <t>CÓDIGO CIIU</t>
  </si>
  <si>
    <t>VALOR UNITARIO</t>
  </si>
  <si>
    <t>% AMB</t>
  </si>
  <si>
    <t>OTROS RP</t>
  </si>
  <si>
    <t>Implementación del Programa Regional de Negocios Verdes por la autoridad ambiental (IM 20)</t>
  </si>
  <si>
    <t>Apoyo técnico a los empresarios vinculados al proyecto de negocios verdes</t>
  </si>
  <si>
    <t>2.3.2.02.02.008</t>
  </si>
  <si>
    <t>Implementación de una Plataforma apoyo a negocios verdes</t>
  </si>
  <si>
    <t>Participación de integrantes del proyecto en ferias y eventos comerciales</t>
  </si>
  <si>
    <t>Apoyo investigación productos de la biodiversidad, potenciales para Negocios Verdes</t>
  </si>
  <si>
    <t>Apoyo a la  Gestión, Operación, Administración y Promoción del Proyecto</t>
  </si>
  <si>
    <t>2.3.2.02.02.006</t>
  </si>
  <si>
    <t xml:space="preserve">Apoyo técnico a los sectores productivos </t>
  </si>
  <si>
    <t>Adquisición de material vegetal para las alianzas productivas y los proyectos de reconversión.</t>
  </si>
  <si>
    <t>2.3.2.02.01.000</t>
  </si>
  <si>
    <t>Ejecución de proyectos piloto para la reconversión en sectores productivos.</t>
  </si>
  <si>
    <t>2.3.2.01.01.001.03.19</t>
  </si>
  <si>
    <t>Implementación y/o fortalecimiento de apiarios.</t>
  </si>
  <si>
    <t>Fortalecimiento de la Estrategia de sensibilización empresarial: OPITA DE CORAZÓN</t>
  </si>
  <si>
    <t>Construcción de hornillas ecoeficientes en sectores productivos y/o para uso doméstico</t>
  </si>
  <si>
    <t>2.3.2.01.01.003.01.04</t>
  </si>
  <si>
    <t>Apoyo técnico al componente ambiental</t>
  </si>
  <si>
    <t xml:space="preserve">Apoyo logístico para la consolidación de las actividades contenidas en el proyecto desarrollo sectorial sostenible </t>
  </si>
  <si>
    <t>FUENTE</t>
  </si>
  <si>
    <t xml:space="preserve">UNIDAD DE MEDIDA </t>
  </si>
  <si>
    <t>TASA RETRIBUTIVA</t>
  </si>
  <si>
    <t>TASA FORESTAL</t>
  </si>
  <si>
    <t xml:space="preserve">Acciones para el seguimiento a metas de aprovechamiento de los Planes de Gestión Integral de Residuos Sólidos (PGIRS) </t>
  </si>
  <si>
    <t>Acciones para el seguimiento, control y asistencia tecnica a generadores de RESPEL y especiales.</t>
  </si>
  <si>
    <t xml:space="preserve">Personal para seguimiento a autorizaciones, permisos y licencias ambientales. </t>
  </si>
  <si>
    <t>Dias</t>
  </si>
  <si>
    <t>Autorizaciones ambientales otorgadas en el tiempo promedio de tramite.</t>
  </si>
  <si>
    <t>Personal de apoyo en licencias y permisos ambientales resueltos</t>
  </si>
  <si>
    <t xml:space="preserve">2.3.2.02.02.008 </t>
  </si>
  <si>
    <t>No. Fuentes móviles de emisiones atmosféricas (via publica y empresas transportadoras - Laboratorio de fuentes moviles) con seguimiento, monitoreo y control</t>
  </si>
  <si>
    <t>Operativos de seguimiento, monitoreo y control a fuentes moviles</t>
  </si>
  <si>
    <t>Realizar mantenimiento de equipos de monitoreo de fuentes moviles</t>
  </si>
  <si>
    <t>Personal de apoyo en procesos sancionatorios resueltos</t>
  </si>
  <si>
    <t>No. Redes de vigilancia y monitoreo de la calidad del aire implementada</t>
  </si>
  <si>
    <t>Realizar mediciones y monitoreo a la calidad del aire  en la ciudad de Neiva</t>
  </si>
  <si>
    <t xml:space="preserve">Realizar mantenimiento de equipos de la Red de Calidad de Aire. </t>
  </si>
  <si>
    <t>No. Mapas de ruido y planes de descontaminación actualizados</t>
  </si>
  <si>
    <t>Seguimiento, control y asistencia tecnica a generadores de RCD</t>
  </si>
  <si>
    <t>Seguimiento, control y asistencia tecnica a Departamentos de Gestion Ambiental - DGA</t>
  </si>
  <si>
    <t>% de Generadores y gestores de Residuos de Construcción y Demolición - RCD con seguimiento</t>
  </si>
  <si>
    <t>% de Empresas obligadas a conformar el Departamento de Gestión Ambiental con seguimiento</t>
  </si>
  <si>
    <t xml:space="preserve">Gastos de Personal </t>
  </si>
  <si>
    <t>TOTALES</t>
  </si>
  <si>
    <t>No. De Estrategias de control implementadas para extracción  ilegal de los recursos naturales. RED DE CONTROL AMBIENTAL RECAM</t>
  </si>
  <si>
    <t xml:space="preserve">Implementar acciones en el marco del control a la extracción ilegal de los recursos naturales - Red de Control Ambiental - RECAM </t>
  </si>
  <si>
    <t>Estrategias de control a la deforestacion y conservacion y uso sostenible de los bosques en el departamento del Huila implementada</t>
  </si>
  <si>
    <t>Implementar acciones en el marco del pacto por la madera legal y la consolidación del proyecto de Gobernanza Forestal en Colombia</t>
  </si>
  <si>
    <t>Realización de campañas de educación y sensibilización para la promoción de la legalidad forestal y el uso sostenible de los bosques</t>
  </si>
  <si>
    <t>Estrategia para la preservación, conservación, rehabilitación y/o reintroducción, control y seguimiento a la fauna silvestre formulada e implementada</t>
  </si>
  <si>
    <t>Personal para la atención, manejo y valoración medica y biológica de la fauna silvestre que ingresa al CAV y hogares de paso y su disposición final.</t>
  </si>
  <si>
    <t xml:space="preserve">Garantizar la manutención de la fauna silvestre  bajo responsabilidad de la CAM en el CAV y Hogares de Paso. </t>
  </si>
  <si>
    <t>2.3.2.02.01.002</t>
  </si>
  <si>
    <t>Realización de campañas de educación y sensibilización para la conservación de la fuana silvestre</t>
  </si>
  <si>
    <t>Mantenimiento y adecuacion de Hogares de paso y Centro de Atención y Valoración de Fauna</t>
  </si>
  <si>
    <t>ACTIVIDAD</t>
  </si>
  <si>
    <t>PROYECTO</t>
  </si>
  <si>
    <t>Porcentaje de suelos degradados en recuperación o rehabilitacón (IM 8)</t>
  </si>
  <si>
    <t>Ha</t>
  </si>
  <si>
    <t>Ha. con reforestación, producción de material forestal, asistencia técnica, interventoría y supervisión; incluye apoyo logistico (Transporte, almuerzos y refrigerios)</t>
  </si>
  <si>
    <t>Mantenimiento  de reforestación protectora y/o protectora - productora, asistencia técnica, interventoría y supervisión. Incluye Logistica (Transporte, Almuerzos y refrigerios)</t>
  </si>
  <si>
    <t>Ha.</t>
  </si>
  <si>
    <t>Aislamiento de áreas para la protección-conservación-recuperación, asistencia técnica, interventoría, logistica (Transporte, almuerzos y refrigerios) y apoyo a la supervisión en cuencas abastecedoras</t>
  </si>
  <si>
    <t>ML</t>
  </si>
  <si>
    <t>No. De parcelas con monitoreo en diferentes pisos térmicos del Dpto</t>
  </si>
  <si>
    <t>ML con mantenimiento del aislamiento de áreas para la protección-conservación-recuperación de áreas revegetalizadas naturalemente para la protección de cuencas abstecedoras,  asistencia técnica, interventoría, logistica (Transporte, almuerzos y refrigerios) y apoyo a la supervisión en cuencas abastecedoras</t>
  </si>
  <si>
    <t xml:space="preserve">Formulación y/o ajustes de POMCA: Río Yaguará y PMAM: Qda La Yaguilga </t>
  </si>
  <si>
    <t>No. De convenios  para cofinanciar la construcción  y seguimiento a proyectos de saneamiento ambiental hídrico como: interceptores, emisarios finales,  sistemas de tratamiento de aguas residuales domésticas y/o estudios y diseños asociados a estas obras.</t>
  </si>
  <si>
    <t xml:space="preserve">Acciones para el seguimiento a Programas de Uso Eficiente y Ahorro del Agua (PUEAA) </t>
  </si>
  <si>
    <t xml:space="preserve">Acciones para el seguimiento a  Planes de Saneamiento y Manejo de Vertimientos –PSMV- </t>
  </si>
  <si>
    <t>Realizar la reglamentacion de Cuerpos de agua</t>
  </si>
  <si>
    <t xml:space="preserve">Formular y adoptar los PORH </t>
  </si>
  <si>
    <t>Actualizar el Estudio de Priorizacion de Ordenamiento del Recurso Hirico</t>
  </si>
  <si>
    <t>Realizar campañas de monitoreo del recurso hídrico en el río Magdalena y sus principales afluentes</t>
  </si>
  <si>
    <t>Realizar Muestreos y/o contramuestreos  de  calidad de aguas</t>
  </si>
  <si>
    <t xml:space="preserve">Realizar seguimiento y/o Monitoreo al Recurso Hídrico  de aguas superficiales y subterraneas. </t>
  </si>
  <si>
    <t>Realizar  la Evaluación Regional del Agua - ERA</t>
  </si>
  <si>
    <t xml:space="preserve">Restauración de zonas urbanas (rondas hídricas, humedales) </t>
  </si>
  <si>
    <t>Implementación de estrategias urbanas para adaptación y mitigación de  los efectos del cambio climático</t>
  </si>
  <si>
    <t xml:space="preserve">Consolidacion, cargue y validacion de informacion en los aplicativos en linea. </t>
  </si>
  <si>
    <t xml:space="preserve">Consolidacion, revision, cargue y validacion de informacion en el SIAC </t>
  </si>
  <si>
    <t>Apoyo técnico a los municipios a través de un equipo de Profesionales POT</t>
  </si>
  <si>
    <t>Apoyo logístico para la consolidación de las actividades contenidas en el proyecto de Ordenamiento (Refrigerios y Transporte)</t>
  </si>
  <si>
    <t>CONOCIMIENTO DEL RIESGO DE DESASTRES GESTIONADO</t>
  </si>
  <si>
    <t>Estudios de Amenaza, Vulnerabilidad y Riesgo  (AVR)   en la vigencia del plan de acción</t>
  </si>
  <si>
    <t>Asesoría y asistencia técnica especializada a entes territoriales y/o consejos territoriales de gestión del riesgo de desastres, en identificación, caracterización y análisis de escenarios de riesgo por amenaza natural, actualización e implementación de planes de gestión de riesgo de desastres municipales, incluido incendios por cobertura vegetal</t>
  </si>
  <si>
    <t xml:space="preserve">Comunicación del riesgo de desastres a través de eventos sobre Gestión del Riesgo de Desastres </t>
  </si>
  <si>
    <t xml:space="preserve">kits divulgativos y didácticos sobre Gestión del Riesgo de Desastres </t>
  </si>
  <si>
    <t>Transporte de servidores publicos</t>
  </si>
  <si>
    <t>REDUCCIÓN DEL RIESGO DE DESASTRES GESTIONADO</t>
  </si>
  <si>
    <t>Implementación de  obras y/o actividades de reducción de riesgo por amenaza natural.</t>
  </si>
  <si>
    <t xml:space="preserve">Entrega de dotación a entes territoriales, consejos territoriales de desastres y/o cuerpos de bomberos para fortalecer la capacidad local en prevención y atención de incendios de la cobertura vegetal </t>
  </si>
  <si>
    <t>Gl</t>
  </si>
  <si>
    <t>Apoyo a Comunidades Indígenas - Convenios CRIHU - Consultas Previas.</t>
  </si>
  <si>
    <t>Apoyo a los entes territoriales con asesoría en Cambio Climatico</t>
  </si>
  <si>
    <t>Ejecución de acciones en Educación Ambiental (IM 27)</t>
  </si>
  <si>
    <t>Apoyo técnico para la implementación del proyecto</t>
  </si>
  <si>
    <t>Actividades de educación ambiental</t>
  </si>
  <si>
    <t>Senderos interpretativos para la educación ambiental Construidos y/o dotados y/o mantenidos e implementados</t>
  </si>
  <si>
    <t>Estrategia de comunicación y divulgación</t>
  </si>
  <si>
    <t>Apoyo logístico para la consolidación de las actividades de Educación y Cultura Ambiental - Contratación de servicio público de transporte especial de pasajeros</t>
  </si>
  <si>
    <t>SOBRETASA AMBIENTAL - PREDIAL</t>
  </si>
  <si>
    <t>Gestión para la modernización de la planta de personal de la Corporación</t>
  </si>
  <si>
    <t>Apoyo técnico para la Consolidación y fortalecimiento del Modelo Integrado de Planeación y Gestión - MIPG</t>
  </si>
  <si>
    <t>Acciones para el sostenimiento de la acreditación en las normas internacionales ISO 9001:2015 y 14001:2015</t>
  </si>
  <si>
    <t>Ejecución de las acciones contenidas en la política de servicio al ciudadno</t>
  </si>
  <si>
    <t>Prestación del servicio de soporte de TIC´s mediante outsourcing</t>
  </si>
  <si>
    <t xml:space="preserve">Porcentaje de actualización e Implementacion del programa de gestión documental  </t>
  </si>
  <si>
    <t>Apoyo técnico para la actualización e implementación del programa de gestión documental</t>
  </si>
  <si>
    <t>Estudios y diseños de detalle para la construcción y/o adecuación de las Sedes territoriales</t>
  </si>
  <si>
    <t>Adecuaciones locativas sede central</t>
  </si>
  <si>
    <t>Sedes territoriales Construidas y/o adecuadas</t>
  </si>
  <si>
    <t>Apoyo logístico para la consolidación de las actividades de Fortalecimiento de los Procesos de Planeación estratégica</t>
  </si>
  <si>
    <t>Construcción de sistemas de descontaminación de fuentes hídricas.</t>
  </si>
  <si>
    <t>Proyecto 320401 INFORMACIÓN Y CONOCIMIENTO AMBIENTAL</t>
  </si>
  <si>
    <t>Apoyo a la gestión del proyecto</t>
  </si>
  <si>
    <t>ADICION PRESUPUESTAL</t>
  </si>
  <si>
    <t>VALOR</t>
  </si>
  <si>
    <t xml:space="preserve">Fortalecimiento del desempeño ambiental de los sectores productivos </t>
  </si>
  <si>
    <t>Conservación de la biodiversidad y sus servicios ecosistémicos.</t>
  </si>
  <si>
    <t>Gestión integral del recurso hídrico.</t>
  </si>
  <si>
    <t>Gestión de la información y el conocimiento ambiental.</t>
  </si>
  <si>
    <t>Ordenamiento ambiental territorial.</t>
  </si>
  <si>
    <t>Gestión del cambio climático para un desarrollo bajo en carbono y resiliente al clima</t>
  </si>
  <si>
    <t xml:space="preserve">Educación Ambiental </t>
  </si>
  <si>
    <t>Fortalecimiento de la gestión y dirección del Sector Ambiente y Desarrollo Sostenible.</t>
  </si>
  <si>
    <t>CÓDIGO</t>
  </si>
  <si>
    <t>NUEVA ESTRUCTURA DE PROGRAMAS Y PROYECTOS PAI</t>
  </si>
  <si>
    <t>Desarrollo sectorial sostenible</t>
  </si>
  <si>
    <t xml:space="preserve">Negocios verdes </t>
  </si>
  <si>
    <t>Control y vigilancia al desarrollo sectorial sostenible</t>
  </si>
  <si>
    <t>Gestión integral de la biodiversidad y sus servicios ecosistémicos</t>
  </si>
  <si>
    <t>Control, seguimiento y monitoreo al uso y manejo de recursos de la oferta natural</t>
  </si>
  <si>
    <t>Restauración, reforestación y protección de ecosistemas estratégicos en cuencas hidrográficas</t>
  </si>
  <si>
    <t>Conservación y uso eficiente del recurso hídrico</t>
  </si>
  <si>
    <t xml:space="preserve">Administración del recurso hidrico </t>
  </si>
  <si>
    <t>Información y conocimiento ambiental</t>
  </si>
  <si>
    <t>Fortalecimiento de los procesos de ordenamiento y planificación territorial</t>
  </si>
  <si>
    <t>Gestión del conocimiento y reducción del  riesgo de desastres</t>
  </si>
  <si>
    <t>Gestión ambiental con comunidades étnicas</t>
  </si>
  <si>
    <t>Gestión del cambio climático</t>
  </si>
  <si>
    <t>Educación y cultura ambiental</t>
  </si>
  <si>
    <t>Fortalecimiento institucional para la gestión ambiental</t>
  </si>
  <si>
    <t>CANT.</t>
  </si>
  <si>
    <t xml:space="preserve">GESTIÓN Y CONSERVACION DE LA RIQUEZA NATURAL </t>
  </si>
  <si>
    <t>CONSERVACIÓN DE LOS RECURSOS NATURALES EN EL DESARROLLO SECTORIAL PRODUCTIVO</t>
  </si>
  <si>
    <t xml:space="preserve"> DESARROLLO TERRITORIAL SOSTENIBLE Y ADAPTACIÓN AL CAMBIO CLIMÁTICO</t>
  </si>
  <si>
    <t>INSTITUCIÓN AMBIENTAL MODERNA Y GENERACIÓN DE CAPACIDADES</t>
  </si>
  <si>
    <t>INDIC.</t>
  </si>
  <si>
    <t>PROYECTO 320203: RESTAURACIÓN, REFORESTACIÓN Y PROTECCIÓN DE ECOSISTEMAS ESTRATÉGICOS EN CUENCAS HIDROGRÁFICAS</t>
  </si>
  <si>
    <t>TR</t>
  </si>
  <si>
    <t>Realizar la actualizacion de los mapas y planes de decontaminacion por rudio de Nieva y Pitalito</t>
  </si>
  <si>
    <t xml:space="preserve">VALOR INICIAL </t>
  </si>
  <si>
    <t>“CONSTRUCCIÓN DE OBRAS DE CONTROL Y MITIGACIÓN POR INUNDACIÓN Y AVENIDA TORRENCIAL DE RÍO TIMANÁ EN EL MUNICIPIO DE TIMANÁ, HUILA”</t>
  </si>
  <si>
    <t>PROYECTO 320504: Gestión del conocimiento y Reducción del Riesgo de desastres-pasivo exigible vigencias expiradas</t>
  </si>
  <si>
    <t>Número</t>
  </si>
  <si>
    <t>REDUCCIÓN DEL RIESGO DE DESASTRES - Pasivos exigibles vigencias expiradas</t>
  </si>
  <si>
    <t>CÓDIGO DE PRODUCTO: 3205021: Obras de Infraestructura para mitigación y atención de desastres</t>
  </si>
  <si>
    <t>GESTIÓN DEL CONOCIMIENTO Y REDUCCIÓN DEL RIESGO DE DESASTRES-PASIVO EXIGIBLE VIGENCIAS EXPIRADAS</t>
  </si>
  <si>
    <t>CODIGO DE PRODUCTO</t>
  </si>
  <si>
    <t>AREA RESPONSABLE</t>
  </si>
  <si>
    <t>SGA</t>
  </si>
  <si>
    <t>SRCA</t>
  </si>
  <si>
    <t>SPOT</t>
  </si>
  <si>
    <t>Fortalecimiento de la infraestrcutura tecnológica dela Corporación</t>
  </si>
  <si>
    <t>PROFESIONAL RESPONSABLE</t>
  </si>
  <si>
    <t>Laura González</t>
  </si>
  <si>
    <t>Albeiro Cortés</t>
  </si>
  <si>
    <t>Freddy Anturi</t>
  </si>
  <si>
    <t>Jhon Freddy Estupiñán</t>
  </si>
  <si>
    <t>Freddy Angarita</t>
  </si>
  <si>
    <t>Adriana Arias - John F. Estupiñán</t>
  </si>
  <si>
    <t>John Freddy Estupiñán</t>
  </si>
  <si>
    <t xml:space="preserve">Adriana Arias  </t>
  </si>
  <si>
    <t>Deyci Martina Cabrera / Martha Viviana Díaz</t>
  </si>
  <si>
    <t>Diana Bermeo</t>
  </si>
  <si>
    <t>Osiris Peralta</t>
  </si>
  <si>
    <t>César Barreiro</t>
  </si>
  <si>
    <t>Javier Collazos</t>
  </si>
  <si>
    <t xml:space="preserve">Edisney Silva </t>
  </si>
  <si>
    <t>RUIDP</t>
  </si>
  <si>
    <t>PROGRAMA 3201: FORTALECIMIENTO DEL DESEMPEÑO AMBIENTAL DE LOS SECTORES PRODUCTIVOS</t>
  </si>
  <si>
    <t>PROYECTO 320101: DESARROLLO SECTORIAL SOSTENIBLE</t>
  </si>
  <si>
    <t>PROYECTO 320102: NEGOCIOS VERDES</t>
  </si>
  <si>
    <t>PROYECTO 320103: CONTROL Y VIGILANCIA DEL DESARROLLO SECTORIAL SOSTENIBLE</t>
  </si>
  <si>
    <t>Fuentes móviles de emisiones atmosféricas (via publica y empresas transportadoras - Laboratorio de fuentes moviles) con seguimiento, monitoreo y control</t>
  </si>
  <si>
    <t>No. Red de vigilancia y monitoreo de la calidad del aire implementada</t>
  </si>
  <si>
    <t>Porcentaje de Generadores y gestores de Residuos de Construcción y Demolición - RCD con seguimiento</t>
  </si>
  <si>
    <t>Porcentaje de Empresas obligadas a conformar el Departamento de Gestión Ambiental con seguimiento</t>
  </si>
  <si>
    <t>Apoyo logístico para la consolidación de las actividades contenidas en el proyecto</t>
  </si>
  <si>
    <t>PROGRAMA 3202: CONSERVACION DE LA BIODIVERSIDAD Y SUS SERVICIOS ECOSISTÉMICOS</t>
  </si>
  <si>
    <t>PROYECTO 320202: CONTROL, SEGUIMIENTO Y MONITOREO AL USO Y MANEJO DE RECURSOS DE LA OFERTA NATURAL</t>
  </si>
  <si>
    <t>No. De Estrategias de control a la deforestacion y conservacion y uso sostenible de los bosques en el departamento del Huila implementada</t>
  </si>
  <si>
    <t>No. Estrategia para la preservación, conservación, rehabilitación y/o reintroducción, control y seguimiento a la fauna silvestre formulada e implementada</t>
  </si>
  <si>
    <t>Porcetaje de áreas reforestadas gestionadas y con mantenimiento para la protección de cuencas abastecedoras.</t>
  </si>
  <si>
    <t>PROGRAMA 3203: GESTIÓN INTEGRAL DEL RECURSO HÍDRICO</t>
  </si>
  <si>
    <t>PROYECTO 320301: CONSERVACIÓN Y USO EFICIENTE DEL RECURSO HÍDRICO</t>
  </si>
  <si>
    <t>PROGRAMA 3204: GESTIÓN DE LA INFORMACIÓN Y DEL CONOCIMIENTO</t>
  </si>
  <si>
    <t>PROGRAMA 3205: ORDENAMIENTO AMBIENTAL TERRITORIAL</t>
  </si>
  <si>
    <t>PROYECTO 320501: FORTALECIMIENTO DE LOS PROCESOS DE ORENAMIENTO Y PLANIFICACIÓN TERRITORIAL</t>
  </si>
  <si>
    <t>PROYECTO 320502: GESTIÓN DEL CONOCIMIENTO Y GESTIÓN DEL RIESGO DE DESASTRES</t>
  </si>
  <si>
    <t>Conocimiento del Riesgo de Desastres gestionado</t>
  </si>
  <si>
    <t>Reducción del Riesgo de Desastres gestionado</t>
  </si>
  <si>
    <t>PROYECTO 320503: GESTIÓN AMBIENTAL CON COMUNIDADES ÉTNICAS</t>
  </si>
  <si>
    <t xml:space="preserve">Und </t>
  </si>
  <si>
    <t>PROYECTO 320601: GESTIÓN DEL CAMBIO CLIMÁTICO</t>
  </si>
  <si>
    <t>PROGRAMA 3208: EDUCACIÓN AMBIENTAL</t>
  </si>
  <si>
    <t>PROGRAMA 3299: FORTALECIMIENTO DE LA GESTIÓN Y DIRECCIÓN DEL SECTOR AMBIENTE Y DESARROLLO SOSTENIBLE</t>
  </si>
  <si>
    <t>PROYECTO 329901: FORTALECIMIENTO INSTITUCIONAL PARA LA GESTIÓN AMBIENTAL</t>
  </si>
  <si>
    <t>CODIGO PRODUCTO</t>
  </si>
  <si>
    <t xml:space="preserve">INDICADOR / ACTIVIDAD </t>
  </si>
  <si>
    <t>INDICADOR / ACTIVIDAD / ACCIONES</t>
  </si>
  <si>
    <t>CODIGO PRESUPUESTAL</t>
  </si>
  <si>
    <t>UNIDAD</t>
  </si>
  <si>
    <t>Acción 1</t>
  </si>
  <si>
    <t>Acción 2</t>
  </si>
  <si>
    <t>Acción 3</t>
  </si>
  <si>
    <t xml:space="preserve"> Ha. adquiridas y administradas duante el cuatrienio a través de convenios con los municipios, con trabajos de restauración pasiva y activa</t>
  </si>
  <si>
    <t>Avance de ejecución de los POMCAS, PMA, PMM de los Rios Las Ceibas, Guarapas, Suaza, y Quebradas Garzón y Barbillas, conforme al cronograma de implementación.</t>
  </si>
  <si>
    <t>Estudios formulados y/o actualizados de planes de manejo ambiental (PMA) de áreas protegidas.</t>
  </si>
  <si>
    <t>TF</t>
  </si>
  <si>
    <t>%AMB</t>
  </si>
  <si>
    <t>SPOT / SG</t>
  </si>
  <si>
    <t>Diferencia</t>
  </si>
  <si>
    <t>Profesional apoyo seguimiento inversiones sectores productivos</t>
  </si>
  <si>
    <t>MES/PERSONA</t>
  </si>
  <si>
    <t xml:space="preserve">Profesional articulador SGA-SRCA agendas sectoriales </t>
  </si>
  <si>
    <t>Profesional seguimiento SMTA</t>
  </si>
  <si>
    <t>Material Vegetal para sectores productivos</t>
  </si>
  <si>
    <t>Interventoria composteras</t>
  </si>
  <si>
    <t>Establos ecológicos ganaderos</t>
  </si>
  <si>
    <t>Manejo de cosecha agua cacao</t>
  </si>
  <si>
    <t>Construcción Biodigestores</t>
  </si>
  <si>
    <t>Transporte</t>
  </si>
  <si>
    <t>Material divulgativo - Cartillas agendas sectoriales</t>
  </si>
  <si>
    <t xml:space="preserve">Implementación actividades en áreas de ecosistemas compartidos </t>
  </si>
  <si>
    <t>DETALLE</t>
  </si>
  <si>
    <t>Profesional apoyo contable y financiero</t>
  </si>
  <si>
    <t>mes</t>
  </si>
  <si>
    <t>Apoyo a empresarios en participación de ferias y eventos nacionales y regionales</t>
  </si>
  <si>
    <t>2.3.2.02.02.009</t>
  </si>
  <si>
    <t>Profesional apoyo productos de la biodiversidad</t>
  </si>
  <si>
    <t>Apoyo logístico para la consolidación de las actividades contenidas en el proyecto Negocios verdes - Transporte</t>
  </si>
  <si>
    <t>Apoyo logístico para la consolidación de las actividades contenidas en el proyecto Negocios verdes - Refrigerios</t>
  </si>
  <si>
    <t xml:space="preserve"> </t>
  </si>
  <si>
    <t>Apoyo a Sistemas Pilotos de Reconverión Productiva - RNSC Priorizadas</t>
  </si>
  <si>
    <t>Pozos septicos para tratamiento de aguas en RNSC</t>
  </si>
  <si>
    <t xml:space="preserve">Global </t>
  </si>
  <si>
    <t>Interventoria Pozos sépticos</t>
  </si>
  <si>
    <t>Unidad</t>
  </si>
  <si>
    <t>Apoyo a Sistemas Pilotos de Reconverión Productiva en CTAA</t>
  </si>
  <si>
    <t>Estudios de caracterización de la biodiversidad en areas estrategicas, influencia de G.M.C.</t>
  </si>
  <si>
    <t>Consultoría</t>
  </si>
  <si>
    <t>Convenio</t>
  </si>
  <si>
    <t>Prestación de servicios como Profesional del DRMI La Tatacoa</t>
  </si>
  <si>
    <t>Prestación de servicios como Profesional del PNR Miraflores</t>
  </si>
  <si>
    <t>Prestación de servicios como Profesional del PNR Páramo de Las Oseras</t>
  </si>
  <si>
    <t>Prestación de servicios como Profesional del PNR Corredor Biológico Guacharos Purace</t>
  </si>
  <si>
    <t>Prestación de servicios como Profesional del DRMI Serranía de Peñas Blancas</t>
  </si>
  <si>
    <t>Prestación de servicios como Profesional del DRMI Serranía de Minas</t>
  </si>
  <si>
    <t>Profesional SIG</t>
  </si>
  <si>
    <t>Profesional Seguimiento Sist.- Productivos</t>
  </si>
  <si>
    <t>Apoyo a Sistemas Pilotos de Reconverión Productiva</t>
  </si>
  <si>
    <t>Logística Celebración Fechas Ambientales</t>
  </si>
  <si>
    <t>Ferretería</t>
  </si>
  <si>
    <t>Profesional bosque seco tropical</t>
  </si>
  <si>
    <t>Profesional Implementacion de PMA Humedales</t>
  </si>
  <si>
    <t>Monitoreos del Índice de calidad del agua</t>
  </si>
  <si>
    <t>Monitoreo</t>
  </si>
  <si>
    <t>Apoyo a proyectos de reconversion productiva en Humedales y Bosque Seco Tropical</t>
  </si>
  <si>
    <t>Profesional 1 Implementacion de Plan de conservacion de especies amenazadas Fauna</t>
  </si>
  <si>
    <t>Profesional 2 Implementacion de Plan de conservacion de especies amenazadas fauna</t>
  </si>
  <si>
    <t>Profesional 3 Implementacion de Plan de conservacion de especies amenazadas flora</t>
  </si>
  <si>
    <t>Profesional Herpetologia GMC</t>
  </si>
  <si>
    <t>Apoyo grupos de Monitoreo - Elementos de apoyo de GMC</t>
  </si>
  <si>
    <t>Logistica intercambios y fortalecimiento de redes de monitoreo y conservacion</t>
  </si>
  <si>
    <t>Equipos Monitoreo Fauna</t>
  </si>
  <si>
    <t>Servicio de Refrigerios y Almuerzos</t>
  </si>
  <si>
    <t>Servicio de Transporte</t>
  </si>
  <si>
    <t>Profesional seguimiento PGIRs SRCA</t>
  </si>
  <si>
    <t>Profesional seguimiento Planes Ambientales DTN</t>
  </si>
  <si>
    <t>Profesional seguimiento Planes Ambientales DTC</t>
  </si>
  <si>
    <t>Profesional seguimiento Planes Ambientales DTO</t>
  </si>
  <si>
    <t>Profesional seguimiento Planes Ambientales DTS</t>
  </si>
  <si>
    <t>Profesional seguimiento Respel 1</t>
  </si>
  <si>
    <t>Profesional seguimiento Respel 2</t>
  </si>
  <si>
    <t>Disposición Final RESPEL</t>
  </si>
  <si>
    <t>Forestales</t>
  </si>
  <si>
    <t>Profesional forestal DTN 1</t>
  </si>
  <si>
    <t>Técnico forestal DTN 1</t>
  </si>
  <si>
    <t>Profesional forestal DTC 1</t>
  </si>
  <si>
    <t>Profesional forestal DTO 1</t>
  </si>
  <si>
    <t>Profesional forestal DTO 2</t>
  </si>
  <si>
    <t>Profesional forestal DTS 1</t>
  </si>
  <si>
    <t>Profesional forestal DTS 2</t>
  </si>
  <si>
    <t>Profesional forestal DTS 3</t>
  </si>
  <si>
    <t>Profesional forestal SRCA - Proyectos Alto Impacto</t>
  </si>
  <si>
    <t>Profesional de seguimiento</t>
  </si>
  <si>
    <t>Licencias</t>
  </si>
  <si>
    <t>Profesional Ambiental</t>
  </si>
  <si>
    <t>Profesional Forestal</t>
  </si>
  <si>
    <t>Profesional Geologo 1</t>
  </si>
  <si>
    <t>Profesional Geologo 2</t>
  </si>
  <si>
    <t>Profesional Geologo 3 - Mniera Ilegal</t>
  </si>
  <si>
    <t>Profesional Social</t>
  </si>
  <si>
    <t>Profesional Hidrocarburos</t>
  </si>
  <si>
    <t>Vertimientos</t>
  </si>
  <si>
    <t>Profesional Vertimientos DTN</t>
  </si>
  <si>
    <t>Piscicola</t>
  </si>
  <si>
    <t>Profesional Betania y Reglamentadas</t>
  </si>
  <si>
    <t>Profesional Tierra</t>
  </si>
  <si>
    <t>Abogados - Judicantes de cobro por seguimiento ambiental</t>
  </si>
  <si>
    <t>Judicante DTN</t>
  </si>
  <si>
    <t>Judicante DTC</t>
  </si>
  <si>
    <t>Judicante DTO</t>
  </si>
  <si>
    <t>Judicante DTS</t>
  </si>
  <si>
    <t>Abogado articulador cobro de seguimiento SRCA</t>
  </si>
  <si>
    <t>Seguimiento calidad de Aire a proyectos con permisos y/o licencias</t>
  </si>
  <si>
    <t>Evaluación y Seguimiento concesión CAV - ANLA</t>
  </si>
  <si>
    <t xml:space="preserve">Profesional forestal DTN </t>
  </si>
  <si>
    <t>Profesional Ambiental SRCA</t>
  </si>
  <si>
    <t>Profesional Geologo SRCA</t>
  </si>
  <si>
    <t>Profesional Recurso Hidrico DTN</t>
  </si>
  <si>
    <t>Profesional Recurso Hidrico DTC</t>
  </si>
  <si>
    <t>Profesional Recurso Hidrico DTS</t>
  </si>
  <si>
    <t xml:space="preserve">Abogado DTN </t>
  </si>
  <si>
    <t>Abogado DTO</t>
  </si>
  <si>
    <t>Abogado DTS</t>
  </si>
  <si>
    <t>Personal de apoyo en licencias y permisos ambientales resueltos - Mensajeria</t>
  </si>
  <si>
    <t>Abogado(a) de apoyo esp a DTN 1</t>
  </si>
  <si>
    <t>Abogado(a) de apoyo esp a DTN 2</t>
  </si>
  <si>
    <t>Abogado(a) de apoyo esp a DTN 3</t>
  </si>
  <si>
    <t>Abogado(a) de apoyo esp a DTN 4</t>
  </si>
  <si>
    <t>Abogado(a) de apoyo a DTN 1</t>
  </si>
  <si>
    <t>Abogado(a) de apoyo a DTN 2</t>
  </si>
  <si>
    <t>Abogado(a) de apoyo a DTC 1</t>
  </si>
  <si>
    <t>Abogado(a) de apoyo a DTO 1</t>
  </si>
  <si>
    <t xml:space="preserve">Abogado(a) de apoyo esp a DTS </t>
  </si>
  <si>
    <t>Abogado(a) de apoyo a DTS 1</t>
  </si>
  <si>
    <t>Abogado(a) de apoyo a DTS 2</t>
  </si>
  <si>
    <t>Abogado(a) de apoyo a DTS 3</t>
  </si>
  <si>
    <t>Abogado(a) de apoyo a DTS 4</t>
  </si>
  <si>
    <t>Abogado(a) de apoyo a DTS 5</t>
  </si>
  <si>
    <t>Abogado(a) de apoyo Esp. SRCA 1</t>
  </si>
  <si>
    <t>Abogado(a) de apoyo Esp. SRCA 2</t>
  </si>
  <si>
    <t>Abogado(a) de apoyo SRCA 1</t>
  </si>
  <si>
    <t>Personal de apoyo en Sancionatorios resueltos - Mensajeria</t>
  </si>
  <si>
    <t>Mantenimiento de equipos de medición</t>
  </si>
  <si>
    <t>Insumos</t>
  </si>
  <si>
    <t>Mapa de ruido y reformulacion de plan de descontamincaicón - Pitalito</t>
  </si>
  <si>
    <t>Profesional de seguimiento RCD - DTN</t>
  </si>
  <si>
    <t>Profesional seguimiento - DGA</t>
  </si>
  <si>
    <t>Viaticos funcionarios</t>
  </si>
  <si>
    <t>Personal</t>
  </si>
  <si>
    <t>Coordinador RECAM - SRCA</t>
  </si>
  <si>
    <t>Profesional RECAM - DTC 1</t>
  </si>
  <si>
    <t>Profesional RECAM - DTC 2</t>
  </si>
  <si>
    <t>Profesional RECAM - DTN 1</t>
  </si>
  <si>
    <t>Profesional RECAM - DTN 2</t>
  </si>
  <si>
    <t>Profesional RECAM - DTO 1</t>
  </si>
  <si>
    <t>Tecnólogo RECAM - DTS 1</t>
  </si>
  <si>
    <t>Profesional RECAM - DTS 2</t>
  </si>
  <si>
    <t>Profesional RECAM - DTS 3</t>
  </si>
  <si>
    <t>Profesional RECAM - DTS 4</t>
  </si>
  <si>
    <t>Profesional RECAM - DTS 5</t>
  </si>
  <si>
    <t>Profesional RECAM - Fauna</t>
  </si>
  <si>
    <t>Profesional Geologo 3 - MInera Ilegal</t>
  </si>
  <si>
    <t>Logística para el funcionamiento de la RECAM  - Combustible</t>
  </si>
  <si>
    <t>Suministro Combustible DTO</t>
  </si>
  <si>
    <t>Suministro De Combustibles  DTC</t>
  </si>
  <si>
    <t>Suministro De Combustibles DTS</t>
  </si>
  <si>
    <t>Suministro De Combustibles Para SRCA y DTN</t>
  </si>
  <si>
    <t>Logística para el funcionamiento de la RECAM  Transporte decomisos</t>
  </si>
  <si>
    <t>Transporte Red De Control Ambiental</t>
  </si>
  <si>
    <t>Elementos para control y vigilancia de la RECAM</t>
  </si>
  <si>
    <t>Adecuación de CAV Flora Maderable</t>
  </si>
  <si>
    <t>Profesional seguimiento PIML - Gobernanza 1</t>
  </si>
  <si>
    <t>Profesional seguimiento PIML - Gobernanza 2</t>
  </si>
  <si>
    <t>Profesional seguimiento PIML - Gobernanza 3</t>
  </si>
  <si>
    <t>Veterinario hogar de paso DTS</t>
  </si>
  <si>
    <t>Biologo y/o Veteriniario hogar de paso DTS</t>
  </si>
  <si>
    <t>Veterinario CAV</t>
  </si>
  <si>
    <t>Pasante veterinario CAV - Semestre 1</t>
  </si>
  <si>
    <t>Pasante veterinario CAV - Semestre 2</t>
  </si>
  <si>
    <t>Veterinario hogar de paso Neiva 1</t>
  </si>
  <si>
    <t>Veterinario hogar de paso Neiva 2</t>
  </si>
  <si>
    <t>Pasante Veterinaria DTN - Hogar de paso semestre 2</t>
  </si>
  <si>
    <t>Pasante Veterinaria DTC - Semestre 1</t>
  </si>
  <si>
    <t>Pasante Veterinaria DTC - Semestre 2</t>
  </si>
  <si>
    <t>Pasante Veterinaria DTO - Semestre 1</t>
  </si>
  <si>
    <t>Pasante Veterinaria DTO - Semestre 2</t>
  </si>
  <si>
    <t>Pasante Veterinaria DTS - Semestre 1</t>
  </si>
  <si>
    <t>Pasante Veterinaria DTS - Semestre 2</t>
  </si>
  <si>
    <t>Alimentos perecederos</t>
  </si>
  <si>
    <t>Concentrados, medicamentos y otros</t>
  </si>
  <si>
    <t>Limpieza y aseo CAV</t>
  </si>
  <si>
    <t>Mantenimiento y adecuación CAV</t>
  </si>
  <si>
    <t>Valor Unitario</t>
  </si>
  <si>
    <t>VALOR TOTAL</t>
  </si>
  <si>
    <t>Convenio Comunidad La Gabriela</t>
  </si>
  <si>
    <t>Glob</t>
  </si>
  <si>
    <t>Reforestacion 20 Has</t>
  </si>
  <si>
    <t>Interrventoria Reforestación</t>
  </si>
  <si>
    <t>Técnico para levantamiento de predios para reforestación</t>
  </si>
  <si>
    <t>Mtto reforestación 60 Hectáreas</t>
  </si>
  <si>
    <t>Interventoria</t>
  </si>
  <si>
    <t>Aislamento de 30.000 metros lineales</t>
  </si>
  <si>
    <t>M.L.</t>
  </si>
  <si>
    <t>Técnico para levantamiento de predios para aislamientos</t>
  </si>
  <si>
    <t>Convenio Universidad Análisis datos Monitoreo</t>
  </si>
  <si>
    <t>Mtto aislamientos vigencias anteriores</t>
  </si>
  <si>
    <t>Convenios Mpios Adquisición de Predios</t>
  </si>
  <si>
    <t>PLAN DE ORDENACIÓN DE LA CUENCA DEL RÍO YAGUARA</t>
  </si>
  <si>
    <t>Interventoria formulación POMCA Yaguará</t>
  </si>
  <si>
    <t>Apoyo técnico a Supervisión, Ingeniera Gina Gallo</t>
  </si>
  <si>
    <t>Mes/Hombre</t>
  </si>
  <si>
    <t>PROYECTO CEIBAS</t>
  </si>
  <si>
    <t>Interventoria Pozos Sépticos</t>
  </si>
  <si>
    <t>Interventoria Hornillas</t>
  </si>
  <si>
    <t>Apoyo técnico a Supervisión, Ingeniero Dairo Castro</t>
  </si>
  <si>
    <t>Equipo para cada POMCA Y PMAM</t>
  </si>
  <si>
    <t>Apoyo técnico a Supervisión Wilman Rivera</t>
  </si>
  <si>
    <t>Apoyo Técnico capacitación sobre uso de obras</t>
  </si>
  <si>
    <t>Transporte Profesionales y técnicos</t>
  </si>
  <si>
    <t>Transferencia FIA- PDA</t>
  </si>
  <si>
    <t>NO aplica</t>
  </si>
  <si>
    <t>Campañas</t>
  </si>
  <si>
    <t>Reglamentadas</t>
  </si>
  <si>
    <t>Porfesional Seguimiento RH Reglamentadas - SRCA 1</t>
  </si>
  <si>
    <t>Porfesional Seguimiento RH Reglamentadas - SRCA 2</t>
  </si>
  <si>
    <t>Porfesional Seguimiento RH Reglamentadas - SRCA 3</t>
  </si>
  <si>
    <t>Porfesional Seguimiento RH Reglamentadas - SRCA 4</t>
  </si>
  <si>
    <t>Porfesional Seguimiento RH Reglamentadas - SRCA 5</t>
  </si>
  <si>
    <t>Profesional Reclamaciones y Seguimiento Reglamentadas 1</t>
  </si>
  <si>
    <t>Profesional Reclamaciones y Seguimiento Reglamentadas 2</t>
  </si>
  <si>
    <t>Profesional social</t>
  </si>
  <si>
    <t>Pasantes de Ing. Agricola y Civil</t>
  </si>
  <si>
    <t>Calidad</t>
  </si>
  <si>
    <t>Porfesional Seguimiento RH Calidad - SRCA 1</t>
  </si>
  <si>
    <t>Porfesional Seguimiento RH Calidad - SRCA 2</t>
  </si>
  <si>
    <t>Porfesional Seguimiento RH Calidad - SRCA 3</t>
  </si>
  <si>
    <t>Porfesional Seguimiento RH Calidad - SRCA 5</t>
  </si>
  <si>
    <t>Subterráneas</t>
  </si>
  <si>
    <t>Profesional Ambiental Evalu. y Segui. RH Subterráneas - SRCA</t>
  </si>
  <si>
    <t>Profesional Seguimiento RH Subterráneas - SRCA - Geólogo 1</t>
  </si>
  <si>
    <t>Profesional Seguimiento RH Subterráneas - SRCA - Geólogo 2</t>
  </si>
  <si>
    <t>Profesional Seguimiento RH Subterráneas - SRCA - Geólogo 3</t>
  </si>
  <si>
    <t>Profesional Seguimiento RH Subterráneas - SRCA - Geólogo 4</t>
  </si>
  <si>
    <t>Profesional Asesor RH Piscicola - SRCA</t>
  </si>
  <si>
    <t>Seguimientos DT´s</t>
  </si>
  <si>
    <t>Técnico o tecnologo Seguimiento RH - DTN 1</t>
  </si>
  <si>
    <t>Porfesional Seguimiento RH - DTN 1</t>
  </si>
  <si>
    <t>Porfesional Seguimiento RH - DTN 2</t>
  </si>
  <si>
    <t>Porfesional Seguimiento RH - DTN 3</t>
  </si>
  <si>
    <t>Porfesional Seguimiento RH - DTN 4</t>
  </si>
  <si>
    <t>Profesional Seguimiento RH - DTO 1</t>
  </si>
  <si>
    <t>Profesional Seguimiento RH - DTO 2</t>
  </si>
  <si>
    <t>Tecnologo Seguimiento RH - DTC 1</t>
  </si>
  <si>
    <t>Porfesional Seguimiento RH - DTS 1</t>
  </si>
  <si>
    <t>Porfesional Seguimiento RH - DTS 2</t>
  </si>
  <si>
    <t>Porfesional Seguimiento RH - DTS 3</t>
  </si>
  <si>
    <t>Porfesional Seguimiento RH - DTS 4</t>
  </si>
  <si>
    <t>Calibración de equipos de medición de caudal</t>
  </si>
  <si>
    <t xml:space="preserve">Realizar mantenimiento a las Estaciones hidrometeorológicas de la CAM. </t>
  </si>
  <si>
    <t>Actualizar el estudio de Evaluación Regional del Agua - ERA</t>
  </si>
  <si>
    <t>Oferta - Hidrologo</t>
  </si>
  <si>
    <t>Demanda</t>
  </si>
  <si>
    <t>Riesgo</t>
  </si>
  <si>
    <t>AVR</t>
  </si>
  <si>
    <t>Técnico Administrativo DTC Permisos</t>
  </si>
  <si>
    <t>Mes</t>
  </si>
  <si>
    <t>Técnico Administrativo DTC Infracciones</t>
  </si>
  <si>
    <t>Técnico Administrativo DTN Permisos</t>
  </si>
  <si>
    <t>Técnico Administrativo DTN Infracciones</t>
  </si>
  <si>
    <t>Profesional Administrativo DTO</t>
  </si>
  <si>
    <t>Técnico Administrativo DTO</t>
  </si>
  <si>
    <t>Profesional Administrativo DTS</t>
  </si>
  <si>
    <t>Técnico Administrativo DTS</t>
  </si>
  <si>
    <t xml:space="preserve">Profesional Administrativo SRCA </t>
  </si>
  <si>
    <t>Profesional Administrativo SRCA</t>
  </si>
  <si>
    <t>Profesional Administrativo SIAC</t>
  </si>
  <si>
    <t>Asesor de Ordenamiento</t>
  </si>
  <si>
    <t>mes/persona</t>
  </si>
  <si>
    <t>Profesional de Apoyo Ordenamiento 1</t>
  </si>
  <si>
    <t>Profesional de Apoyo Ordenamiento 2</t>
  </si>
  <si>
    <t>Apoyo para detallar información cartográfica para acto administrativo determinantes ambientales</t>
  </si>
  <si>
    <t>Refrigerios y Almuerzos</t>
  </si>
  <si>
    <t>PROYECTO 320501: FORTALECIMIENTO DE LSO PROCESOS DE ORDENAMENTO Y PLANIFICACION TERRITORIAL</t>
  </si>
  <si>
    <t>Estudios AVR</t>
  </si>
  <si>
    <t>Profesional Seguimiento RH Subterráneas y Riesgo - SRCA - Geólogo</t>
  </si>
  <si>
    <t>Profesional Seguimiento Riesgo, evaluación minera - SRCA - Geólogo 2</t>
  </si>
  <si>
    <t>Profesional Seguimiento Riesgo, evaluación minera - SRCA - Geólogo 3</t>
  </si>
  <si>
    <t>Profesional Seguimiento Riesgo, evaluación minera - SRCA - Geólogo 5</t>
  </si>
  <si>
    <t>Profesional Ambiental - apoyo gestión del riesgo por incendios forestales</t>
  </si>
  <si>
    <t>Kit apoyo gestión de riesgo</t>
  </si>
  <si>
    <t>KIT</t>
  </si>
  <si>
    <t>Obra gestión de riesgo</t>
  </si>
  <si>
    <t>Obra</t>
  </si>
  <si>
    <t>Construcción de hornillas ecoeficientes- Comunidades indígenas</t>
  </si>
  <si>
    <t>Interventoría construcción hornillas</t>
  </si>
  <si>
    <t>Baterías sanitarias</t>
  </si>
  <si>
    <t>Interventoría baterías sanitarias</t>
  </si>
  <si>
    <t>Profesional de apoyo  seguimiento a las actividades comunidades indígenas</t>
  </si>
  <si>
    <t>VR UNITARIO</t>
  </si>
  <si>
    <t>Asesor Cambio Climatico</t>
  </si>
  <si>
    <t>Construcción de hornillas ecoeficientes</t>
  </si>
  <si>
    <t>Adecuación horno ladrillero</t>
  </si>
  <si>
    <t>Segumiento componente ambiental hornillas</t>
  </si>
  <si>
    <t>1.Apoyo técnico para la implementación del proyecto</t>
  </si>
  <si>
    <t>Profesional Educación DTN</t>
  </si>
  <si>
    <t>Profesional Educación DTS</t>
  </si>
  <si>
    <t>Profesional Educación DTC</t>
  </si>
  <si>
    <t>Profesional Educación DTO</t>
  </si>
  <si>
    <t>Profesional acompañamiento SENDICAM-Neiva</t>
  </si>
  <si>
    <t>Apoyo logistico SENDICAM- Neiva</t>
  </si>
  <si>
    <t>Profesional acompañamiento SENDICAM-Pitalito</t>
  </si>
  <si>
    <t>Profesional Plan Departamental de Educación Ambiental</t>
  </si>
  <si>
    <t>Apoyo técnico pedagógico actividades de educación ambiental</t>
  </si>
  <si>
    <t>2.Actividades de educación ambiental</t>
  </si>
  <si>
    <t>Suministro de material vegetal para Educación Ambiental</t>
  </si>
  <si>
    <t>Adquisición de equipos educación Ambiental    (Concursos, olimpiadas, encuentros, reconocimientos)</t>
  </si>
  <si>
    <t>Apoyo e implementación de PRAE y PROCEDAS</t>
  </si>
  <si>
    <t>Suministro de papeleria y material para actividades de educación ambiental</t>
  </si>
  <si>
    <t>3.Senderos interpretativos para la educación ambiental Construidos y/o dotados y/o mantenidos e implementados</t>
  </si>
  <si>
    <t>Remodelación  mantenimiento técnico preventivo y correctivo y/o dotación estaciones de los Senderos</t>
  </si>
  <si>
    <t>Manteniemiento general de las estaciones de los Senderos</t>
  </si>
  <si>
    <t>4.Estrategia de comunicación y divulgación</t>
  </si>
  <si>
    <t>Diseñador Gráfico</t>
  </si>
  <si>
    <t>Apoyo técnico audiovisual</t>
  </si>
  <si>
    <t>Pautas comunicativas-Plan de medios</t>
  </si>
  <si>
    <t>CUANDO</t>
  </si>
  <si>
    <t>Meta cumplida</t>
  </si>
  <si>
    <t>Apoyo Control Interno</t>
  </si>
  <si>
    <t>Amanda Osorio</t>
  </si>
  <si>
    <t xml:space="preserve">enero </t>
  </si>
  <si>
    <t>Apoyo SIG</t>
  </si>
  <si>
    <t>Elisa Sandoval</t>
  </si>
  <si>
    <t>marzo</t>
  </si>
  <si>
    <t>Apoyo Sistema Integrado de Gestión - MIPG</t>
  </si>
  <si>
    <t>Maritza Hernandez</t>
  </si>
  <si>
    <t>enero- diciembre</t>
  </si>
  <si>
    <t>Apoyo proyectos SGR</t>
  </si>
  <si>
    <t>Catalina Villarreal</t>
  </si>
  <si>
    <t>Apoyo formulación y gestión de proyectos</t>
  </si>
  <si>
    <t>Marisol Cuenca</t>
  </si>
  <si>
    <t>Apoyo informes y gestión dirección</t>
  </si>
  <si>
    <t>Indira Burbano</t>
  </si>
  <si>
    <t>agosto</t>
  </si>
  <si>
    <t>Curso de entrenamiento para brigadistas ambientales y de SG-SST</t>
  </si>
  <si>
    <t>julio</t>
  </si>
  <si>
    <t>Semana del sistema integrado (Charlas, ciclopaseo, visita la colonia preservación recurso hídrico, Campaña no uso de plástico de un solo uso y clasificación de residuos)</t>
  </si>
  <si>
    <t>Composteras rotativas (2) cap. 60-65 kg</t>
  </si>
  <si>
    <t>enero</t>
  </si>
  <si>
    <t>Agendas Institucionales</t>
  </si>
  <si>
    <t>Auditoría de seguimiento a ISO</t>
  </si>
  <si>
    <t>octubre</t>
  </si>
  <si>
    <t>Convención curso actualización de auditores</t>
  </si>
  <si>
    <t>Software de Gestión documental</t>
  </si>
  <si>
    <t>Fortalecimiento de la infraestrcutura tecnológica de la Corporación</t>
  </si>
  <si>
    <t>Repuestos equipos de cómputo</t>
  </si>
  <si>
    <t>febrero</t>
  </si>
  <si>
    <t>Actualización Arc GIS</t>
  </si>
  <si>
    <t>junio</t>
  </si>
  <si>
    <t>Octubre</t>
  </si>
  <si>
    <t>Servicio de Internet y datos</t>
  </si>
  <si>
    <t>Licencia ORACLE</t>
  </si>
  <si>
    <t>diciembre</t>
  </si>
  <si>
    <t>Actualización de tablas de retención documental</t>
  </si>
  <si>
    <t>Apoyo Gestión documental</t>
  </si>
  <si>
    <t>Estudios y diseños Sede DTO</t>
  </si>
  <si>
    <t>Construcción sede Pitalito</t>
  </si>
  <si>
    <t>Alimentación</t>
  </si>
  <si>
    <t>INDICADOR / ACTIVIDAD / ACCION</t>
  </si>
  <si>
    <t>OTROS RECURSOS PROPIOS</t>
  </si>
  <si>
    <t>Jesus Octavio Vargas</t>
  </si>
  <si>
    <t>PRESUPUESTO DE INVERSIÓN 2022 - NUEVA ESTRUCTURA PLAN DE ACCIÓN</t>
  </si>
  <si>
    <t>VALOR  2021</t>
  </si>
  <si>
    <t>DIF %</t>
  </si>
  <si>
    <t>TOTAL PRESUPUESTO DE INVERSION</t>
  </si>
  <si>
    <t>transporte de personal</t>
  </si>
  <si>
    <t>Apoyo seguimiento financiero Plan de Acción Institucional</t>
  </si>
  <si>
    <t>Leidy Montes</t>
  </si>
  <si>
    <t>Apoyo Gestión documental DT</t>
  </si>
  <si>
    <t>Técnico forestal SRCA</t>
  </si>
  <si>
    <t>Hidrobiológico</t>
  </si>
  <si>
    <t xml:space="preserve">Calidad </t>
  </si>
  <si>
    <t>SIG</t>
  </si>
  <si>
    <t>Profesional Seguimiento Planes y RH - DTS</t>
  </si>
  <si>
    <t>Tecnólogo Seguimiento RH - DTO 1</t>
  </si>
  <si>
    <t>Tecnólogo Seguimiento RH - DTO 2</t>
  </si>
  <si>
    <t>Abogado(a) de apoyo a DTC 2</t>
  </si>
  <si>
    <t>Hornillas</t>
  </si>
  <si>
    <t>COMPARATIVO INDICADORES</t>
  </si>
  <si>
    <t>PRESUPUESTO INICIAL</t>
  </si>
  <si>
    <t>PRESUPUESTO FINAL</t>
  </si>
  <si>
    <t>PRESUPUESTO CON ADICION</t>
  </si>
  <si>
    <t>EJECUTADO</t>
  </si>
  <si>
    <t>A 31 de octubre</t>
  </si>
  <si>
    <t>saldos</t>
  </si>
  <si>
    <t>% Incremento</t>
  </si>
  <si>
    <t>% participación</t>
  </si>
  <si>
    <t>Vigencia</t>
  </si>
  <si>
    <t>NORMATIVIDAD APLICABLE</t>
  </si>
  <si>
    <t>Artículo 211 de la Ley 1450 de 2011: adiciona parágrafos al artículo 42 de la Ley 99 de 1993</t>
  </si>
  <si>
    <t xml:space="preserve">Los recursos provenientes del recaudo de las tasas retributivas se destinarán a proyectos de inversión en descontaminación y monitoreo de la calidad del recurso respectivo. Para cubrir los gastos de implementación y seguimiento de la tasa, la autoridad ambiental competente podrá utilizar hasta el 10% de los recursos recaudados. </t>
  </si>
  <si>
    <t>VR POR FUENTE</t>
  </si>
  <si>
    <t>Ley 1450 de 2011, artículo 216: Adiciónese los siguientes parágrafos al artículo 43 de la Ley 99 de 1993</t>
  </si>
  <si>
    <t xml:space="preserve">Se destinarán de la siguiente manera: a) En las cuencas con POM adoptado, se destinarán exclusivamente a las actividades de protección, recuperación y monitoreo del recurso hídrico definidas en el mismo; b) En las cuencas declaradas en ordenación, se destinarán a la elaboración del POM Cuenca; c) En ausencia de las condiciones establecidas en los literales a) y b), se destinarán a actividades de protección y recuperación del recurso hídrico definidos en los instrumentos de planificación de la autoridad ambiental competente y teniendo en cuenta las directrices del MADS. Para cubrir gastos de implementación, monitoreo y seguimiento, la autoridad ambiental podrá utilizar hasta el (10%) de los recaudos. </t>
  </si>
  <si>
    <t>Se ejecutarán conforme a los planes ambientales regionales y municipales; se destinarán los recursos a la ejecución de programas y proyectos de protección o restauración del medio ambiente y los recursos naturales renovables, de acuerdo con los planes de desarrollo de los municipios del área de su jurisdicción. Para la ejecución de las inversiones que afecten estos recursos se seguirán las reglas especiales sobre planificación ambiental que la presente ley establece”.</t>
  </si>
  <si>
    <t>Ley 1930 de 2018 artículo 24, Decreto 1933 de 1994 Decreto 1729 de 2002 Decreto 1933 de 1994, Artículo 5</t>
  </si>
  <si>
    <t>Se destinarán a la financiación de los planes de ordenación de las cuencas hidrográficas, a la protección del medio ambiente y a la defensa de la cuenca hidrográfica y del área de influencia del proyecto. De los recursos de que habla este artículo sólo se podrá destinar hasta el 10% para gastos de funcionamiento”.</t>
  </si>
  <si>
    <r>
      <t>MULTAS:</t>
    </r>
    <r>
      <rPr>
        <sz val="11"/>
        <color rgb="FF000000"/>
        <rFont val="Arial"/>
        <family val="2"/>
      </rPr>
      <t>. No existe norma que defina su destinación por lo tanto su porcentaje para inversión o funcionamiento lo define la Corporación</t>
    </r>
  </si>
  <si>
    <t xml:space="preserve"> Art. 46 Ley 99 de 1993</t>
  </si>
  <si>
    <t>Art.44 Ley 99 de 1994</t>
  </si>
  <si>
    <t>Ley 99 de 1993</t>
  </si>
  <si>
    <t>% AMB (sobretasa y predial)</t>
  </si>
  <si>
    <t>% PARTIC</t>
  </si>
  <si>
    <t>% PARTICP</t>
  </si>
  <si>
    <t>Implementación del Sistema de Gestión de Seguridad de la Información ISO 27001</t>
  </si>
  <si>
    <t>Interventoría Sede Pitalito</t>
  </si>
  <si>
    <t>Marisol cuenca</t>
  </si>
  <si>
    <t>Apoyo gestión de proyectos</t>
  </si>
  <si>
    <t>Santiago Ángel</t>
  </si>
  <si>
    <t>enero - diciembre</t>
  </si>
  <si>
    <t>Apoyo en ingeniería civil</t>
  </si>
  <si>
    <t>MES</t>
  </si>
  <si>
    <t>VALOR CONTRATO (sin 4/1000)</t>
  </si>
  <si>
    <t xml:space="preserve">Pasante apoyo </t>
  </si>
  <si>
    <t>Apoyo atención al ciudadano</t>
  </si>
  <si>
    <t>VALOR (Incl 4/1000)</t>
  </si>
  <si>
    <t>CÓDIGO CPC - DANE</t>
  </si>
  <si>
    <t>0196104</t>
  </si>
  <si>
    <t>Interventoria Biodigestores</t>
  </si>
  <si>
    <t>Fomento y conservación de polinizadores</t>
  </si>
  <si>
    <t>64221, 64222, 64223, 64224</t>
  </si>
  <si>
    <t>2.3.2.02.01.003</t>
  </si>
  <si>
    <t>2.3.1</t>
  </si>
  <si>
    <t>CPC</t>
  </si>
  <si>
    <t>Profesional apoyo ambiental DTN y DTO</t>
  </si>
  <si>
    <t>Profesional apoyo ambiental DTS y DTC</t>
  </si>
  <si>
    <t>Profesional Fortalecimiento Imagen Empresas NV</t>
  </si>
  <si>
    <t>CODIGO CPC</t>
  </si>
  <si>
    <t>7490</t>
  </si>
  <si>
    <t>83990</t>
  </si>
  <si>
    <t>68130</t>
  </si>
  <si>
    <t>82120</t>
  </si>
  <si>
    <t>66019</t>
  </si>
  <si>
    <t>Técnico forestal DTN 2</t>
  </si>
  <si>
    <t>Profesional Seguimiento RH - DTC 3</t>
  </si>
  <si>
    <t>Técnologo seguimiento RH DTN</t>
  </si>
  <si>
    <t>Pasante Geologia</t>
  </si>
  <si>
    <t>Profesional Vertimientos y emisiones DTN</t>
  </si>
  <si>
    <t>Profesional de seguimiento RESPEL Y RCD - SRCA</t>
  </si>
  <si>
    <t>2.3.2.02.02.005</t>
  </si>
  <si>
    <t>2.1.2.02.01.003</t>
  </si>
  <si>
    <t>3331101, 3336001</t>
  </si>
  <si>
    <t>83590</t>
  </si>
  <si>
    <t>0231001, 0411901, 2122201, 0112201, 0119501, 0121201, 0121301, 0121302, 0121401, 0121501, 0121901, 0121904, 0122101, 0122901, 0123102, 0123201, 0123401, 0123502, 0125101, 0125402, 0125901, 0129006, 0131101, 0131201, 0131301, 0131601, 0131701, 0131801, 0131901, 0131902, 0131903, 0131911, 0131912, 0131913, 0131916, 0131917, 0131918, 0131922, 0132301, 0133001, 0134201, 0134301, 0134401, 0135101, 0135201, 0135601, 0135901, 0135902, 0142201, 0144501, 0146001, 0159201, 0170401, 0180201, 0232101, 0412403, 2111101, 2112101, 2116001, 2149905, 2211004, 2221101, 2314003, 2342001, 2355001, 2399105</t>
  </si>
  <si>
    <t>87290</t>
  </si>
  <si>
    <t>Técnico seguimiento RH DTN</t>
  </si>
  <si>
    <t>Técnico seguimiento Forestal DTN</t>
  </si>
  <si>
    <t>Profesional seguimiento RH</t>
  </si>
  <si>
    <t xml:space="preserve">Profesional planes ambientales </t>
  </si>
  <si>
    <t>Profesional Seguimiento RH - DTC 1</t>
  </si>
  <si>
    <t>Profesional Seguimiento RH - DTC 2</t>
  </si>
  <si>
    <t>Profesional Hidrahulica</t>
  </si>
  <si>
    <t>53290</t>
  </si>
  <si>
    <t>Profesional Seguimiento Riesgo, evaluación subterraneas - SRCA - Geólogo 1</t>
  </si>
  <si>
    <t>PROGRAMA 3205 ORDENAMIENTO AMBIENTAL TERRITORIAL</t>
  </si>
  <si>
    <t>CÓDIGO CPC- DANE</t>
  </si>
  <si>
    <t>% AMB.</t>
  </si>
  <si>
    <t xml:space="preserve">2.3.2.02.01.000
</t>
  </si>
  <si>
    <t>32210, 3859099</t>
  </si>
  <si>
    <t>3511033,3511029,
3511015,3511008,3511004,35110</t>
  </si>
  <si>
    <t>2.3.5.02.08</t>
  </si>
  <si>
    <t xml:space="preserve">                </t>
  </si>
  <si>
    <t>2.3.2.01.01.005.02.03.01.01</t>
  </si>
  <si>
    <t>83143-84341</t>
  </si>
  <si>
    <t>83162</t>
  </si>
  <si>
    <t>2.3.2.01.01.003.03.02</t>
  </si>
  <si>
    <t>84342</t>
  </si>
  <si>
    <t>2.3.2.01.01.005.02.02.03</t>
  </si>
  <si>
    <t>8715203-8715299</t>
  </si>
  <si>
    <t>N/A</t>
  </si>
  <si>
    <t>72122</t>
  </si>
  <si>
    <t>Consultoría Estudio Descalce Humedal Colores</t>
  </si>
  <si>
    <t>Pozos Sépticos</t>
  </si>
  <si>
    <t>Interventoría Pozos Sépticos</t>
  </si>
  <si>
    <t xml:space="preserve">Material vegetal </t>
  </si>
  <si>
    <t>2823814, 2826207, 2823218</t>
  </si>
  <si>
    <t>63391, 64221, 64222, 64223, 64224, 63290, 2823218, 2826207</t>
  </si>
  <si>
    <t>T.FORESTAL</t>
  </si>
  <si>
    <t>2.3.4.02.02</t>
  </si>
  <si>
    <t>2599 4290
7490</t>
  </si>
  <si>
    <t>2599 4290</t>
  </si>
  <si>
    <t>4290 2750</t>
  </si>
  <si>
    <t>Pasante apoyo determinantes ambientales</t>
  </si>
  <si>
    <t>PROYECTO 320102</t>
  </si>
  <si>
    <t>Andrés Trujillo</t>
  </si>
  <si>
    <t>Profesional apoyo comercial y social</t>
  </si>
  <si>
    <t>Clara Escobar</t>
  </si>
  <si>
    <t>Luis Carlos Sánchez</t>
  </si>
  <si>
    <t>Daniela Rojas Muñoz</t>
  </si>
  <si>
    <t>Daniel Méndez</t>
  </si>
  <si>
    <t>Fortalecimiento de la plataforma web de negocios verdes</t>
  </si>
  <si>
    <t>64221
64222
64223
64224</t>
  </si>
  <si>
    <t>Profesional apoyo comunicaciones</t>
  </si>
  <si>
    <t>Profesional apoyo estrategia opita de corazon</t>
  </si>
  <si>
    <t>2.3.2.01.01.001.03.16</t>
  </si>
  <si>
    <t>PROYECTO 320301:  CONSERVACIÓN Y USO EFICIENTE DEL RECURSO HÍDRICO</t>
  </si>
  <si>
    <t>Profesional apoyo educación ambiental ejecución de acciones establecidos en el indicador mínimo de gestión IM27.</t>
  </si>
  <si>
    <t>ARL Pasantes</t>
  </si>
  <si>
    <t>ARL pasante Ingenieria, Geología.</t>
  </si>
  <si>
    <t>Abogado(a) de apoyo Atención Ciudadano</t>
  </si>
  <si>
    <t>Profesional RECAM - DTO 2</t>
  </si>
  <si>
    <t>Profesional seguimiento Planes Ambientales RCA</t>
  </si>
  <si>
    <t>Profesional FORESTAL - DTO 2</t>
  </si>
  <si>
    <t>Profesional 1 - Apoyo para la gestion de registro y apoyo a RNSC</t>
  </si>
  <si>
    <t>Profesional 2 - Apoyo para la gestion de registro y apoyo a RNSC</t>
  </si>
  <si>
    <t>Técnico Experto en Ecoturismo</t>
  </si>
  <si>
    <t>Prestación de servicios como Profesional del PNR Siberia - Ceibas</t>
  </si>
  <si>
    <t>Prestación de servicios como Profesional del DRMI Cerro Banderas Ojo Blanco</t>
  </si>
  <si>
    <t>Interventoría Pozos Sépticos 2021</t>
  </si>
  <si>
    <t>Interventoria COMPOSTERAS 2021</t>
  </si>
  <si>
    <t>JUDICANTE DTN</t>
  </si>
  <si>
    <t>Pasante Guianza -Pitalito</t>
  </si>
  <si>
    <t>Construcción 80 pozos sépticos</t>
  </si>
  <si>
    <t>Construcción 140 Hornillas</t>
  </si>
  <si>
    <t>Suministro sector porcícola</t>
  </si>
  <si>
    <t>Operario DTC 1</t>
  </si>
  <si>
    <t>Operario DTC 2</t>
  </si>
  <si>
    <t>Operario DTN 1</t>
  </si>
  <si>
    <t>Operario DTN 2</t>
  </si>
  <si>
    <t>Operario DTO 1</t>
  </si>
  <si>
    <t>Operario DTO 2</t>
  </si>
  <si>
    <t>Operario DTS 1</t>
  </si>
  <si>
    <t>Operario DTS 2</t>
  </si>
  <si>
    <t>Rio Aipe y sus principales tributarios</t>
  </si>
  <si>
    <t>Profesional Seguimiento RH - DTN 6</t>
  </si>
  <si>
    <t>Profesional Seguimiento RH - DTN 7</t>
  </si>
  <si>
    <t>Adquisición de equipos de seguimiento y monitoreo al Recurso Hídrico - Agua Superficial</t>
  </si>
  <si>
    <t>2.3.2.01.01.003.06.02</t>
  </si>
  <si>
    <t>4826303</t>
  </si>
  <si>
    <t>Apoyo a Redes de Reservas de la Sociedad Civil</t>
  </si>
  <si>
    <t>Profesional Seguimiento Sistemas Productivos</t>
  </si>
  <si>
    <t>Profesional Acompañamiento Proyectos Pilotos Ecosistemas Compartidos</t>
  </si>
  <si>
    <t>Consultoría Plan de Manejo Ambiental de los DRMI y PNR Serranía de Minas</t>
  </si>
  <si>
    <t>Consultoría Plan de Manejo Ambiental del DRMI La Tatacoa</t>
  </si>
  <si>
    <t>Consultoría - Profesional Formulación de Plan de manejo ambiental de 2 complejos de Páramos, en jurisdiccion CAM</t>
  </si>
  <si>
    <t>Cofinanciación investigación aplicada a humedales con PMA</t>
  </si>
  <si>
    <t>Consultoría Determinación Pago por Servicios Ambientales en AP</t>
  </si>
  <si>
    <t>Adecuación Cabaña Tatacoa</t>
  </si>
  <si>
    <t>Interventoría Adecuación Cabaña Tatacoa</t>
  </si>
  <si>
    <t>Profesional Biodiversidad Ecosistemas Estrategicos</t>
  </si>
  <si>
    <t>Técnico de apoyo consolidación y sistematización información biotica</t>
  </si>
  <si>
    <t>Profesional Apoyo a Inverstigación en roble negro</t>
  </si>
  <si>
    <t>Equipos Monitoreo Fauna 2021</t>
  </si>
  <si>
    <t>Mantenimiento aislamientos cuencas con POMCA-PMAM</t>
  </si>
  <si>
    <t>Ml</t>
  </si>
  <si>
    <t>Sistemas agroalimentarios</t>
  </si>
  <si>
    <t>Sistema de información predial</t>
  </si>
  <si>
    <t>83151 - 83159</t>
  </si>
  <si>
    <t>Libros educación ambiental</t>
  </si>
  <si>
    <t>Ing. Civil Obras Hidráulicas</t>
  </si>
  <si>
    <t xml:space="preserve">Evaluación y Seguimiento concesión CAV – ANLA </t>
  </si>
  <si>
    <t xml:space="preserve">Mantenimiento estaciones hidrometeorologicas  </t>
  </si>
  <si>
    <t>Adicional Construcción sede Garzón</t>
  </si>
  <si>
    <t>Interventoria Composteras</t>
  </si>
  <si>
    <t>ADICIÓN PRESUPUESTAL</t>
  </si>
  <si>
    <t>SOBRETASA-% AMBIENTAL</t>
  </si>
  <si>
    <t>VR TOTAL ADICION PRESUPUESTAL</t>
  </si>
  <si>
    <t>VR TOTAL PPTO 2022</t>
  </si>
  <si>
    <t>Interventoria manejo cosecha agua cacao</t>
  </si>
  <si>
    <t>VALOR PPTO INICAL 2022</t>
  </si>
  <si>
    <t>VALOR ADICIÓN PPTO 2022</t>
  </si>
  <si>
    <t>VALOR TOTAL PPTO 2022</t>
  </si>
  <si>
    <t>FUENTE % AMBIENTAL</t>
  </si>
  <si>
    <t>Mantenimiento UPS y Cambio de Baterías de UPS Datacenter por cumplimiento de vida útil</t>
  </si>
  <si>
    <t>Adicional interventoría Garzón</t>
  </si>
  <si>
    <t>Control y seguimiento automatizado de la Gestión- Renovación suscripción anual  - PENSEMOS</t>
  </si>
  <si>
    <t>Baterías Sanitarias</t>
  </si>
  <si>
    <t>Interventoría Baterías Sanitarias</t>
  </si>
  <si>
    <t>TAF</t>
  </si>
  <si>
    <t xml:space="preserve">Estufas de Leña Ecoeficientes comunitarias productoras de energía térmica y eléctrica </t>
  </si>
  <si>
    <t>Contrapartida proyecto senderos ( y/o material de  educación ambiental)</t>
  </si>
  <si>
    <t>Profesional seguimiento PGIRs y RCD DTS</t>
  </si>
  <si>
    <t>Profesional forestal DTC 2</t>
  </si>
  <si>
    <t>Profesional seguimiento licencias  - Hidrocarburos</t>
  </si>
  <si>
    <t>Profesional Seguimiento, fuentes moviles, Vertimientos, Emisiones DTN</t>
  </si>
  <si>
    <t>Profesional forestal DTC1</t>
  </si>
  <si>
    <t>Abogado(a) de apoyo esp a DTN 5</t>
  </si>
  <si>
    <t>Abogado(a) de apoyo a DTS 6</t>
  </si>
  <si>
    <t>Mantenimiento de equipos de medición fuentes moviles</t>
  </si>
  <si>
    <t>Insumos equipos fuentes moviles</t>
  </si>
  <si>
    <t>Profesional RECAM - DTC 3</t>
  </si>
  <si>
    <t>Profesional RECAM - DTC 4</t>
  </si>
  <si>
    <t>Construcción PTAR</t>
  </si>
  <si>
    <t>Profesional Piscícola Betania y Reglamentadas</t>
  </si>
  <si>
    <t>Profesional Piscicola en Tierra DTN</t>
  </si>
  <si>
    <t>Profesional Seguimiento RH - DTC 4</t>
  </si>
  <si>
    <t>Apoyo administrativo ejecución proyectos del SGR</t>
  </si>
  <si>
    <t>julio - diciembre</t>
  </si>
  <si>
    <t>Licencias Google</t>
  </si>
  <si>
    <t>Jennifer Montero</t>
  </si>
  <si>
    <t>Sistemas Agrosilvopastoriles</t>
  </si>
  <si>
    <t>Adicional Outsourcing de sistemas</t>
  </si>
  <si>
    <t>Contrato Outsourcin sistemas LP</t>
  </si>
  <si>
    <t>Apoyo técnico seguimiento documental permisos, concesioes y licencias  DTC</t>
  </si>
  <si>
    <t>Pasante seguimiento documental</t>
  </si>
  <si>
    <t>Apoyo técnico seguimiento documental - Sancionatorios DTC</t>
  </si>
  <si>
    <t>Profesional Seguimiento RH Reglamentadas - SRCA 6</t>
  </si>
  <si>
    <t>% Ambiental</t>
  </si>
  <si>
    <t>Porfesional Seguimiento RH - DTN 5</t>
  </si>
  <si>
    <t>Profesional Seguimiento RH - DTN 4</t>
  </si>
  <si>
    <t>Profesional Seguimiento RH - DTN 8</t>
  </si>
  <si>
    <t>Técnico Administrativo SRCA</t>
  </si>
  <si>
    <t xml:space="preserve">Mantenimiento preventivo y o correctivo a estaciones y Ceibas </t>
  </si>
  <si>
    <t>Apoyo técnico seguimiento documental permisos, concesiones y licencias  DTC</t>
  </si>
  <si>
    <t>Apoyo técnico seguimiento documental SIG permisos, concesiones y licencias SPOT</t>
  </si>
  <si>
    <t>Apoyo inventario infracciones, licencias y permisos</t>
  </si>
  <si>
    <t>SGR</t>
  </si>
  <si>
    <t>Servicios de interventoría integral a la ejecución física, financiera, jurídica y administrativa del proyecto</t>
  </si>
  <si>
    <t xml:space="preserve">Personal de Apoyo administrativo con conocimiento en SGR </t>
  </si>
  <si>
    <t>Profesional de atención al ciudadano</t>
  </si>
  <si>
    <t>Abogado(a) de apoyo esp a DTN 6</t>
  </si>
  <si>
    <t>Profesional Seguimiento RH - DTN 9</t>
  </si>
  <si>
    <t>Apoyo a la supervisión del outsourcing</t>
  </si>
  <si>
    <t>Adecuaciones Locativas sede central y CAV Teruel</t>
  </si>
  <si>
    <t>Apoyo a Sistemas Pilotos de Reconverión Productiva - SIRAP MACIZO</t>
  </si>
  <si>
    <t>Interventoría PMA DRMI La Tatacoa</t>
  </si>
  <si>
    <t>Plan de Ordenamiento Territorial y Turístico del DRMI La Tatacoa</t>
  </si>
  <si>
    <t>Interventoría Plan Ordenamiento DRMI La Tatacoa</t>
  </si>
  <si>
    <t>Consultoría Consulta Previa DRMI Cerro Banderas Ojo Blanco</t>
  </si>
  <si>
    <t>Técnico de Apoyo para atención y control de invasoras</t>
  </si>
  <si>
    <t>Prestación de servicios como Profesional PNR El Dorado - PNR Minas</t>
  </si>
  <si>
    <t>Consultoría Equipo Apoyo Técnico AP</t>
  </si>
  <si>
    <t>Profesional Apoyo SIDAP</t>
  </si>
  <si>
    <t>Técnico Acompañamiento Apicultura N-O</t>
  </si>
  <si>
    <t>Técnico Acompañamiento Apicultura N-C</t>
  </si>
  <si>
    <t>Técnico Acompañamiento Apicultura S</t>
  </si>
  <si>
    <t>Ejecución de las acciones contenidas en la política de servicio al ciudadano</t>
  </si>
  <si>
    <t>Adiconal al contrato 294/21</t>
  </si>
  <si>
    <t>Redes Cableado Estructurado Sectores Contratación, Policía Ambiental, Centro de Atención de Fauna. (Mejoramiento y ampliación de la red de datos y capacidad de procesamiento.)</t>
  </si>
  <si>
    <t>2.3.2.01.01.001.03.13</t>
  </si>
  <si>
    <t>Interventoría adecuaciones locativas sede central</t>
  </si>
  <si>
    <t>Stand Feria Internacional del Café y Cacao</t>
  </si>
  <si>
    <t xml:space="preserve">Profesional apoyo flora silvestre </t>
  </si>
  <si>
    <t>2.3.2.02.01.000
2.3.2.02.01.002
 2.3.2.02.01.003
 2.3.2.02.01.004</t>
  </si>
  <si>
    <t>01121,01260,23996,27320,34231,34240,34632,34659,34661,34662,36320,36490,37450,42921,42942,42944,42946,42999,43220,46212,2354001,3417099,3417099,3899310,4653101,4733004,2823127,31700,4219096</t>
  </si>
  <si>
    <t>01919,35110,36210,37910,44822,42921,42944,42946,45221,4419802,3549936,3744001,3899310,4126301</t>
  </si>
  <si>
    <t>Material vegetal Sistemas Productivos</t>
  </si>
  <si>
    <t>Apoyo implementación de proyectos productivos  comunidades indigenas</t>
  </si>
  <si>
    <t>2.3.2.02.01.004</t>
  </si>
  <si>
    <t>Puntos ecológicos sectores productivos</t>
  </si>
  <si>
    <t>Insumos ferreteria mantenimiento SMTA CCE-255 Y SMTA SUBASTA</t>
  </si>
  <si>
    <t>42992 36320</t>
  </si>
  <si>
    <t>2.3.2.02.01.002  
2.3.2.02.01.003
2.3.2.02.01.004</t>
  </si>
  <si>
    <t>2354001 34661
36320 42992
42999 2732005
3511029 42992</t>
  </si>
  <si>
    <t>0196104, 196106</t>
  </si>
  <si>
    <t xml:space="preserve"> 2.3.2.02.01.003</t>
  </si>
  <si>
    <t>2.3.2.01.01.005.01.02.01</t>
  </si>
  <si>
    <t>2.3.2.01.01.005.01.02.06</t>
  </si>
  <si>
    <t xml:space="preserve">2.3.2.02.01.000
 </t>
  </si>
  <si>
    <t xml:space="preserve">
 2.3.2.02.01.003
 </t>
  </si>
  <si>
    <t>2.3.2.01.01.003.04.06</t>
  </si>
  <si>
    <t>Imágenes Satelitales Sgto Proyecto REED</t>
  </si>
  <si>
    <t xml:space="preserve">2.3.2.02.01.002
</t>
  </si>
  <si>
    <t xml:space="preserve"> 2.3.2.02.01.003
</t>
  </si>
  <si>
    <t xml:space="preserve"> 2.3.2.02.01.004</t>
  </si>
  <si>
    <t>Material vegetal Reforestacion</t>
  </si>
  <si>
    <t xml:space="preserve">Técnico Administrativo Seguimiento Dctal DTN </t>
  </si>
  <si>
    <t>AUMENTA</t>
  </si>
  <si>
    <t>DISMINUYE</t>
  </si>
  <si>
    <t>DISMINUE</t>
  </si>
  <si>
    <t xml:space="preserve">Pasante Biologia CAV </t>
  </si>
  <si>
    <t>nueva</t>
  </si>
  <si>
    <t>Biologo SRCA</t>
  </si>
  <si>
    <t>Profesional Seguimiento RH Reglamentadas - SRCA 7</t>
  </si>
  <si>
    <t>NUEVA</t>
  </si>
  <si>
    <t>Profesional Seguimiento Reglamentadas y PUEAA</t>
  </si>
  <si>
    <t>Profesional Seguimiento RH Calidad - SRCA 4</t>
  </si>
  <si>
    <t>Profesional seguimiento documental concesiones supeficiales y subterráneas</t>
  </si>
  <si>
    <t>CAMBIA FUENTE</t>
  </si>
  <si>
    <r>
      <t xml:space="preserve">Campañas De Monitoreo - </t>
    </r>
    <r>
      <rPr>
        <b/>
        <sz val="10"/>
        <color theme="1"/>
        <rFont val="Arial"/>
        <family val="2"/>
      </rPr>
      <t>IDEAM</t>
    </r>
  </si>
  <si>
    <t>UN</t>
  </si>
  <si>
    <t>Guantes para Manipulación de Animales:</t>
  </si>
  <si>
    <t>Guacal 300:</t>
  </si>
  <si>
    <t xml:space="preserve">Guacal #200: </t>
  </si>
  <si>
    <t>Nasa de Captura y Control para Mamíferos y
Reptiles:</t>
  </si>
  <si>
    <t>Pértiga Automática.</t>
  </si>
  <si>
    <t>Balde de Seguridad para Serpientes:</t>
  </si>
  <si>
    <t>Gancho Herpetológico Profesional</t>
  </si>
  <si>
    <t>Pinza Herpentologica</t>
  </si>
  <si>
    <t>Portanúcleo de transporte para enjambre de abejas: Con ventilación, materiales: madera (no aglomerado) Dimensiones: Ancho 18 cm, alto 26 cm, largo 52 cm. Con 4 marcos en madera largo 48,5, Alto 23 cm, ancho 3,5 cm y sujetador de alambre semi acerado calibre 26, específicos para amarrar panales de cría de abeja. Dimensiones: Ancho 18 cm, alto 26 cm, largo 52 cm.</t>
  </si>
  <si>
    <t>Overol para apicultura, enterizo en dril super 8, color beige o amarillo, manga larga con resorte en puño, cuenta con una cremallera alrededor del cuello para integrar gorro, careta en malla color negro, con varillas plásticas de 5.5 mm para dar horma, combinado en dril y malla otorgando un sellado completo. Sistema de cierre por cremallera en sus seis bolsillos y en la parte frontal con tiradores en el mismo material, bota de pantalón con resorte.</t>
  </si>
  <si>
    <t>2.3.5.01.04</t>
  </si>
  <si>
    <t xml:space="preserve">Ahumadores mediano en acero inoxidable tapa tipo cono; diámetro 10,5 cm, altura de cuerpo 24cm y altura total de 31cm; chapa acero inoxidable de espesor 0,4mm; fuelle de madera con piel de 10,5 cm ancho x 18 cm alto </t>
  </si>
  <si>
    <t>34659, 36320</t>
  </si>
  <si>
    <t>4419802, 46410, 42946, 42944</t>
  </si>
  <si>
    <t xml:space="preserve">
2.3.2.02.01.004
</t>
  </si>
  <si>
    <t>42944, 42999, 41241</t>
  </si>
  <si>
    <t xml:space="preserve">
2.3.2.02.02.008</t>
  </si>
  <si>
    <t>296001, 02196</t>
  </si>
  <si>
    <t>27160, 38993, 44199, 36490, 3627012, 31700, 36950</t>
  </si>
  <si>
    <t>42999, 46212</t>
  </si>
  <si>
    <t>4219096, 44199</t>
  </si>
  <si>
    <t>2.3.2.01.01.003.04.04</t>
  </si>
  <si>
    <t xml:space="preserve"> 45272, 46410</t>
  </si>
  <si>
    <t>2.1.2.01.01.003.05.04</t>
  </si>
  <si>
    <t>2.3.2.01.01.004.01.03</t>
  </si>
  <si>
    <t>Promoción y participación en eventos de educación ambiental (Encuentro ONGs, encuentro docentes, encuentro Jóvenes de ambiente, Ferias, Festivales).</t>
  </si>
  <si>
    <t xml:space="preserve">
2.3.2.02.01.002</t>
  </si>
  <si>
    <t>2.3.2.01.01.003.05.04</t>
  </si>
  <si>
    <t>Proyecto SGR- Polinizacion con Meliponas</t>
  </si>
  <si>
    <t>Auxiliar administrativo</t>
  </si>
  <si>
    <t>2.3.2.02.02.007</t>
  </si>
  <si>
    <t>Profesional de apoyo a la supervisión</t>
  </si>
  <si>
    <t>Viaticos</t>
  </si>
  <si>
    <t>2.3.2.01.01.003.05.03</t>
  </si>
  <si>
    <t>Pasante Ambiental seguimiento documental permisos DTN</t>
  </si>
  <si>
    <t>Pasante Forestal seguimiento documental permisos DTN</t>
  </si>
  <si>
    <t>Abogado(a) de apoyo a DTO 2</t>
  </si>
  <si>
    <t>Judicante DTN2</t>
  </si>
  <si>
    <t>Tecnólogo RECAM - DTN 3</t>
  </si>
  <si>
    <t>Tecnólogo RECAM - DTN 4</t>
  </si>
  <si>
    <t>Adición Transporte de servidores publicos</t>
  </si>
  <si>
    <t>Adición contrato 221 de 2021</t>
  </si>
  <si>
    <t xml:space="preserve">Muestreos Y/O Contramuestreos </t>
  </si>
  <si>
    <t xml:space="preserve">Tecnólogo Seguimiento RH - DTN </t>
  </si>
  <si>
    <t xml:space="preserve">Pasantes apoyo seguimiento DTN 1 </t>
  </si>
  <si>
    <t xml:space="preserve">Pasantes apoyo seguimiento DTN 2 </t>
  </si>
  <si>
    <t>Adquisición de equipos de posicionamiento</t>
  </si>
  <si>
    <t>Técnico Administrativo Seguimiento Dctal DTS</t>
  </si>
  <si>
    <t>Interventoria Mtto Aislamientos</t>
  </si>
  <si>
    <t>Proyecto SGR- Implementación del centro de ciencia SENDICAM</t>
  </si>
  <si>
    <t>Pasante Ing civil</t>
  </si>
  <si>
    <t>Miguel felipe Villarreal</t>
  </si>
  <si>
    <t>No Estrategias de control a la deforestacion y conservacion y uso sostenible de los bosques en el departamento del Huila implementada</t>
  </si>
  <si>
    <t>SOBRETASA/AMBIENTAL</t>
  </si>
  <si>
    <t>Apoyo implementación de proyectos  comunidades indigenas- Educación ambiental</t>
  </si>
  <si>
    <t xml:space="preserve">Consulta previa DRMI Cerro Banderas Ojo Blanco </t>
  </si>
  <si>
    <t>Proceso Participativo en Dialogo Regional PND y cumbre del Macizo</t>
  </si>
  <si>
    <t>Profesional Seguimiento RH Reglamentadas - SRCA 8</t>
  </si>
  <si>
    <t>Profesional Seguimiento Documental y PUEAA</t>
  </si>
  <si>
    <t>Compra de Predio Colombia</t>
  </si>
  <si>
    <t>Libros Educación Ambiental</t>
  </si>
  <si>
    <t>Adición Servicio de Refrigerios y Almuerzos</t>
  </si>
  <si>
    <t>Adición Servicio de Transporte</t>
  </si>
  <si>
    <t>Consultoria Piloto Demarcación y Amojonamiento de AP</t>
  </si>
  <si>
    <t>Interventoría Adecuación CAV</t>
  </si>
  <si>
    <t>Apoyo Administrativo SIG</t>
  </si>
  <si>
    <t>Paula</t>
  </si>
  <si>
    <t>Proyecto Páramos Macizo</t>
  </si>
  <si>
    <t>Técnico Administrativo Seguimiento Infracciones DTS</t>
  </si>
  <si>
    <t>Apoyo para la consolidación de  actividades desarrolladas  con  comunidades étnicas- Material  Pedagógico de  educación ambiental- Huila Biodiverso.</t>
  </si>
  <si>
    <t>OJO VALIDAR ESTE VALOR</t>
  </si>
  <si>
    <t>Apoyo técnico a procesos de ordenamiento  territorial - insumos cartografía, ortofotos</t>
  </si>
  <si>
    <t>% ADICIÓN AMBIENTAL</t>
  </si>
  <si>
    <t>ADICIÓN TSE</t>
  </si>
  <si>
    <t xml:space="preserve">OTROS RP </t>
  </si>
  <si>
    <t xml:space="preserve">TSE </t>
  </si>
  <si>
    <t>ADICIÓN %AMBEINTAL</t>
  </si>
  <si>
    <t>Plan de Ordenamiento Territorial y Turístico del DRMI La Tatacoa - Rec. Gobernación</t>
  </si>
  <si>
    <t>Interventoría Plan Ordenamiento DRMI La Tatacoa - Rec. Gobernación</t>
  </si>
  <si>
    <t>CONV. 023 - GOBERNACIÓN</t>
  </si>
  <si>
    <t>Adicional adecuaciones Locativas  (Cto 2021)</t>
  </si>
  <si>
    <t>2.3.3.04.05.002</t>
  </si>
  <si>
    <t>140 licencias antivirus</t>
  </si>
  <si>
    <t xml:space="preserve"> Proyecto  320504: Gestión del conocimiento y Reducción del Riesgo de desastres-pasivo exigible vigencias expiradas</t>
  </si>
  <si>
    <t>REDUCCIÓN DEL RIESGO DE DESASTRES - Pasivos exigibles vigencias expiradas Gestionado %</t>
  </si>
  <si>
    <t>2.3.2.01.01.004.01.01.02</t>
  </si>
  <si>
    <t>Noviembre</t>
  </si>
  <si>
    <t>Adecuaciones amoblamiento</t>
  </si>
  <si>
    <t>Adición Profesional seguimiento RH DTN</t>
  </si>
  <si>
    <t>Compra de equipos de cómputo</t>
  </si>
  <si>
    <t>Días</t>
  </si>
  <si>
    <t>días</t>
  </si>
  <si>
    <t>ARL Angel Ramon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</si>
</sst>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 #,##0;\-&quot;$&quot;\ #,##0"/>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 #,##0.00_);_(* \(#,##0.00\);_(* &quot;-&quot;??_);_(@_)"/>
    <numFmt numFmtId="166" formatCode="&quot;$&quot;\ #,##0"/>
    <numFmt numFmtId="167" formatCode="_-* #,##0_-;\-* #,##0_-;_-* &quot;-&quot;??_-;_-@_-"/>
    <numFmt numFmtId="168" formatCode="_(* #,##0_);_(* \(#,##0\);_(* &quot;-&quot;??_);_(@_)"/>
    <numFmt numFmtId="169" formatCode="0.0%"/>
    <numFmt numFmtId="170" formatCode="_-&quot;$&quot;\ * #,##0_-;\-&quot;$&quot;\ * #,##0_-;_-&quot;$&quot;\ * &quot;-&quot;??_-;_-@_-"/>
    <numFmt numFmtId="171" formatCode="&quot;$&quot;\ #,##0.00"/>
    <numFmt numFmtId="172" formatCode="&quot;$&quot;#,##0.00"/>
    <numFmt numFmtId="173" formatCode="_-&quot;$&quot;\ * #,##0_-;\-&quot;$&quot;\ * #,##0_-;_-&quot;$&quot;\ * &quot;-&quot;_-;_-@"/>
    <numFmt numFmtId="174" formatCode="_-* #,##0.0_-;\-* #,##0.0_-;_-* &quot;-&quot;??_-;_-@_-"/>
  </numFmts>
  <fonts count="63">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b/>
      <sz val="9"/>
      <color indexed="81"/>
      <name val="Tahoma"/>
      <family val="2"/>
    </font>
    <font>
      <sz val="9"/>
      <color indexed="81"/>
      <name val="Tahoma"/>
      <family val="2"/>
    </font>
    <font>
      <sz val="10"/>
      <color rgb="FF000000"/>
      <name val="Arial"/>
      <family val="2"/>
    </font>
    <font>
      <b/>
      <sz val="11"/>
      <color theme="1"/>
      <name val="Arial"/>
      <family val="2"/>
    </font>
    <font>
      <b/>
      <sz val="10"/>
      <color rgb="FF000000"/>
      <name val="Arial"/>
      <family val="2"/>
    </font>
    <font>
      <sz val="11"/>
      <color rgb="FF000000"/>
      <name val="Arial"/>
      <family val="2"/>
    </font>
    <font>
      <b/>
      <sz val="10"/>
      <color theme="0"/>
      <name val="Arial"/>
      <family val="2"/>
    </font>
    <font>
      <b/>
      <sz val="11"/>
      <color theme="0"/>
      <name val="Arial"/>
      <family val="2"/>
    </font>
    <font>
      <b/>
      <sz val="12"/>
      <color theme="0"/>
      <name val="Arial"/>
      <family val="2"/>
    </font>
    <font>
      <sz val="11"/>
      <color theme="1"/>
      <name val="Arial"/>
      <family val="2"/>
    </font>
    <font>
      <b/>
      <sz val="11"/>
      <color rgb="FF000000"/>
      <name val="Arial"/>
      <family val="2"/>
    </font>
    <font>
      <sz val="10"/>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0"/>
      <name val="Arial"/>
      <family val="2"/>
    </font>
    <font>
      <sz val="10"/>
      <color theme="1"/>
      <name val="Arial "/>
    </font>
    <font>
      <sz val="10"/>
      <name val="Arial "/>
    </font>
    <font>
      <sz val="9"/>
      <color theme="1"/>
      <name val="Arial"/>
      <family val="2"/>
    </font>
    <font>
      <sz val="9"/>
      <name val="Arial"/>
      <family val="2"/>
    </font>
    <font>
      <sz val="12"/>
      <color theme="1"/>
      <name val="Calibri"/>
      <family val="2"/>
      <scheme val="minor"/>
    </font>
    <font>
      <b/>
      <sz val="12"/>
      <color theme="1"/>
      <name val="Arial"/>
      <family val="2"/>
    </font>
    <font>
      <sz val="11"/>
      <name val="Arial"/>
      <family val="2"/>
    </font>
    <font>
      <sz val="9"/>
      <color theme="1"/>
      <name val="Calibri"/>
      <family val="2"/>
      <scheme val="minor"/>
    </font>
    <font>
      <b/>
      <sz val="9"/>
      <color theme="1"/>
      <name val="Arial"/>
      <family val="2"/>
    </font>
    <font>
      <b/>
      <sz val="10"/>
      <color theme="1"/>
      <name val="Calibri"/>
      <family val="2"/>
      <scheme val="minor"/>
    </font>
    <font>
      <b/>
      <sz val="16"/>
      <color theme="1"/>
      <name val="Arial"/>
      <family val="2"/>
    </font>
    <font>
      <b/>
      <sz val="16"/>
      <color theme="1"/>
      <name val="Calibri"/>
      <family val="2"/>
      <scheme val="minor"/>
    </font>
    <font>
      <sz val="12"/>
      <color theme="1"/>
      <name val="Arial"/>
      <family val="2"/>
    </font>
    <font>
      <sz val="12"/>
      <color rgb="FF000000"/>
      <name val="Arial"/>
      <family val="2"/>
    </font>
    <font>
      <sz val="11"/>
      <name val="Calibri"/>
      <family val="2"/>
      <scheme val="minor"/>
    </font>
    <font>
      <sz val="11"/>
      <color rgb="FF000000"/>
      <name val="Calibri"/>
      <family val="2"/>
      <scheme val="minor"/>
    </font>
    <font>
      <b/>
      <sz val="16"/>
      <color rgb="FF000000"/>
      <name val="Calibri"/>
      <family val="2"/>
      <scheme val="minor"/>
    </font>
    <font>
      <sz val="12"/>
      <name val="Arial"/>
      <family val="2"/>
    </font>
    <font>
      <sz val="10"/>
      <color rgb="FFFF0000"/>
      <name val="Arial"/>
      <family val="2"/>
    </font>
    <font>
      <b/>
      <sz val="11"/>
      <name val="Arial Narrow"/>
      <family val="2"/>
    </font>
    <font>
      <b/>
      <sz val="11"/>
      <name val="Arial"/>
      <family val="2"/>
    </font>
    <font>
      <b/>
      <sz val="9"/>
      <color theme="1"/>
      <name val="Calibri"/>
      <family val="2"/>
      <scheme val="minor"/>
    </font>
    <font>
      <b/>
      <sz val="10"/>
      <color rgb="FFFF0000"/>
      <name val="Arial"/>
      <family val="2"/>
    </font>
    <font>
      <b/>
      <sz val="9"/>
      <name val="Arial"/>
      <family val="2"/>
    </font>
    <font>
      <sz val="8"/>
      <name val="Calibri"/>
      <family val="2"/>
      <scheme val="minor"/>
    </font>
    <font>
      <sz val="10"/>
      <color rgb="FF0070C0"/>
      <name val="Arial"/>
      <family val="2"/>
    </font>
    <font>
      <sz val="10"/>
      <color theme="1"/>
      <name val="Arial Narrow"/>
      <family val="2"/>
    </font>
    <font>
      <sz val="11"/>
      <color theme="1"/>
      <name val="Tahoma"/>
      <family val="2"/>
    </font>
    <font>
      <sz val="11"/>
      <color rgb="FFFF0000"/>
      <name val="Calibri"/>
      <family val="2"/>
      <scheme val="minor"/>
    </font>
    <font>
      <sz val="11"/>
      <name val="Calibri"/>
      <family val="2"/>
    </font>
    <font>
      <sz val="12"/>
      <color rgb="FF000000"/>
      <name val="Calibri"/>
      <family val="2"/>
      <scheme val="minor"/>
    </font>
    <font>
      <sz val="16"/>
      <color theme="1"/>
      <name val="Calibri"/>
      <family val="2"/>
      <scheme val="minor"/>
    </font>
    <font>
      <b/>
      <sz val="11"/>
      <name val="Calibri"/>
      <family val="2"/>
    </font>
    <font>
      <sz val="11"/>
      <color theme="1"/>
      <name val="Calibri"/>
      <family val="2"/>
    </font>
    <font>
      <sz val="12"/>
      <color rgb="FF202124"/>
      <name val="Arial"/>
      <family val="2"/>
    </font>
    <font>
      <b/>
      <sz val="14"/>
      <name val="Calibri"/>
      <family val="2"/>
      <scheme val="minor"/>
    </font>
    <font>
      <b/>
      <sz val="11"/>
      <color indexed="81"/>
      <name val="Tahoma"/>
      <family val="2"/>
    </font>
    <font>
      <sz val="11"/>
      <color indexed="81"/>
      <name val="Tahoma"/>
      <family val="2"/>
    </font>
    <font>
      <sz val="16"/>
      <color indexed="81"/>
      <name val="Tahoma"/>
      <family val="2"/>
    </font>
    <font>
      <sz val="12"/>
      <color indexed="81"/>
      <name val="Tahoma"/>
      <family val="2"/>
    </font>
    <font>
      <sz val="10"/>
      <color indexed="81"/>
      <name val="Tahoma"/>
      <family val="2"/>
    </font>
    <font>
      <b/>
      <sz val="9"/>
      <color indexed="81"/>
      <name val="Tahoma"/>
    </font>
  </fonts>
  <fills count="43">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rgb="FF000000"/>
      </patternFill>
    </fill>
    <fill>
      <patternFill patternType="solid">
        <fgColor theme="4" tint="0.39997558519241921"/>
        <bgColor indexed="64"/>
      </patternFill>
    </fill>
    <fill>
      <patternFill patternType="solid">
        <fgColor rgb="FF7030A0"/>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CC"/>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39997558519241921"/>
        <bgColor rgb="FF000000"/>
      </patternFill>
    </fill>
    <fill>
      <patternFill patternType="solid">
        <fgColor theme="8" tint="0.79998168889431442"/>
        <bgColor rgb="FF000000"/>
      </patternFill>
    </fill>
    <fill>
      <patternFill patternType="solid">
        <fgColor theme="8" tint="0.79998168889431442"/>
        <bgColor indexed="64"/>
      </patternFill>
    </fill>
    <fill>
      <patternFill patternType="solid">
        <fgColor rgb="FFFFFFFF"/>
        <bgColor rgb="FF000000"/>
      </patternFill>
    </fill>
    <fill>
      <patternFill patternType="solid">
        <fgColor rgb="FFFFD966"/>
        <bgColor rgb="FF000000"/>
      </patternFill>
    </fill>
    <fill>
      <patternFill patternType="solid">
        <fgColor theme="7" tint="0.59999389629810485"/>
        <bgColor rgb="FF000000"/>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rgb="FF000000"/>
      </patternFill>
    </fill>
    <fill>
      <patternFill patternType="solid">
        <fgColor theme="5" tint="0.79998168889431442"/>
        <bgColor indexed="64"/>
      </patternFill>
    </fill>
    <fill>
      <patternFill patternType="solid">
        <fgColor rgb="FFFEFAF8"/>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rgb="FF000000"/>
      </patternFill>
    </fill>
    <fill>
      <patternFill patternType="solid">
        <fgColor theme="6" tint="0.59999389629810485"/>
        <bgColor indexed="64"/>
      </patternFill>
    </fill>
    <fill>
      <patternFill patternType="solid">
        <fgColor rgb="FFBDD6EE"/>
        <bgColor rgb="FFBDD6EE"/>
      </patternFill>
    </fill>
    <fill>
      <patternFill patternType="solid">
        <fgColor rgb="FFFEF2CB"/>
        <bgColor rgb="FFFEF2CB"/>
      </patternFill>
    </fill>
    <fill>
      <patternFill patternType="solid">
        <fgColor rgb="FFFFD965"/>
        <bgColor rgb="FFFFD965"/>
      </patternFill>
    </fill>
    <fill>
      <patternFill patternType="solid">
        <fgColor rgb="FFF7CAAC"/>
        <bgColor rgb="FFF7CAAC"/>
      </patternFill>
    </fill>
    <fill>
      <patternFill patternType="solid">
        <fgColor rgb="FFFFFFCC"/>
        <bgColor rgb="FFFFFFCC"/>
      </patternFill>
    </fill>
    <fill>
      <patternFill patternType="solid">
        <fgColor rgb="FFFF0000"/>
        <bgColor indexed="64"/>
      </patternFill>
    </fill>
    <fill>
      <patternFill patternType="solid">
        <fgColor theme="9"/>
        <bgColor indexed="64"/>
      </patternFill>
    </fill>
  </fills>
  <borders count="13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rgb="FF000000"/>
      </left>
      <right style="medium">
        <color rgb="FF000000"/>
      </right>
      <top style="thin">
        <color rgb="FF000000"/>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theme="0" tint="-0.499984740745262"/>
      </right>
      <top style="thin">
        <color theme="0"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0" tint="-0.499984740745262"/>
      </left>
      <right style="thin">
        <color indexed="64"/>
      </right>
      <top style="medium">
        <color indexed="64"/>
      </top>
      <bottom style="medium">
        <color indexed="64"/>
      </bottom>
      <diagonal/>
    </border>
    <border>
      <left style="thin">
        <color indexed="64"/>
      </left>
      <right style="medium">
        <color theme="0" tint="-0.499984740745262"/>
      </right>
      <top style="medium">
        <color indexed="64"/>
      </top>
      <bottom style="medium">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diagonal/>
    </border>
    <border>
      <left style="thin">
        <color indexed="64"/>
      </left>
      <right style="medium">
        <color theme="0" tint="-0.499984740745262"/>
      </right>
      <top style="thin">
        <color indexed="64"/>
      </top>
      <bottom/>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thin">
        <color indexed="64"/>
      </right>
      <top/>
      <bottom style="medium">
        <color theme="0" tint="-0.499984740745262"/>
      </bottom>
      <diagonal/>
    </border>
    <border>
      <left style="medium">
        <color indexed="64"/>
      </left>
      <right style="thin">
        <color indexed="64"/>
      </right>
      <top style="thin">
        <color indexed="64"/>
      </top>
      <bottom style="medium">
        <color theme="0" tint="-0.499984740745262"/>
      </bottom>
      <diagonal/>
    </border>
    <border>
      <left style="medium">
        <color indexed="64"/>
      </left>
      <right/>
      <top style="thin">
        <color indexed="64"/>
      </top>
      <bottom style="medium">
        <color theme="0" tint="-0.499984740745262"/>
      </bottom>
      <diagonal/>
    </border>
    <border>
      <left/>
      <right style="medium">
        <color theme="0" tint="-0.499984740745262"/>
      </right>
      <top style="thin">
        <color indexed="64"/>
      </top>
      <bottom style="medium">
        <color theme="0" tint="-0.499984740745262"/>
      </bottom>
      <diagonal/>
    </border>
    <border>
      <left style="medium">
        <color indexed="64"/>
      </left>
      <right style="medium">
        <color indexed="64"/>
      </right>
      <top style="medium">
        <color theme="0" tint="-0.499984740745262"/>
      </top>
      <bottom/>
      <diagonal/>
    </border>
    <border>
      <left style="medium">
        <color indexed="64"/>
      </left>
      <right/>
      <top style="medium">
        <color theme="0" tint="-0.499984740745262"/>
      </top>
      <bottom style="medium">
        <color indexed="64"/>
      </bottom>
      <diagonal/>
    </border>
    <border>
      <left/>
      <right/>
      <top style="medium">
        <color theme="0" tint="-0.499984740745262"/>
      </top>
      <bottom style="medium">
        <color indexed="64"/>
      </bottom>
      <diagonal/>
    </border>
    <border>
      <left/>
      <right style="medium">
        <color indexed="64"/>
      </right>
      <top style="medium">
        <color theme="0" tint="-0.499984740745262"/>
      </top>
      <bottom style="medium">
        <color indexed="64"/>
      </bottom>
      <diagonal/>
    </border>
    <border>
      <left style="medium">
        <color theme="0" tint="-0.499984740745262"/>
      </left>
      <right style="medium">
        <color indexed="64"/>
      </right>
      <top style="medium">
        <color theme="0" tint="-0.499984740745262"/>
      </top>
      <bottom/>
      <diagonal/>
    </border>
    <border>
      <left style="medium">
        <color theme="0" tint="-0.499984740745262"/>
      </left>
      <right style="medium">
        <color indexed="64"/>
      </right>
      <top/>
      <bottom/>
      <diagonal/>
    </border>
    <border>
      <left style="medium">
        <color theme="0" tint="-0.499984740745262"/>
      </left>
      <right style="medium">
        <color indexed="64"/>
      </right>
      <top/>
      <bottom style="medium">
        <color indexed="64"/>
      </bottom>
      <diagonal/>
    </border>
    <border>
      <left style="medium">
        <color indexed="64"/>
      </left>
      <right style="medium">
        <color theme="0" tint="-0.499984740745262"/>
      </right>
      <top style="medium">
        <color theme="0" tint="-0.499984740745262"/>
      </top>
      <bottom/>
      <diagonal/>
    </border>
    <border>
      <left style="medium">
        <color indexed="64"/>
      </left>
      <right style="medium">
        <color theme="0" tint="-0.499984740745262"/>
      </right>
      <top/>
      <bottom/>
      <diagonal/>
    </border>
    <border>
      <left style="medium">
        <color indexed="64"/>
      </left>
      <right style="medium">
        <color theme="0" tint="-0.499984740745262"/>
      </right>
      <top/>
      <bottom style="medium">
        <color indexed="64"/>
      </bottom>
      <diagonal/>
    </border>
    <border>
      <left/>
      <right style="thin">
        <color indexed="64"/>
      </right>
      <top style="medium">
        <color theme="0"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top/>
      <bottom/>
      <diagonal/>
    </border>
    <border>
      <left/>
      <right/>
      <top style="thin">
        <color indexed="64"/>
      </top>
      <bottom/>
      <diagonal/>
    </border>
    <border>
      <left/>
      <right style="medium">
        <color indexed="64"/>
      </right>
      <top style="thin">
        <color indexed="64"/>
      </top>
      <bottom style="medium">
        <color indexed="64"/>
      </bottom>
      <diagonal/>
    </border>
  </borders>
  <cellStyleXfs count="64">
    <xf numFmtId="0" fontId="0" fillId="0" borderId="0"/>
    <xf numFmtId="164" fontId="1" fillId="0" borderId="0" applyFont="0" applyFill="0" applyBorder="0" applyAlignment="0" applyProtection="0"/>
    <xf numFmtId="0" fontId="2" fillId="0" borderId="0"/>
    <xf numFmtId="41"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493">
    <xf numFmtId="0" fontId="0" fillId="0" borderId="0" xfId="0"/>
    <xf numFmtId="0" fontId="3" fillId="0" borderId="0" xfId="0" applyFont="1"/>
    <xf numFmtId="0" fontId="3" fillId="3" borderId="0" xfId="0" applyFont="1" applyFill="1"/>
    <xf numFmtId="0" fontId="3" fillId="0" borderId="0" xfId="0" applyFont="1" applyAlignment="1">
      <alignment horizontal="justify" vertical="center" wrapText="1"/>
    </xf>
    <xf numFmtId="0" fontId="14" fillId="0" borderId="0" xfId="0" applyFont="1"/>
    <xf numFmtId="0" fontId="16" fillId="3" borderId="0" xfId="0" applyFont="1" applyFill="1"/>
    <xf numFmtId="0" fontId="17" fillId="0" borderId="0" xfId="0" applyFont="1"/>
    <xf numFmtId="0" fontId="18" fillId="0" borderId="0" xfId="0" applyFont="1"/>
    <xf numFmtId="0" fontId="19" fillId="0" borderId="0" xfId="0" applyFont="1"/>
    <xf numFmtId="0" fontId="18" fillId="0" borderId="0" xfId="0" applyFont="1" applyAlignment="1">
      <alignment vertical="center"/>
    </xf>
    <xf numFmtId="0" fontId="2" fillId="0" borderId="1" xfId="0" applyFont="1" applyFill="1" applyBorder="1" applyAlignment="1">
      <alignment horizontal="justify" vertical="center" wrapText="1"/>
    </xf>
    <xf numFmtId="0" fontId="3" fillId="0" borderId="2" xfId="0" applyFont="1" applyFill="1" applyBorder="1" applyAlignment="1">
      <alignment horizontal="center" vertical="center"/>
    </xf>
    <xf numFmtId="0" fontId="2" fillId="5" borderId="1" xfId="0" applyFont="1" applyFill="1" applyBorder="1" applyAlignment="1">
      <alignment horizontal="justify" vertical="center" wrapText="1"/>
    </xf>
    <xf numFmtId="0" fontId="3" fillId="5" borderId="2" xfId="0" applyFont="1" applyFill="1" applyBorder="1" applyAlignment="1">
      <alignment horizontal="center" vertical="center"/>
    </xf>
    <xf numFmtId="0" fontId="0" fillId="0" borderId="0" xfId="0" applyAlignment="1">
      <alignment wrapText="1"/>
    </xf>
    <xf numFmtId="0" fontId="2" fillId="15" borderId="35" xfId="0" applyFont="1" applyFill="1" applyBorder="1" applyAlignment="1">
      <alignment horizontal="justify" vertical="center" wrapText="1"/>
    </xf>
    <xf numFmtId="0" fontId="3" fillId="15" borderId="5"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18" borderId="1" xfId="0" applyFont="1" applyFill="1" applyBorder="1" applyAlignment="1">
      <alignment horizontal="justify" vertical="center" wrapText="1"/>
    </xf>
    <xf numFmtId="0" fontId="3" fillId="18" borderId="2" xfId="0" applyFont="1" applyFill="1" applyBorder="1" applyAlignment="1">
      <alignment horizontal="center" vertical="center"/>
    </xf>
    <xf numFmtId="0" fontId="2" fillId="0" borderId="2"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17" borderId="2" xfId="0" applyFont="1" applyFill="1" applyBorder="1" applyAlignment="1">
      <alignment horizontal="center" vertical="center" wrapText="1"/>
    </xf>
    <xf numFmtId="0" fontId="2" fillId="0" borderId="1" xfId="0" applyFont="1" applyFill="1" applyBorder="1" applyAlignment="1">
      <alignment horizontal="justify" vertical="center"/>
    </xf>
    <xf numFmtId="0" fontId="3" fillId="0" borderId="5" xfId="0" applyFont="1" applyFill="1" applyBorder="1" applyAlignment="1">
      <alignment horizontal="center" vertical="center" wrapText="1"/>
    </xf>
    <xf numFmtId="41" fontId="3" fillId="0" borderId="5" xfId="0" applyNumberFormat="1" applyFont="1" applyFill="1" applyBorder="1" applyAlignment="1">
      <alignment horizontal="center" vertical="center" wrapText="1"/>
    </xf>
    <xf numFmtId="41" fontId="3" fillId="0" borderId="43" xfId="0" applyNumberFormat="1" applyFont="1" applyFill="1" applyBorder="1" applyAlignment="1">
      <alignment horizontal="center" vertical="center" wrapText="1"/>
    </xf>
    <xf numFmtId="41" fontId="3" fillId="0" borderId="2" xfId="0" applyNumberFormat="1" applyFont="1" applyFill="1" applyBorder="1" applyAlignment="1">
      <alignment horizontal="center" vertical="center" wrapText="1"/>
    </xf>
    <xf numFmtId="0" fontId="2" fillId="0" borderId="1" xfId="2" applyFont="1" applyFill="1" applyBorder="1" applyAlignment="1">
      <alignment horizontal="justify" vertical="center"/>
    </xf>
    <xf numFmtId="0" fontId="2" fillId="0" borderId="2" xfId="0" applyFont="1" applyFill="1" applyBorder="1" applyAlignment="1">
      <alignment horizontal="center" vertical="center" wrapText="1"/>
    </xf>
    <xf numFmtId="41" fontId="3" fillId="0" borderId="2" xfId="0" applyNumberFormat="1" applyFont="1" applyFill="1" applyBorder="1" applyAlignment="1">
      <alignment horizontal="center" vertical="center"/>
    </xf>
    <xf numFmtId="41" fontId="0" fillId="0" borderId="0" xfId="0" applyNumberFormat="1"/>
    <xf numFmtId="0" fontId="0" fillId="0" borderId="0" xfId="0" applyAlignment="1"/>
    <xf numFmtId="0" fontId="2" fillId="0" borderId="2" xfId="0" applyFont="1" applyFill="1" applyBorder="1" applyAlignment="1">
      <alignment horizontal="center" vertical="center"/>
    </xf>
    <xf numFmtId="0" fontId="2" fillId="5" borderId="2" xfId="0" applyFont="1" applyFill="1" applyBorder="1" applyAlignment="1">
      <alignment horizontal="justify" vertical="center" wrapText="1"/>
    </xf>
    <xf numFmtId="0" fontId="2" fillId="5" borderId="2" xfId="0" applyFont="1" applyFill="1" applyBorder="1" applyAlignment="1">
      <alignment horizontal="center" vertical="center"/>
    </xf>
    <xf numFmtId="0" fontId="2" fillId="3" borderId="2" xfId="0" applyFont="1" applyFill="1" applyBorder="1" applyAlignment="1">
      <alignment horizontal="left" vertical="center" wrapText="1"/>
    </xf>
    <xf numFmtId="0" fontId="2" fillId="15" borderId="2" xfId="0" applyFont="1" applyFill="1" applyBorder="1" applyAlignment="1">
      <alignment horizontal="justify" vertical="center" wrapText="1"/>
    </xf>
    <xf numFmtId="0" fontId="2" fillId="15" borderId="2" xfId="0" applyFont="1" applyFill="1" applyBorder="1" applyAlignment="1">
      <alignment horizontal="center" vertical="center" wrapText="1"/>
    </xf>
    <xf numFmtId="0" fontId="2" fillId="15" borderId="2" xfId="0" applyFont="1" applyFill="1" applyBorder="1" applyAlignment="1">
      <alignment horizontal="center" vertical="center"/>
    </xf>
    <xf numFmtId="1" fontId="2" fillId="15" borderId="2"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0" fontId="0" fillId="15" borderId="2" xfId="0" applyFill="1" applyBorder="1" applyAlignment="1">
      <alignment horizontal="center" vertical="center"/>
    </xf>
    <xf numFmtId="0" fontId="0" fillId="0" borderId="2" xfId="0" applyFill="1" applyBorder="1" applyAlignment="1">
      <alignment horizontal="center" vertical="center"/>
    </xf>
    <xf numFmtId="0" fontId="2" fillId="20" borderId="1" xfId="0" applyFont="1" applyFill="1" applyBorder="1" applyAlignment="1">
      <alignment horizontal="justify" vertical="center" wrapText="1"/>
    </xf>
    <xf numFmtId="0" fontId="0" fillId="21" borderId="2" xfId="0" applyFill="1" applyBorder="1" applyAlignment="1">
      <alignment horizontal="center" vertical="center"/>
    </xf>
    <xf numFmtId="166" fontId="0" fillId="21" borderId="2" xfId="0" applyNumberFormat="1" applyFill="1" applyBorder="1" applyAlignment="1">
      <alignment horizontal="center" vertical="center"/>
    </xf>
    <xf numFmtId="0" fontId="2" fillId="22" borderId="1" xfId="0" applyFont="1" applyFill="1" applyBorder="1" applyAlignment="1">
      <alignment horizontal="justify" vertical="center" wrapText="1"/>
    </xf>
    <xf numFmtId="166" fontId="0" fillId="0" borderId="0" xfId="0" applyNumberFormat="1"/>
    <xf numFmtId="0" fontId="2" fillId="0" borderId="35" xfId="0" applyFont="1" applyFill="1" applyBorder="1" applyAlignment="1">
      <alignment horizontal="justify" vertical="center" wrapText="1"/>
    </xf>
    <xf numFmtId="0" fontId="2" fillId="23" borderId="2" xfId="0" applyFont="1" applyFill="1" applyBorder="1" applyAlignment="1">
      <alignment horizontal="justify" vertical="center" wrapText="1"/>
    </xf>
    <xf numFmtId="164" fontId="3" fillId="0" borderId="2" xfId="0" applyNumberFormat="1" applyFont="1" applyFill="1" applyBorder="1" applyAlignment="1">
      <alignment horizontal="center" vertical="center"/>
    </xf>
    <xf numFmtId="0" fontId="2" fillId="0" borderId="19"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7" fillId="0" borderId="1" xfId="0" applyFont="1" applyFill="1" applyBorder="1" applyAlignment="1">
      <alignment horizontal="justify" vertical="center" wrapText="1" readingOrder="1"/>
    </xf>
    <xf numFmtId="0" fontId="2" fillId="0" borderId="1" xfId="0" applyFont="1" applyFill="1" applyBorder="1" applyAlignment="1">
      <alignment horizontal="justify" vertical="center" wrapText="1" readingOrder="1"/>
    </xf>
    <xf numFmtId="41" fontId="2" fillId="0" borderId="2" xfId="3" applyFont="1" applyFill="1" applyBorder="1" applyAlignment="1">
      <alignment horizontal="center" vertical="center"/>
    </xf>
    <xf numFmtId="0" fontId="17" fillId="0" borderId="0" xfId="0" applyFont="1" applyAlignment="1">
      <alignment vertical="center" wrapText="1"/>
    </xf>
    <xf numFmtId="0" fontId="3" fillId="18" borderId="5" xfId="0" applyFont="1" applyFill="1" applyBorder="1" applyAlignment="1">
      <alignment horizontal="center" vertical="center"/>
    </xf>
    <xf numFmtId="168" fontId="0" fillId="0" borderId="0" xfId="0" applyNumberFormat="1"/>
    <xf numFmtId="167" fontId="0" fillId="0" borderId="0" xfId="0" applyNumberFormat="1"/>
    <xf numFmtId="167" fontId="0" fillId="0" borderId="0" xfId="6" applyNumberFormat="1" applyFont="1"/>
    <xf numFmtId="0" fontId="2" fillId="18" borderId="2" xfId="0" applyFont="1" applyFill="1" applyBorder="1" applyAlignment="1">
      <alignment horizontal="center" vertical="center"/>
    </xf>
    <xf numFmtId="0" fontId="3" fillId="0" borderId="0" xfId="0" applyFont="1" applyFill="1"/>
    <xf numFmtId="3" fontId="14" fillId="0" borderId="0" xfId="0" applyNumberFormat="1" applyFont="1"/>
    <xf numFmtId="0" fontId="2" fillId="0" borderId="1" xfId="0" applyFont="1" applyFill="1" applyBorder="1" applyAlignment="1">
      <alignment horizontal="left" vertical="center" wrapText="1"/>
    </xf>
    <xf numFmtId="41" fontId="3" fillId="0" borderId="18" xfId="3" applyFont="1" applyFill="1" applyBorder="1" applyAlignment="1">
      <alignment horizontal="center" vertical="center"/>
    </xf>
    <xf numFmtId="0" fontId="10" fillId="30" borderId="2" xfId="0" applyFont="1" applyFill="1" applyBorder="1" applyAlignment="1">
      <alignment horizontal="center" vertical="center" wrapText="1"/>
    </xf>
    <xf numFmtId="0" fontId="14" fillId="0" borderId="0" xfId="0" applyFont="1" applyBorder="1"/>
    <xf numFmtId="0" fontId="0" fillId="0" borderId="0" xfId="0" applyFill="1"/>
    <xf numFmtId="0" fontId="3" fillId="3"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7" fillId="3" borderId="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2" xfId="0" applyFont="1" applyFill="1" applyBorder="1" applyAlignment="1">
      <alignment horizontal="left" wrapText="1"/>
    </xf>
    <xf numFmtId="0" fontId="4" fillId="2" borderId="2" xfId="0" applyFont="1" applyFill="1" applyBorder="1" applyAlignment="1">
      <alignment horizontal="left" vertical="center" wrapText="1"/>
    </xf>
    <xf numFmtId="0" fontId="3" fillId="0" borderId="2" xfId="0" applyFont="1" applyBorder="1" applyAlignment="1">
      <alignment horizontal="left" wrapText="1"/>
    </xf>
    <xf numFmtId="0" fontId="4" fillId="0" borderId="2" xfId="0" applyFont="1" applyFill="1" applyBorder="1" applyAlignment="1">
      <alignment horizontal="left" wrapText="1"/>
    </xf>
    <xf numFmtId="0" fontId="7" fillId="0" borderId="2" xfId="0" applyFont="1" applyBorder="1" applyAlignment="1">
      <alignment horizontal="left" vertical="center" wrapText="1"/>
    </xf>
    <xf numFmtId="0" fontId="16" fillId="0" borderId="2" xfId="0" applyFont="1" applyBorder="1" applyAlignment="1">
      <alignment horizontal="left" vertical="center" wrapText="1"/>
    </xf>
    <xf numFmtId="0" fontId="16" fillId="0" borderId="2" xfId="0" applyFont="1" applyBorder="1" applyAlignment="1">
      <alignment horizontal="left" wrapText="1"/>
    </xf>
    <xf numFmtId="0" fontId="2" fillId="6" borderId="2"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10" fillId="3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2" xfId="0" applyFont="1" applyFill="1" applyBorder="1" applyAlignment="1">
      <alignment horizontal="justify" vertical="center" wrapText="1"/>
    </xf>
    <xf numFmtId="0" fontId="10" fillId="16" borderId="2" xfId="0" applyFont="1" applyFill="1" applyBorder="1" applyAlignment="1">
      <alignment horizontal="left" vertical="center" wrapText="1"/>
    </xf>
    <xf numFmtId="3" fontId="14" fillId="16" borderId="2" xfId="1" applyNumberFormat="1" applyFont="1" applyFill="1" applyBorder="1" applyAlignment="1">
      <alignment horizontal="right" vertical="center"/>
    </xf>
    <xf numFmtId="0" fontId="10" fillId="26" borderId="2" xfId="0" applyFont="1" applyFill="1" applyBorder="1" applyAlignment="1">
      <alignment horizontal="center" vertical="center" wrapText="1"/>
    </xf>
    <xf numFmtId="0" fontId="10" fillId="17" borderId="2" xfId="0" applyFont="1" applyFill="1" applyBorder="1" applyAlignment="1">
      <alignment horizontal="left" vertical="center" wrapText="1"/>
    </xf>
    <xf numFmtId="41" fontId="14" fillId="17" borderId="2" xfId="1" applyNumberFormat="1" applyFont="1" applyFill="1" applyBorder="1" applyAlignment="1">
      <alignment horizontal="center" vertical="center"/>
    </xf>
    <xf numFmtId="3" fontId="27" fillId="17" borderId="2" xfId="1" applyNumberFormat="1" applyFont="1" applyFill="1" applyBorder="1" applyAlignment="1">
      <alignment horizontal="right" vertical="center"/>
    </xf>
    <xf numFmtId="0" fontId="27" fillId="17" borderId="2" xfId="0" applyFont="1" applyFill="1" applyBorder="1" applyAlignment="1">
      <alignment horizontal="left" vertical="center" wrapText="1"/>
    </xf>
    <xf numFmtId="3" fontId="14" fillId="17" borderId="2" xfId="1" applyNumberFormat="1" applyFont="1" applyFill="1" applyBorder="1" applyAlignment="1">
      <alignment horizontal="right" vertical="center"/>
    </xf>
    <xf numFmtId="164" fontId="8" fillId="13" borderId="2" xfId="0" applyNumberFormat="1" applyFont="1" applyFill="1" applyBorder="1" applyAlignment="1">
      <alignment vertical="center"/>
    </xf>
    <xf numFmtId="0" fontId="13" fillId="10" borderId="24"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3" fillId="10" borderId="26" xfId="0" applyFont="1" applyFill="1" applyBorder="1" applyAlignment="1">
      <alignment horizontal="center" vertical="center" wrapText="1"/>
    </xf>
    <xf numFmtId="0" fontId="10" fillId="30" borderId="1" xfId="0" applyFont="1" applyFill="1" applyBorder="1" applyAlignment="1">
      <alignment horizontal="center" vertical="center" wrapText="1"/>
    </xf>
    <xf numFmtId="167" fontId="15" fillId="13" borderId="20" xfId="0" applyNumberFormat="1" applyFont="1" applyFill="1" applyBorder="1" applyAlignment="1">
      <alignment vertical="center" wrapText="1"/>
    </xf>
    <xf numFmtId="0" fontId="10" fillId="30" borderId="2" xfId="0" applyFont="1" applyFill="1" applyBorder="1" applyAlignment="1">
      <alignment vertical="center" wrapText="1"/>
    </xf>
    <xf numFmtId="0" fontId="10" fillId="16" borderId="18" xfId="0" applyFont="1" applyFill="1" applyBorder="1" applyAlignment="1">
      <alignment horizontal="center" vertical="center" wrapText="1"/>
    </xf>
    <xf numFmtId="0" fontId="0" fillId="25" borderId="49" xfId="0" applyFill="1" applyBorder="1"/>
    <xf numFmtId="0" fontId="0" fillId="25" borderId="48" xfId="0" applyFill="1" applyBorder="1"/>
    <xf numFmtId="0" fontId="34" fillId="16" borderId="18" xfId="0" applyFont="1" applyFill="1" applyBorder="1" applyAlignment="1">
      <alignment horizontal="center" vertical="center" wrapText="1"/>
    </xf>
    <xf numFmtId="0" fontId="34" fillId="30" borderId="18" xfId="0" applyFont="1" applyFill="1" applyBorder="1" applyAlignment="1">
      <alignment horizontal="center" vertical="center" wrapText="1"/>
    </xf>
    <xf numFmtId="0" fontId="18" fillId="25" borderId="21" xfId="0" applyFont="1" applyFill="1" applyBorder="1" applyAlignment="1">
      <alignment horizontal="center"/>
    </xf>
    <xf numFmtId="0" fontId="10" fillId="16" borderId="1" xfId="0" applyFont="1" applyFill="1" applyBorder="1" applyAlignment="1">
      <alignment horizontal="center" vertical="center" wrapText="1"/>
    </xf>
    <xf numFmtId="0" fontId="10" fillId="16" borderId="2" xfId="0" applyFont="1" applyFill="1" applyBorder="1" applyAlignment="1">
      <alignment vertical="center" wrapText="1"/>
    </xf>
    <xf numFmtId="0" fontId="15" fillId="13" borderId="21" xfId="0" applyFont="1" applyFill="1" applyBorder="1" applyAlignment="1">
      <alignment horizontal="center" vertical="center" wrapText="1"/>
    </xf>
    <xf numFmtId="0" fontId="10" fillId="26" borderId="2" xfId="0" applyFont="1" applyFill="1" applyBorder="1" applyAlignment="1">
      <alignment horizontal="justify" vertical="center" wrapText="1"/>
    </xf>
    <xf numFmtId="167" fontId="10" fillId="26" borderId="2" xfId="6" applyNumberFormat="1" applyFont="1" applyFill="1" applyBorder="1" applyAlignment="1">
      <alignment horizontal="justify" vertical="center" wrapText="1"/>
    </xf>
    <xf numFmtId="0" fontId="10" fillId="26" borderId="18" xfId="0" applyFont="1" applyFill="1" applyBorder="1" applyAlignment="1">
      <alignment horizontal="center" vertical="center" wrapText="1"/>
    </xf>
    <xf numFmtId="167" fontId="10" fillId="16" borderId="2" xfId="6" applyNumberFormat="1" applyFont="1" applyFill="1" applyBorder="1" applyAlignment="1">
      <alignment horizontal="justify" vertical="center" wrapText="1"/>
    </xf>
    <xf numFmtId="166" fontId="0" fillId="21" borderId="18" xfId="0" applyNumberFormat="1" applyFill="1" applyBorder="1" applyAlignment="1">
      <alignment horizontal="center" vertical="center"/>
    </xf>
    <xf numFmtId="0" fontId="32" fillId="0" borderId="0" xfId="0" applyFont="1" applyAlignment="1">
      <alignment vertical="center"/>
    </xf>
    <xf numFmtId="166" fontId="0" fillId="0" borderId="0" xfId="0" applyNumberFormat="1" applyAlignment="1">
      <alignment horizontal="right" vertical="center"/>
    </xf>
    <xf numFmtId="0" fontId="24" fillId="0" borderId="2" xfId="0" applyFont="1" applyFill="1" applyBorder="1" applyAlignment="1">
      <alignment horizontal="center" vertical="center" wrapText="1"/>
    </xf>
    <xf numFmtId="0" fontId="3" fillId="0" borderId="5" xfId="0" applyFont="1" applyFill="1" applyBorder="1" applyAlignment="1">
      <alignment horizontal="center" vertical="center"/>
    </xf>
    <xf numFmtId="3" fontId="0" fillId="0" borderId="43" xfId="0" applyNumberFormat="1" applyFill="1" applyBorder="1" applyAlignment="1">
      <alignment vertical="center"/>
    </xf>
    <xf numFmtId="0" fontId="3" fillId="15" borderId="2" xfId="0" applyFont="1" applyFill="1" applyBorder="1" applyAlignment="1">
      <alignment horizontal="center" vertical="center"/>
    </xf>
    <xf numFmtId="41" fontId="3" fillId="0" borderId="18" xfId="0" applyNumberFormat="1" applyFont="1" applyFill="1" applyBorder="1" applyAlignment="1">
      <alignment horizontal="center" vertical="center" wrapText="1"/>
    </xf>
    <xf numFmtId="0" fontId="2" fillId="0" borderId="19" xfId="2" applyFont="1" applyFill="1" applyBorder="1" applyAlignment="1">
      <alignment horizontal="justify" vertical="center"/>
    </xf>
    <xf numFmtId="0" fontId="3" fillId="0" borderId="20" xfId="0" applyFont="1" applyFill="1" applyBorder="1" applyAlignment="1">
      <alignment horizontal="center" vertical="center" wrapText="1"/>
    </xf>
    <xf numFmtId="41" fontId="3" fillId="0" borderId="20" xfId="0" applyNumberFormat="1" applyFont="1" applyFill="1" applyBorder="1" applyAlignment="1">
      <alignment horizontal="center" vertical="center" wrapText="1"/>
    </xf>
    <xf numFmtId="41" fontId="3" fillId="0" borderId="42" xfId="0" applyNumberFormat="1" applyFont="1" applyFill="1" applyBorder="1" applyAlignment="1">
      <alignment horizontal="center" vertical="center" wrapText="1"/>
    </xf>
    <xf numFmtId="164" fontId="0" fillId="0" borderId="0" xfId="0" applyNumberFormat="1"/>
    <xf numFmtId="166" fontId="17" fillId="0" borderId="0" xfId="0" applyNumberFormat="1" applyFont="1"/>
    <xf numFmtId="0" fontId="0" fillId="0" borderId="20" xfId="0" applyBorder="1"/>
    <xf numFmtId="0" fontId="8" fillId="26" borderId="2" xfId="0" applyFont="1" applyFill="1" applyBorder="1" applyAlignment="1">
      <alignment horizontal="center" vertical="center"/>
    </xf>
    <xf numFmtId="0" fontId="37" fillId="0" borderId="0" xfId="0" applyFont="1"/>
    <xf numFmtId="0" fontId="0" fillId="0" borderId="0" xfId="0" applyAlignment="1">
      <alignment horizontal="center"/>
    </xf>
    <xf numFmtId="0" fontId="4" fillId="18" borderId="24" xfId="0" applyFont="1" applyFill="1" applyBorder="1" applyAlignment="1">
      <alignment horizontal="justify" vertical="center" wrapText="1"/>
    </xf>
    <xf numFmtId="0" fontId="0" fillId="0" borderId="19" xfId="0" applyBorder="1" applyAlignment="1">
      <alignment wrapText="1"/>
    </xf>
    <xf numFmtId="41" fontId="18" fillId="7" borderId="5" xfId="0" applyNumberFormat="1" applyFont="1" applyFill="1" applyBorder="1"/>
    <xf numFmtId="0" fontId="4" fillId="18" borderId="26" xfId="0" applyFont="1" applyFill="1" applyBorder="1" applyAlignment="1">
      <alignment horizontal="center" vertical="center" wrapText="1"/>
    </xf>
    <xf numFmtId="3" fontId="14" fillId="16" borderId="2" xfId="1" applyNumberFormat="1" applyFont="1" applyFill="1" applyBorder="1" applyAlignment="1">
      <alignment horizontal="center" vertical="center"/>
    </xf>
    <xf numFmtId="41" fontId="14" fillId="17" borderId="2" xfId="1" applyNumberFormat="1" applyFont="1" applyFill="1" applyBorder="1" applyAlignment="1">
      <alignment horizontal="center" vertical="center" wrapText="1"/>
    </xf>
    <xf numFmtId="0" fontId="10" fillId="32" borderId="2" xfId="0" applyFont="1" applyFill="1" applyBorder="1" applyAlignment="1">
      <alignment horizontal="center" vertical="center" wrapText="1"/>
    </xf>
    <xf numFmtId="0" fontId="10" fillId="32" borderId="2" xfId="0" applyFont="1" applyFill="1" applyBorder="1" applyAlignment="1">
      <alignment horizontal="left" vertical="center" wrapText="1"/>
    </xf>
    <xf numFmtId="3" fontId="14" fillId="32" borderId="2" xfId="1" applyNumberFormat="1" applyFont="1" applyFill="1" applyBorder="1" applyAlignment="1">
      <alignment horizontal="right" vertical="center"/>
    </xf>
    <xf numFmtId="41" fontId="14" fillId="32" borderId="2" xfId="1" applyNumberFormat="1" applyFont="1" applyFill="1" applyBorder="1" applyAlignment="1">
      <alignment horizontal="center" vertical="center"/>
    </xf>
    <xf numFmtId="3" fontId="14" fillId="16" borderId="2" xfId="1" applyNumberFormat="1" applyFont="1" applyFill="1" applyBorder="1" applyAlignment="1">
      <alignment horizontal="center" vertical="center" wrapText="1"/>
    </xf>
    <xf numFmtId="3" fontId="24" fillId="0" borderId="18" xfId="0" applyNumberFormat="1" applyFont="1" applyFill="1" applyBorder="1" applyAlignment="1">
      <alignment horizontal="right" vertical="center" wrapText="1"/>
    </xf>
    <xf numFmtId="0" fontId="3" fillId="5" borderId="2" xfId="0" applyFont="1" applyFill="1" applyBorder="1" applyAlignment="1">
      <alignment horizontal="justify" vertical="center" wrapText="1"/>
    </xf>
    <xf numFmtId="0" fontId="3" fillId="5" borderId="2" xfId="0" applyFont="1" applyFill="1" applyBorder="1" applyAlignment="1">
      <alignment horizontal="center" vertical="center" wrapText="1"/>
    </xf>
    <xf numFmtId="0" fontId="2" fillId="5" borderId="2" xfId="2" applyFont="1" applyFill="1" applyBorder="1" applyAlignment="1">
      <alignment horizontal="justify" vertical="center" wrapText="1"/>
    </xf>
    <xf numFmtId="0" fontId="21" fillId="5" borderId="2" xfId="0" applyFont="1" applyFill="1" applyBorder="1" applyAlignment="1">
      <alignment horizontal="justify" vertical="center" wrapText="1"/>
    </xf>
    <xf numFmtId="0" fontId="22" fillId="5" borderId="2"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2" fillId="15" borderId="1" xfId="0" applyFont="1" applyFill="1" applyBorder="1" applyAlignment="1">
      <alignment vertical="center" wrapText="1"/>
    </xf>
    <xf numFmtId="0" fontId="2" fillId="5" borderId="1" xfId="2" applyFont="1" applyFill="1" applyBorder="1" applyAlignment="1">
      <alignment horizontal="justify" vertical="center" wrapText="1"/>
    </xf>
    <xf numFmtId="9" fontId="3" fillId="5" borderId="2" xfId="5" applyFont="1" applyFill="1" applyBorder="1" applyAlignment="1">
      <alignment horizontal="center" vertical="center" wrapText="1"/>
    </xf>
    <xf numFmtId="0" fontId="2" fillId="15" borderId="1" xfId="2" applyFont="1" applyFill="1" applyBorder="1" applyAlignment="1">
      <alignment horizontal="justify" vertical="center" wrapText="1"/>
    </xf>
    <xf numFmtId="0" fontId="3" fillId="15" borderId="2" xfId="0" applyFont="1" applyFill="1" applyBorder="1" applyAlignment="1">
      <alignment horizontal="center" vertical="center" wrapText="1"/>
    </xf>
    <xf numFmtId="9" fontId="3" fillId="15" borderId="2" xfId="5" applyFont="1" applyFill="1" applyBorder="1" applyAlignment="1">
      <alignment horizontal="center" vertical="center" wrapText="1"/>
    </xf>
    <xf numFmtId="0" fontId="2" fillId="34" borderId="2" xfId="0" applyFont="1" applyFill="1" applyBorder="1" applyAlignment="1">
      <alignment horizontal="justify" vertical="center" wrapText="1"/>
    </xf>
    <xf numFmtId="0" fontId="2" fillId="34" borderId="1" xfId="0" applyFont="1" applyFill="1" applyBorder="1" applyAlignment="1">
      <alignment horizontal="justify" vertical="center" wrapText="1"/>
    </xf>
    <xf numFmtId="0" fontId="2" fillId="34" borderId="5" xfId="0" applyFont="1" applyFill="1" applyBorder="1" applyAlignment="1">
      <alignment horizontal="justify" vertical="center" wrapText="1"/>
    </xf>
    <xf numFmtId="0" fontId="2" fillId="18" borderId="2" xfId="0" applyFont="1" applyFill="1" applyBorder="1" applyAlignment="1">
      <alignment horizontal="justify" vertical="center" wrapText="1"/>
    </xf>
    <xf numFmtId="0" fontId="2" fillId="18" borderId="35" xfId="2" applyFont="1" applyFill="1" applyBorder="1" applyAlignment="1">
      <alignment horizontal="justify" vertical="center" wrapText="1"/>
    </xf>
    <xf numFmtId="0" fontId="2" fillId="18" borderId="1" xfId="2" applyFont="1" applyFill="1" applyBorder="1" applyAlignment="1">
      <alignment horizontal="justify" vertical="center" wrapText="1"/>
    </xf>
    <xf numFmtId="0" fontId="2" fillId="27" borderId="1" xfId="0" applyFont="1" applyFill="1" applyBorder="1" applyAlignment="1">
      <alignment horizontal="justify" vertical="center" wrapText="1"/>
    </xf>
    <xf numFmtId="0" fontId="3" fillId="33" borderId="20" xfId="0" applyFont="1" applyFill="1" applyBorder="1" applyAlignment="1">
      <alignment horizontal="center" vertical="center"/>
    </xf>
    <xf numFmtId="0" fontId="2" fillId="16" borderId="2" xfId="0" applyFont="1" applyFill="1" applyBorder="1" applyAlignment="1">
      <alignment horizontal="center" vertical="center"/>
    </xf>
    <xf numFmtId="0" fontId="2" fillId="16" borderId="1" xfId="0" applyFont="1" applyFill="1" applyBorder="1" applyAlignment="1">
      <alignment horizontal="justify" vertical="center" wrapText="1"/>
    </xf>
    <xf numFmtId="0" fontId="3" fillId="16" borderId="3" xfId="0" applyFont="1" applyFill="1" applyBorder="1" applyAlignment="1">
      <alignment horizontal="center" vertical="center" wrapText="1"/>
    </xf>
    <xf numFmtId="0" fontId="2" fillId="16" borderId="2" xfId="0" applyFont="1" applyFill="1" applyBorder="1" applyAlignment="1">
      <alignment horizontal="justify" vertical="center" wrapText="1"/>
    </xf>
    <xf numFmtId="0" fontId="2" fillId="33" borderId="19" xfId="0" applyFont="1" applyFill="1" applyBorder="1" applyAlignment="1">
      <alignment horizontal="justify" vertical="center" wrapText="1"/>
    </xf>
    <xf numFmtId="0" fontId="2" fillId="33" borderId="20" xfId="0" applyFont="1" applyFill="1" applyBorder="1" applyAlignment="1">
      <alignment horizontal="justify" vertical="center" wrapText="1"/>
    </xf>
    <xf numFmtId="0" fontId="2" fillId="16" borderId="2" xfId="0" applyFont="1" applyFill="1" applyBorder="1" applyAlignment="1">
      <alignment horizontal="center" vertical="center" wrapText="1"/>
    </xf>
    <xf numFmtId="0" fontId="3" fillId="0" borderId="2" xfId="0" applyFont="1" applyBorder="1"/>
    <xf numFmtId="0" fontId="3" fillId="0" borderId="2" xfId="0" applyFont="1" applyBorder="1" applyAlignment="1">
      <alignment horizontal="center"/>
    </xf>
    <xf numFmtId="0" fontId="2" fillId="33" borderId="20"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right"/>
    </xf>
    <xf numFmtId="0" fontId="3" fillId="0" borderId="0" xfId="0" applyFont="1" applyAlignment="1">
      <alignment horizontal="right"/>
    </xf>
    <xf numFmtId="0" fontId="2" fillId="16" borderId="18" xfId="0" applyFont="1" applyFill="1" applyBorder="1" applyAlignment="1">
      <alignment horizontal="center" vertical="center" wrapText="1"/>
    </xf>
    <xf numFmtId="0" fontId="0" fillId="0" borderId="0" xfId="0" applyFont="1" applyAlignment="1">
      <alignment horizontal="center" vertical="center"/>
    </xf>
    <xf numFmtId="0" fontId="2" fillId="15" borderId="1" xfId="0" applyFont="1" applyFill="1" applyBorder="1" applyAlignment="1">
      <alignment horizontal="justify" vertical="center"/>
    </xf>
    <xf numFmtId="0" fontId="1" fillId="0" borderId="0" xfId="0" applyFont="1"/>
    <xf numFmtId="0" fontId="0" fillId="0" borderId="0" xfId="0" applyBorder="1"/>
    <xf numFmtId="0" fontId="24" fillId="15" borderId="11" xfId="0" applyFont="1" applyFill="1" applyBorder="1" applyAlignment="1">
      <alignment horizontal="justify" vertical="center" wrapText="1"/>
    </xf>
    <xf numFmtId="0" fontId="24" fillId="5" borderId="11" xfId="0" applyFont="1" applyFill="1" applyBorder="1" applyAlignment="1">
      <alignment horizontal="justify" vertical="center" wrapText="1"/>
    </xf>
    <xf numFmtId="166" fontId="0" fillId="0" borderId="18" xfId="0" applyNumberFormat="1" applyBorder="1" applyAlignment="1">
      <alignment horizontal="center" vertical="center"/>
    </xf>
    <xf numFmtId="166" fontId="0" fillId="0" borderId="0" xfId="0" applyNumberFormat="1" applyAlignment="1">
      <alignment horizontal="center"/>
    </xf>
    <xf numFmtId="0" fontId="2" fillId="15" borderId="11" xfId="0" applyFont="1" applyFill="1" applyBorder="1" applyAlignment="1">
      <alignment horizontal="justify" vertical="center" wrapText="1"/>
    </xf>
    <xf numFmtId="0" fontId="24" fillId="18" borderId="11" xfId="0" applyFont="1" applyFill="1" applyBorder="1" applyAlignment="1">
      <alignment horizontal="justify" vertical="center" wrapText="1"/>
    </xf>
    <xf numFmtId="0" fontId="3" fillId="0" borderId="20" xfId="0" applyFont="1" applyFill="1" applyBorder="1" applyAlignment="1">
      <alignment horizontal="center" vertical="center"/>
    </xf>
    <xf numFmtId="41" fontId="3" fillId="0" borderId="20" xfId="1" applyNumberFormat="1" applyFont="1" applyFill="1" applyBorder="1" applyAlignment="1">
      <alignment vertical="center"/>
    </xf>
    <xf numFmtId="3" fontId="0" fillId="0" borderId="21" xfId="0" applyNumberFormat="1" applyFill="1" applyBorder="1" applyAlignment="1">
      <alignment vertical="center"/>
    </xf>
    <xf numFmtId="0" fontId="2" fillId="15" borderId="11" xfId="0" applyFont="1" applyFill="1" applyBorder="1" applyAlignment="1">
      <alignment horizontal="justify" vertical="center"/>
    </xf>
    <xf numFmtId="0" fontId="2" fillId="18" borderId="11" xfId="0" applyFont="1" applyFill="1" applyBorder="1" applyAlignment="1">
      <alignment horizontal="justify" vertical="center" wrapText="1"/>
    </xf>
    <xf numFmtId="0" fontId="7" fillId="0" borderId="19" xfId="0" applyFont="1" applyFill="1" applyBorder="1" applyAlignment="1">
      <alignment horizontal="justify" vertical="center" wrapText="1" readingOrder="1"/>
    </xf>
    <xf numFmtId="164" fontId="3" fillId="0" borderId="20" xfId="0" applyNumberFormat="1" applyFont="1" applyFill="1" applyBorder="1" applyAlignment="1">
      <alignment horizontal="center" vertical="center"/>
    </xf>
    <xf numFmtId="41" fontId="3" fillId="0" borderId="21" xfId="3" applyFont="1" applyFill="1" applyBorder="1" applyAlignment="1">
      <alignment horizontal="center" vertical="center"/>
    </xf>
    <xf numFmtId="0" fontId="2" fillId="18" borderId="11" xfId="2" applyFont="1" applyFill="1" applyBorder="1" applyAlignment="1">
      <alignment horizontal="justify" vertical="center"/>
    </xf>
    <xf numFmtId="0" fontId="2" fillId="17" borderId="11" xfId="2" applyFont="1" applyFill="1" applyBorder="1" applyAlignment="1">
      <alignment horizontal="justify" vertical="center"/>
    </xf>
    <xf numFmtId="0" fontId="2" fillId="17" borderId="11" xfId="0" applyFont="1" applyFill="1" applyBorder="1" applyAlignment="1">
      <alignment horizontal="justify" vertical="center"/>
    </xf>
    <xf numFmtId="0" fontId="2" fillId="24" borderId="11" xfId="0" applyFont="1" applyFill="1" applyBorder="1" applyAlignment="1">
      <alignment horizontal="justify" vertical="center"/>
    </xf>
    <xf numFmtId="0" fontId="2" fillId="18" borderId="11" xfId="0" applyFont="1" applyFill="1" applyBorder="1" applyAlignment="1">
      <alignment horizontal="justify" vertical="center"/>
    </xf>
    <xf numFmtId="0" fontId="2" fillId="19" borderId="12" xfId="0" applyFont="1" applyFill="1" applyBorder="1" applyAlignment="1">
      <alignment horizontal="justify" vertical="center" wrapText="1"/>
    </xf>
    <xf numFmtId="0" fontId="2" fillId="20" borderId="12" xfId="0" applyFont="1" applyFill="1" applyBorder="1" applyAlignment="1">
      <alignment horizontal="justify" vertical="center" wrapText="1"/>
    </xf>
    <xf numFmtId="0" fontId="3" fillId="0" borderId="6" xfId="0" applyFont="1" applyFill="1" applyBorder="1" applyAlignment="1">
      <alignment horizontal="justify" vertical="center" wrapText="1"/>
    </xf>
    <xf numFmtId="3" fontId="2" fillId="0" borderId="3" xfId="0" applyNumberFormat="1" applyFont="1" applyFill="1" applyBorder="1" applyAlignment="1">
      <alignment horizontal="center" vertical="center" wrapText="1"/>
    </xf>
    <xf numFmtId="166" fontId="0" fillId="0" borderId="3" xfId="0" applyNumberFormat="1" applyFill="1" applyBorder="1" applyAlignment="1">
      <alignment horizontal="center" vertical="center"/>
    </xf>
    <xf numFmtId="166" fontId="0" fillId="0" borderId="45" xfId="0" applyNumberFormat="1" applyBorder="1" applyAlignment="1">
      <alignment horizontal="center" vertical="center"/>
    </xf>
    <xf numFmtId="0" fontId="2" fillId="5" borderId="11" xfId="0" applyFont="1" applyFill="1" applyBorder="1" applyAlignment="1">
      <alignment horizontal="justify" vertical="center"/>
    </xf>
    <xf numFmtId="0" fontId="3" fillId="18" borderId="11" xfId="0" applyFont="1" applyFill="1" applyBorder="1" applyAlignment="1">
      <alignment horizontal="justify" vertical="center"/>
    </xf>
    <xf numFmtId="0" fontId="3" fillId="17" borderId="11" xfId="2" applyFont="1" applyFill="1" applyBorder="1" applyAlignment="1">
      <alignment horizontal="justify" vertical="center"/>
    </xf>
    <xf numFmtId="0" fontId="10" fillId="16" borderId="2" xfId="0" applyFont="1" applyFill="1" applyBorder="1" applyAlignment="1">
      <alignment horizontal="left" vertical="center" wrapText="1"/>
    </xf>
    <xf numFmtId="0" fontId="10" fillId="16" borderId="2" xfId="0" applyFont="1" applyFill="1" applyBorder="1" applyAlignment="1">
      <alignment horizontal="center" vertical="center" wrapText="1"/>
    </xf>
    <xf numFmtId="0" fontId="34" fillId="16" borderId="2" xfId="0" applyFont="1" applyFill="1" applyBorder="1" applyAlignment="1">
      <alignment horizontal="left" vertical="center" wrapText="1"/>
    </xf>
    <xf numFmtId="0" fontId="10" fillId="17" borderId="2" xfId="0" applyFont="1" applyFill="1" applyBorder="1" applyAlignment="1">
      <alignment horizontal="center" vertical="center" wrapText="1"/>
    </xf>
    <xf numFmtId="0" fontId="34" fillId="17" borderId="2" xfId="0" applyFont="1" applyFill="1" applyBorder="1" applyAlignment="1">
      <alignment horizontal="left" vertical="center" wrapText="1"/>
    </xf>
    <xf numFmtId="0" fontId="0" fillId="0" borderId="0" xfId="0" applyAlignment="1">
      <alignment horizontal="center"/>
    </xf>
    <xf numFmtId="0" fontId="20" fillId="14" borderId="5" xfId="0" applyFont="1" applyFill="1" applyBorder="1" applyAlignment="1">
      <alignment horizontal="center" vertical="center" wrapText="1"/>
    </xf>
    <xf numFmtId="0" fontId="20" fillId="14" borderId="37" xfId="0" applyFont="1" applyFill="1" applyBorder="1" applyAlignment="1">
      <alignment horizontal="center" vertical="center" wrapText="1"/>
    </xf>
    <xf numFmtId="0" fontId="20" fillId="14" borderId="17"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4" fillId="14" borderId="38" xfId="0" applyFont="1" applyFill="1" applyBorder="1" applyAlignment="1">
      <alignment horizontal="center" vertical="center" wrapText="1"/>
    </xf>
    <xf numFmtId="0" fontId="4" fillId="18" borderId="5" xfId="0" applyFont="1" applyFill="1" applyBorder="1" applyAlignment="1">
      <alignment horizontal="center" vertical="center" wrapText="1"/>
    </xf>
    <xf numFmtId="0" fontId="4" fillId="14" borderId="37" xfId="0" applyFont="1" applyFill="1" applyBorder="1" applyAlignment="1">
      <alignment horizontal="center" vertical="center"/>
    </xf>
    <xf numFmtId="0" fontId="23" fillId="0" borderId="1" xfId="0" applyFont="1" applyFill="1" applyBorder="1" applyAlignment="1">
      <alignment horizontal="justify" vertical="center" wrapText="1"/>
    </xf>
    <xf numFmtId="0" fontId="24" fillId="0" borderId="1" xfId="0" applyFont="1" applyFill="1" applyBorder="1" applyAlignment="1">
      <alignment horizontal="justify" vertical="center" wrapText="1"/>
    </xf>
    <xf numFmtId="0" fontId="3" fillId="0" borderId="2" xfId="0" applyNumberFormat="1" applyFont="1" applyFill="1" applyBorder="1" applyAlignment="1">
      <alignment horizontal="center" vertical="center"/>
    </xf>
    <xf numFmtId="168" fontId="3" fillId="0" borderId="2" xfId="0" applyNumberFormat="1" applyFont="1" applyFill="1" applyBorder="1" applyAlignment="1">
      <alignment vertical="center"/>
    </xf>
    <xf numFmtId="168" fontId="3" fillId="0" borderId="18" xfId="0" applyNumberFormat="1" applyFont="1" applyFill="1" applyBorder="1" applyAlignment="1">
      <alignment vertical="center"/>
    </xf>
    <xf numFmtId="169" fontId="0" fillId="0" borderId="0" xfId="5" applyNumberFormat="1" applyFont="1"/>
    <xf numFmtId="0" fontId="0" fillId="0" borderId="56" xfId="0" applyBorder="1" applyAlignment="1">
      <alignment horizontal="center"/>
    </xf>
    <xf numFmtId="0" fontId="0" fillId="0" borderId="57" xfId="0" applyBorder="1" applyAlignment="1">
      <alignment horizontal="center"/>
    </xf>
    <xf numFmtId="167" fontId="0" fillId="0" borderId="57" xfId="6" applyNumberFormat="1" applyFont="1" applyBorder="1"/>
    <xf numFmtId="169" fontId="0" fillId="0" borderId="58" xfId="5" applyNumberFormat="1" applyFont="1" applyBorder="1"/>
    <xf numFmtId="0" fontId="0" fillId="0" borderId="57" xfId="0" applyBorder="1"/>
    <xf numFmtId="0" fontId="0" fillId="0" borderId="60" xfId="0" applyBorder="1" applyAlignment="1">
      <alignment horizontal="center"/>
    </xf>
    <xf numFmtId="167" fontId="0" fillId="0" borderId="60" xfId="6" applyNumberFormat="1" applyFont="1" applyBorder="1"/>
    <xf numFmtId="169" fontId="0" fillId="0" borderId="61" xfId="5" applyNumberFormat="1" applyFont="1" applyBorder="1"/>
    <xf numFmtId="0" fontId="0" fillId="0" borderId="62" xfId="0" applyBorder="1" applyAlignment="1">
      <alignment horizontal="center"/>
    </xf>
    <xf numFmtId="0" fontId="0" fillId="0" borderId="63" xfId="0" applyBorder="1" applyAlignment="1">
      <alignment horizontal="center"/>
    </xf>
    <xf numFmtId="167" fontId="0" fillId="0" borderId="63" xfId="6" applyNumberFormat="1" applyFont="1" applyBorder="1"/>
    <xf numFmtId="169" fontId="0" fillId="0" borderId="64" xfId="5" applyNumberFormat="1" applyFont="1" applyBorder="1"/>
    <xf numFmtId="0" fontId="0" fillId="0" borderId="65" xfId="0" applyBorder="1" applyAlignment="1">
      <alignment horizontal="center"/>
    </xf>
    <xf numFmtId="0" fontId="18" fillId="0" borderId="66" xfId="0" applyFont="1" applyBorder="1" applyAlignment="1">
      <alignment horizontal="center"/>
    </xf>
    <xf numFmtId="0" fontId="18" fillId="0" borderId="67" xfId="0" applyFont="1" applyBorder="1" applyAlignment="1">
      <alignment horizontal="center"/>
    </xf>
    <xf numFmtId="0" fontId="0" fillId="0" borderId="68" xfId="0" applyBorder="1"/>
    <xf numFmtId="0" fontId="0" fillId="0" borderId="69" xfId="0" applyBorder="1"/>
    <xf numFmtId="0" fontId="0" fillId="0" borderId="69" xfId="0" applyBorder="1" applyAlignment="1">
      <alignment horizontal="center"/>
    </xf>
    <xf numFmtId="167" fontId="0" fillId="0" borderId="69" xfId="6" applyNumberFormat="1" applyFont="1" applyBorder="1"/>
    <xf numFmtId="169" fontId="0" fillId="0" borderId="70" xfId="5" applyNumberFormat="1" applyFont="1" applyBorder="1"/>
    <xf numFmtId="0" fontId="0" fillId="0" borderId="59" xfId="0" applyBorder="1" applyAlignment="1">
      <alignment horizontal="center"/>
    </xf>
    <xf numFmtId="0" fontId="8" fillId="26" borderId="3" xfId="0" applyFont="1" applyFill="1" applyBorder="1" applyAlignment="1">
      <alignment vertical="center"/>
    </xf>
    <xf numFmtId="0" fontId="8" fillId="26" borderId="5" xfId="0" applyFont="1" applyFill="1" applyBorder="1" applyAlignment="1">
      <alignment vertical="center"/>
    </xf>
    <xf numFmtId="167" fontId="14" fillId="35" borderId="5" xfId="6" applyNumberFormat="1" applyFont="1" applyFill="1" applyBorder="1"/>
    <xf numFmtId="10" fontId="14" fillId="0" borderId="0" xfId="5" applyNumberFormat="1" applyFont="1"/>
    <xf numFmtId="0" fontId="24" fillId="0" borderId="20" xfId="0" applyFont="1" applyFill="1" applyBorder="1" applyAlignment="1">
      <alignment horizontal="center" vertical="center" wrapText="1"/>
    </xf>
    <xf numFmtId="3" fontId="24" fillId="0" borderId="21" xfId="0" applyNumberFormat="1" applyFont="1" applyFill="1" applyBorder="1" applyAlignment="1">
      <alignment horizontal="right" vertical="center" wrapText="1"/>
    </xf>
    <xf numFmtId="0" fontId="2" fillId="16" borderId="4" xfId="0" applyFont="1" applyFill="1" applyBorder="1" applyAlignment="1">
      <alignment horizontal="justify" vertical="center" wrapText="1"/>
    </xf>
    <xf numFmtId="164" fontId="2" fillId="16" borderId="18" xfId="1" applyFont="1" applyFill="1" applyBorder="1" applyAlignment="1">
      <alignment horizontal="right" vertical="center" wrapText="1"/>
    </xf>
    <xf numFmtId="0" fontId="3" fillId="0" borderId="2" xfId="0" applyFont="1" applyBorder="1" applyAlignment="1">
      <alignment horizontal="center" vertical="center"/>
    </xf>
    <xf numFmtId="164" fontId="3" fillId="0" borderId="18" xfId="1" applyFont="1" applyBorder="1" applyAlignment="1">
      <alignment horizontal="right" vertical="center"/>
    </xf>
    <xf numFmtId="0" fontId="3" fillId="0" borderId="0" xfId="0" applyFont="1" applyAlignment="1">
      <alignment vertical="center"/>
    </xf>
    <xf numFmtId="164" fontId="2" fillId="0" borderId="18" xfId="1" applyFont="1" applyFill="1" applyBorder="1" applyAlignment="1">
      <alignment horizontal="right" vertical="center" wrapText="1"/>
    </xf>
    <xf numFmtId="164" fontId="2" fillId="33" borderId="21" xfId="1" applyFont="1" applyFill="1" applyBorder="1" applyAlignment="1">
      <alignment horizontal="right" vertical="center" wrapText="1"/>
    </xf>
    <xf numFmtId="0" fontId="2" fillId="0" borderId="19" xfId="0" applyFont="1" applyFill="1" applyBorder="1" applyAlignment="1">
      <alignment horizontal="justify" vertical="center"/>
    </xf>
    <xf numFmtId="3" fontId="3" fillId="0" borderId="20" xfId="1" applyNumberFormat="1" applyFont="1" applyFill="1" applyBorder="1" applyAlignment="1">
      <alignment horizontal="right" vertical="center"/>
    </xf>
    <xf numFmtId="0" fontId="3" fillId="0" borderId="2" xfId="0" applyFont="1" applyBorder="1" applyAlignment="1">
      <alignment horizontal="center" vertical="center" wrapText="1"/>
    </xf>
    <xf numFmtId="0" fontId="3" fillId="0" borderId="0" xfId="0" applyFont="1" applyAlignment="1">
      <alignment horizontal="left" vertical="center"/>
    </xf>
    <xf numFmtId="0" fontId="4" fillId="0" borderId="0" xfId="0" applyFont="1"/>
    <xf numFmtId="166" fontId="3" fillId="0" borderId="0" xfId="0" applyNumberFormat="1" applyFont="1" applyAlignment="1">
      <alignment horizontal="right" vertical="center"/>
    </xf>
    <xf numFmtId="166" fontId="2" fillId="16" borderId="18" xfId="0" applyNumberFormat="1" applyFont="1" applyFill="1" applyBorder="1" applyAlignment="1">
      <alignment horizontal="right" vertical="center" wrapText="1"/>
    </xf>
    <xf numFmtId="166" fontId="3" fillId="0" borderId="18" xfId="0" applyNumberFormat="1" applyFont="1" applyBorder="1" applyAlignment="1">
      <alignment horizontal="right" vertical="center"/>
    </xf>
    <xf numFmtId="166" fontId="3" fillId="0" borderId="18" xfId="0" applyNumberFormat="1" applyFont="1" applyFill="1" applyBorder="1" applyAlignment="1">
      <alignment horizontal="right" vertical="center"/>
    </xf>
    <xf numFmtId="166" fontId="2" fillId="16" borderId="72" xfId="0" applyNumberFormat="1" applyFont="1" applyFill="1" applyBorder="1" applyAlignment="1">
      <alignment horizontal="right" vertical="center" wrapText="1"/>
    </xf>
    <xf numFmtId="0" fontId="4" fillId="0" borderId="0" xfId="0" applyFont="1" applyAlignment="1">
      <alignment horizontal="left" vertical="center"/>
    </xf>
    <xf numFmtId="3" fontId="2" fillId="0" borderId="2" xfId="0" applyNumberFormat="1" applyFont="1" applyFill="1" applyBorder="1" applyAlignment="1">
      <alignment horizontal="right" vertical="center"/>
    </xf>
    <xf numFmtId="3" fontId="2" fillId="0" borderId="18" xfId="0" applyNumberFormat="1" applyFont="1" applyFill="1" applyBorder="1" applyAlignment="1">
      <alignment horizontal="right" vertical="center"/>
    </xf>
    <xf numFmtId="3" fontId="2" fillId="15" borderId="2" xfId="0" applyNumberFormat="1" applyFont="1" applyFill="1" applyBorder="1" applyAlignment="1">
      <alignment horizontal="right" vertical="center"/>
    </xf>
    <xf numFmtId="3" fontId="2" fillId="15" borderId="18" xfId="0" applyNumberFormat="1" applyFont="1" applyFill="1" applyBorder="1" applyAlignment="1">
      <alignment horizontal="right" vertical="center"/>
    </xf>
    <xf numFmtId="0" fontId="2" fillId="33" borderId="6" xfId="0" applyFont="1" applyFill="1" applyBorder="1" applyAlignment="1">
      <alignment horizontal="justify" vertical="center"/>
    </xf>
    <xf numFmtId="0" fontId="2" fillId="33" borderId="3" xfId="0" applyFont="1" applyFill="1" applyBorder="1" applyAlignment="1">
      <alignment horizontal="center" vertical="center"/>
    </xf>
    <xf numFmtId="1" fontId="2" fillId="33" borderId="3" xfId="0" applyNumberFormat="1" applyFont="1" applyFill="1" applyBorder="1" applyAlignment="1">
      <alignment horizontal="center" vertical="center"/>
    </xf>
    <xf numFmtId="1" fontId="2" fillId="33" borderId="3" xfId="0" applyNumberFormat="1" applyFont="1" applyFill="1" applyBorder="1" applyAlignment="1">
      <alignment horizontal="right" vertical="center"/>
    </xf>
    <xf numFmtId="3" fontId="2" fillId="33" borderId="3"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166" fontId="3" fillId="0" borderId="0" xfId="0" applyNumberFormat="1" applyFont="1"/>
    <xf numFmtId="167" fontId="2" fillId="16" borderId="2" xfId="6" applyNumberFormat="1" applyFont="1" applyFill="1" applyBorder="1" applyAlignment="1">
      <alignment horizontal="center" vertical="center" wrapText="1"/>
    </xf>
    <xf numFmtId="167" fontId="3" fillId="0" borderId="2" xfId="6" applyNumberFormat="1" applyFont="1" applyFill="1" applyBorder="1" applyAlignment="1">
      <alignment horizontal="center" vertical="center" wrapText="1"/>
    </xf>
    <xf numFmtId="43" fontId="0" fillId="0" borderId="0" xfId="6" applyFont="1"/>
    <xf numFmtId="166" fontId="3" fillId="0" borderId="18" xfId="0" applyNumberFormat="1" applyFont="1" applyBorder="1" applyAlignment="1">
      <alignment horizontal="right"/>
    </xf>
    <xf numFmtId="0" fontId="2" fillId="0" borderId="2" xfId="0" applyFont="1" applyBorder="1" applyAlignment="1" applyProtection="1">
      <alignment horizontal="justify" vertical="center" wrapText="1"/>
      <protection locked="0"/>
    </xf>
    <xf numFmtId="166" fontId="0" fillId="0" borderId="0" xfId="0" applyNumberFormat="1" applyAlignment="1">
      <alignment horizontal="right"/>
    </xf>
    <xf numFmtId="0" fontId="2" fillId="16" borderId="8" xfId="0"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166" fontId="3" fillId="0" borderId="8" xfId="0" applyNumberFormat="1" applyFont="1" applyFill="1" applyBorder="1" applyAlignment="1">
      <alignment horizontal="right" vertical="center" wrapText="1"/>
    </xf>
    <xf numFmtId="0" fontId="0" fillId="0" borderId="0" xfId="0" applyAlignment="1">
      <alignment vertical="center"/>
    </xf>
    <xf numFmtId="166" fontId="2" fillId="16" borderId="8" xfId="0" applyNumberFormat="1" applyFont="1" applyFill="1" applyBorder="1" applyAlignment="1">
      <alignment horizontal="center" vertical="center" wrapText="1"/>
    </xf>
    <xf numFmtId="167" fontId="2" fillId="16" borderId="18" xfId="6" applyNumberFormat="1" applyFont="1" applyFill="1" applyBorder="1" applyAlignment="1">
      <alignment horizontal="center" vertical="center" wrapText="1"/>
    </xf>
    <xf numFmtId="0" fontId="3" fillId="0" borderId="2" xfId="0" applyFont="1" applyBorder="1" applyAlignment="1">
      <alignment vertical="center"/>
    </xf>
    <xf numFmtId="166" fontId="0" fillId="0" borderId="0" xfId="0" applyNumberFormat="1" applyAlignment="1">
      <alignment vertical="center"/>
    </xf>
    <xf numFmtId="166" fontId="0" fillId="0" borderId="0" xfId="0" applyNumberFormat="1" applyAlignment="1">
      <alignment horizontal="center" vertical="center"/>
    </xf>
    <xf numFmtId="0" fontId="0" fillId="0" borderId="3" xfId="0" applyFill="1" applyBorder="1" applyAlignment="1">
      <alignment horizontal="center" vertical="center"/>
    </xf>
    <xf numFmtId="0" fontId="4"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167" fontId="14" fillId="0" borderId="0" xfId="0" applyNumberFormat="1" applyFont="1"/>
    <xf numFmtId="0" fontId="2" fillId="0" borderId="78" xfId="0" applyFont="1" applyBorder="1" applyAlignment="1">
      <alignment horizontal="left" vertical="center" wrapText="1"/>
    </xf>
    <xf numFmtId="167" fontId="3" fillId="0" borderId="8" xfId="6" applyNumberFormat="1" applyFont="1" applyFill="1" applyBorder="1" applyAlignment="1">
      <alignment horizontal="center" vertical="center" wrapText="1"/>
    </xf>
    <xf numFmtId="167" fontId="3" fillId="0" borderId="18" xfId="6" applyNumberFormat="1" applyFont="1" applyBorder="1" applyAlignment="1">
      <alignment horizontal="right"/>
    </xf>
    <xf numFmtId="0" fontId="3" fillId="0" borderId="8" xfId="0" applyFont="1" applyFill="1" applyBorder="1" applyAlignment="1">
      <alignment horizontal="center" vertical="center" wrapText="1"/>
    </xf>
    <xf numFmtId="166" fontId="3" fillId="0" borderId="18" xfId="0" applyNumberFormat="1" applyFont="1" applyBorder="1" applyAlignment="1">
      <alignment horizontal="center" vertical="center"/>
    </xf>
    <xf numFmtId="167" fontId="3" fillId="0" borderId="0" xfId="6" applyNumberFormat="1" applyFont="1"/>
    <xf numFmtId="42" fontId="0" fillId="0" borderId="0" xfId="8" applyFont="1" applyAlignment="1">
      <alignment horizontal="right"/>
    </xf>
    <xf numFmtId="171" fontId="0" fillId="0" borderId="0" xfId="0" applyNumberFormat="1" applyAlignment="1">
      <alignment horizontal="center" vertical="center"/>
    </xf>
    <xf numFmtId="166" fontId="20" fillId="16" borderId="18" xfId="0" applyNumberFormat="1" applyFont="1" applyFill="1" applyBorder="1" applyAlignment="1">
      <alignment horizontal="center" vertical="center" wrapText="1"/>
    </xf>
    <xf numFmtId="166" fontId="3" fillId="0" borderId="18" xfId="0" applyNumberFormat="1" applyFont="1" applyFill="1" applyBorder="1" applyAlignment="1">
      <alignment horizontal="center" vertical="center"/>
    </xf>
    <xf numFmtId="167" fontId="2" fillId="16" borderId="8" xfId="6" applyNumberFormat="1" applyFont="1" applyFill="1" applyBorder="1" applyAlignment="1">
      <alignment horizontal="center" vertical="center" wrapText="1"/>
    </xf>
    <xf numFmtId="167" fontId="2" fillId="16" borderId="18" xfId="6" applyNumberFormat="1" applyFont="1" applyFill="1" applyBorder="1" applyAlignment="1">
      <alignment horizontal="right" vertical="center" wrapText="1"/>
    </xf>
    <xf numFmtId="167" fontId="3" fillId="0" borderId="2" xfId="6" applyNumberFormat="1" applyFont="1" applyFill="1" applyBorder="1" applyAlignment="1">
      <alignment horizontal="justify" vertical="center"/>
    </xf>
    <xf numFmtId="167" fontId="3" fillId="0" borderId="8" xfId="6" applyNumberFormat="1" applyFont="1" applyFill="1" applyBorder="1" applyAlignment="1">
      <alignment horizontal="justify" vertical="center"/>
    </xf>
    <xf numFmtId="167" fontId="3" fillId="0" borderId="18" xfId="6" applyNumberFormat="1" applyFont="1" applyFill="1" applyBorder="1" applyAlignment="1">
      <alignment horizontal="justify" vertical="center"/>
    </xf>
    <xf numFmtId="167" fontId="3" fillId="0" borderId="2" xfId="6" applyNumberFormat="1" applyFont="1" applyFill="1" applyBorder="1" applyAlignment="1">
      <alignment horizontal="center" vertical="center"/>
    </xf>
    <xf numFmtId="167" fontId="2" fillId="16" borderId="43" xfId="6" applyNumberFormat="1" applyFont="1" applyFill="1" applyBorder="1" applyAlignment="1">
      <alignment horizontal="right" vertical="center" wrapText="1"/>
    </xf>
    <xf numFmtId="167" fontId="2" fillId="33" borderId="21" xfId="6" applyNumberFormat="1" applyFont="1" applyFill="1" applyBorder="1" applyAlignment="1">
      <alignment horizontal="center" vertical="center" wrapText="1"/>
    </xf>
    <xf numFmtId="0" fontId="14" fillId="35" borderId="28" xfId="0" applyFont="1" applyFill="1" applyBorder="1" applyAlignment="1">
      <alignment horizontal="center"/>
    </xf>
    <xf numFmtId="41" fontId="10" fillId="17" borderId="2" xfId="0" applyNumberFormat="1" applyFont="1" applyFill="1" applyBorder="1" applyAlignment="1">
      <alignment horizontal="right" vertical="center" wrapText="1"/>
    </xf>
    <xf numFmtId="3" fontId="10" fillId="16" borderId="2" xfId="0" applyNumberFormat="1" applyFont="1" applyFill="1" applyBorder="1" applyAlignment="1">
      <alignment horizontal="right" vertical="center" wrapText="1"/>
    </xf>
    <xf numFmtId="3" fontId="10" fillId="17" borderId="2" xfId="0" applyNumberFormat="1" applyFont="1" applyFill="1" applyBorder="1" applyAlignment="1">
      <alignment horizontal="right" vertical="center" wrapText="1"/>
    </xf>
    <xf numFmtId="3" fontId="27" fillId="17" borderId="2" xfId="0" applyNumberFormat="1" applyFont="1" applyFill="1" applyBorder="1" applyAlignment="1">
      <alignment horizontal="right" vertical="center" wrapText="1"/>
    </xf>
    <xf numFmtId="3" fontId="10" fillId="32" borderId="2" xfId="0" applyNumberFormat="1" applyFont="1" applyFill="1" applyBorder="1" applyAlignment="1">
      <alignment horizontal="right" vertical="center" wrapText="1"/>
    </xf>
    <xf numFmtId="43" fontId="0" fillId="0" borderId="0" xfId="0" applyNumberFormat="1"/>
    <xf numFmtId="0" fontId="3" fillId="33" borderId="3" xfId="0" applyFont="1" applyFill="1" applyBorder="1" applyAlignment="1">
      <alignment horizontal="center" vertical="center" wrapText="1"/>
    </xf>
    <xf numFmtId="0" fontId="3" fillId="33" borderId="3" xfId="0" applyFont="1" applyFill="1" applyBorder="1" applyAlignment="1">
      <alignment horizontal="center" vertical="center"/>
    </xf>
    <xf numFmtId="41" fontId="3" fillId="33" borderId="3"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166" fontId="2" fillId="0" borderId="0" xfId="0" applyNumberFormat="1" applyFont="1" applyFill="1" applyBorder="1" applyAlignment="1">
      <alignment horizontal="right" vertical="center" wrapText="1"/>
    </xf>
    <xf numFmtId="164" fontId="0" fillId="33" borderId="20" xfId="1" applyFont="1" applyFill="1" applyBorder="1" applyAlignment="1">
      <alignment vertical="center"/>
    </xf>
    <xf numFmtId="164" fontId="0" fillId="33" borderId="21" xfId="0" applyNumberFormat="1" applyFill="1" applyBorder="1" applyAlignment="1">
      <alignment vertical="center"/>
    </xf>
    <xf numFmtId="164" fontId="3" fillId="33" borderId="3" xfId="1" applyFont="1" applyFill="1" applyBorder="1" applyAlignment="1">
      <alignment horizontal="center" vertical="center"/>
    </xf>
    <xf numFmtId="164" fontId="3" fillId="33" borderId="45" xfId="1" applyFont="1" applyFill="1" applyBorder="1" applyAlignment="1">
      <alignment horizontal="center" vertical="center"/>
    </xf>
    <xf numFmtId="0" fontId="2" fillId="16" borderId="6" xfId="0" applyFont="1" applyFill="1" applyBorder="1" applyAlignment="1">
      <alignment horizontal="justify" vertical="center" wrapText="1"/>
    </xf>
    <xf numFmtId="0" fontId="3" fillId="16" borderId="3" xfId="0" applyFont="1" applyFill="1" applyBorder="1"/>
    <xf numFmtId="166" fontId="3" fillId="16" borderId="45" xfId="0" applyNumberFormat="1" applyFont="1" applyFill="1" applyBorder="1" applyAlignment="1">
      <alignment horizontal="right"/>
    </xf>
    <xf numFmtId="0" fontId="2" fillId="33" borderId="19" xfId="2" applyFont="1" applyFill="1" applyBorder="1" applyAlignment="1">
      <alignment horizontal="justify" vertical="center"/>
    </xf>
    <xf numFmtId="0" fontId="3" fillId="33" borderId="20" xfId="0" applyNumberFormat="1" applyFont="1" applyFill="1" applyBorder="1" applyAlignment="1">
      <alignment horizontal="center" vertical="center"/>
    </xf>
    <xf numFmtId="168" fontId="3" fillId="33" borderId="20" xfId="0" applyNumberFormat="1" applyFont="1" applyFill="1" applyBorder="1" applyAlignment="1">
      <alignment vertical="center"/>
    </xf>
    <xf numFmtId="168" fontId="3" fillId="33" borderId="21" xfId="0" applyNumberFormat="1" applyFont="1" applyFill="1" applyBorder="1" applyAlignment="1">
      <alignment vertical="center"/>
    </xf>
    <xf numFmtId="164" fontId="0" fillId="0" borderId="0" xfId="0" applyNumberFormat="1" applyAlignment="1">
      <alignment wrapText="1"/>
    </xf>
    <xf numFmtId="166" fontId="17" fillId="0" borderId="0" xfId="0" applyNumberFormat="1" applyFont="1" applyFill="1" applyAlignment="1">
      <alignment horizontal="center" vertical="center"/>
    </xf>
    <xf numFmtId="0" fontId="0" fillId="0" borderId="0" xfId="0" applyAlignment="1">
      <alignment horizontal="right" vertical="center"/>
    </xf>
    <xf numFmtId="166" fontId="3" fillId="0" borderId="18" xfId="0" applyNumberFormat="1" applyFont="1" applyFill="1" applyBorder="1" applyAlignment="1">
      <alignment vertical="center"/>
    </xf>
    <xf numFmtId="166" fontId="3" fillId="0" borderId="2" xfId="0" applyNumberFormat="1" applyFont="1" applyFill="1" applyBorder="1" applyAlignment="1">
      <alignment horizontal="right" vertical="center"/>
    </xf>
    <xf numFmtId="166" fontId="2" fillId="0" borderId="18" xfId="0" applyNumberFormat="1" applyFont="1" applyFill="1" applyBorder="1" applyAlignment="1">
      <alignment horizontal="right" vertical="center"/>
    </xf>
    <xf numFmtId="9" fontId="0" fillId="0" borderId="0" xfId="5" applyFont="1"/>
    <xf numFmtId="0" fontId="14" fillId="35" borderId="28" xfId="0" applyFont="1" applyFill="1" applyBorder="1" applyAlignment="1">
      <alignment horizontal="center"/>
    </xf>
    <xf numFmtId="167" fontId="0" fillId="0" borderId="2" xfId="6" applyNumberFormat="1" applyFont="1" applyBorder="1"/>
    <xf numFmtId="167" fontId="0" fillId="13" borderId="2" xfId="6" applyNumberFormat="1" applyFont="1" applyFill="1" applyBorder="1"/>
    <xf numFmtId="167" fontId="0" fillId="0" borderId="2" xfId="6" applyNumberFormat="1" applyFont="1" applyFill="1" applyBorder="1"/>
    <xf numFmtId="0" fontId="14" fillId="35" borderId="28" xfId="0" applyFont="1" applyFill="1" applyBorder="1" applyAlignment="1">
      <alignment horizontal="center"/>
    </xf>
    <xf numFmtId="10" fontId="0" fillId="0" borderId="0" xfId="0" applyNumberFormat="1"/>
    <xf numFmtId="9" fontId="14" fillId="0" borderId="0" xfId="5" applyNumberFormat="1" applyFont="1"/>
    <xf numFmtId="10" fontId="10" fillId="17" borderId="2" xfId="5" applyNumberFormat="1" applyFont="1" applyFill="1" applyBorder="1" applyAlignment="1">
      <alignment horizontal="center" vertical="center" wrapText="1"/>
    </xf>
    <xf numFmtId="10" fontId="10" fillId="16" borderId="2" xfId="5" applyNumberFormat="1" applyFont="1" applyFill="1" applyBorder="1" applyAlignment="1">
      <alignment horizontal="center" vertical="center" wrapText="1"/>
    </xf>
    <xf numFmtId="10" fontId="27" fillId="17" borderId="2" xfId="5" applyNumberFormat="1" applyFont="1" applyFill="1" applyBorder="1" applyAlignment="1">
      <alignment horizontal="center" vertical="center" wrapText="1"/>
    </xf>
    <xf numFmtId="10" fontId="10" fillId="32" borderId="2" xfId="5" applyNumberFormat="1" applyFont="1" applyFill="1" applyBorder="1" applyAlignment="1">
      <alignment horizontal="center" vertical="center" wrapText="1"/>
    </xf>
    <xf numFmtId="41" fontId="14" fillId="16" borderId="2" xfId="1" applyNumberFormat="1" applyFont="1" applyFill="1" applyBorder="1" applyAlignment="1">
      <alignment vertical="center"/>
    </xf>
    <xf numFmtId="41" fontId="14" fillId="17" borderId="2" xfId="1" applyNumberFormat="1" applyFont="1" applyFill="1" applyBorder="1" applyAlignment="1">
      <alignment vertical="center"/>
    </xf>
    <xf numFmtId="10" fontId="0" fillId="0" borderId="0" xfId="5" applyNumberFormat="1" applyFont="1"/>
    <xf numFmtId="0" fontId="0" fillId="0" borderId="2" xfId="0" applyBorder="1" applyAlignment="1">
      <alignment horizontal="center"/>
    </xf>
    <xf numFmtId="0" fontId="0" fillId="0" borderId="2" xfId="0" applyFill="1" applyBorder="1" applyAlignment="1">
      <alignment horizontal="center"/>
    </xf>
    <xf numFmtId="0" fontId="0" fillId="0" borderId="2" xfId="0" applyFill="1" applyBorder="1" applyAlignment="1">
      <alignment horizontal="center" wrapText="1"/>
    </xf>
    <xf numFmtId="10" fontId="0" fillId="0" borderId="2" xfId="0" applyNumberFormat="1" applyBorder="1" applyAlignment="1">
      <alignment horizontal="center"/>
    </xf>
    <xf numFmtId="10" fontId="0" fillId="0" borderId="2" xfId="0" applyNumberFormat="1" applyFill="1" applyBorder="1" applyAlignment="1">
      <alignment horizontal="center" wrapText="1"/>
    </xf>
    <xf numFmtId="43" fontId="25" fillId="0" borderId="2" xfId="6" applyFont="1" applyFill="1" applyBorder="1" applyAlignment="1">
      <alignment vertical="center"/>
    </xf>
    <xf numFmtId="4" fontId="25" fillId="0" borderId="2" xfId="6" applyNumberFormat="1" applyFont="1" applyFill="1" applyBorder="1" applyAlignment="1">
      <alignment vertical="center"/>
    </xf>
    <xf numFmtId="43" fontId="18" fillId="0" borderId="2" xfId="0" applyNumberFormat="1" applyFont="1" applyBorder="1" applyAlignment="1">
      <alignment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2" xfId="0" applyBorder="1" applyAlignment="1">
      <alignment vertical="center"/>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9" fontId="18" fillId="0" borderId="2" xfId="0" applyNumberFormat="1" applyFont="1" applyBorder="1" applyAlignment="1">
      <alignment horizontal="center" vertical="center"/>
    </xf>
    <xf numFmtId="169" fontId="25" fillId="0" borderId="2" xfId="5" applyNumberFormat="1" applyFont="1" applyFill="1" applyBorder="1" applyAlignment="1">
      <alignment horizontal="center" vertical="center"/>
    </xf>
    <xf numFmtId="0" fontId="2" fillId="0" borderId="2" xfId="0" applyFont="1" applyFill="1" applyBorder="1"/>
    <xf numFmtId="167" fontId="3" fillId="0" borderId="76" xfId="6" applyNumberFormat="1" applyFont="1" applyFill="1" applyBorder="1" applyAlignment="1">
      <alignment horizontal="center" vertical="center" wrapText="1"/>
    </xf>
    <xf numFmtId="167" fontId="2" fillId="16" borderId="74" xfId="6" applyNumberFormat="1" applyFont="1" applyFill="1" applyBorder="1" applyAlignment="1">
      <alignment horizontal="center" vertical="center" wrapText="1"/>
    </xf>
    <xf numFmtId="167" fontId="2" fillId="16" borderId="8" xfId="6" applyNumberFormat="1" applyFont="1" applyFill="1" applyBorder="1" applyAlignment="1">
      <alignment horizontal="right" vertical="center" wrapText="1"/>
    </xf>
    <xf numFmtId="167" fontId="3" fillId="0" borderId="8" xfId="6" applyNumberFormat="1" applyFont="1" applyBorder="1" applyAlignment="1">
      <alignment horizontal="right"/>
    </xf>
    <xf numFmtId="167" fontId="2" fillId="0" borderId="8" xfId="6" applyNumberFormat="1" applyFont="1" applyFill="1" applyBorder="1" applyAlignment="1">
      <alignment horizontal="justify" vertical="center" wrapText="1"/>
    </xf>
    <xf numFmtId="167" fontId="3" fillId="0" borderId="76" xfId="6" applyNumberFormat="1" applyFont="1" applyBorder="1" applyAlignment="1">
      <alignment horizontal="right" vertical="center"/>
    </xf>
    <xf numFmtId="167" fontId="2" fillId="16" borderId="74" xfId="6" applyNumberFormat="1" applyFont="1" applyFill="1" applyBorder="1" applyAlignment="1">
      <alignment horizontal="right" vertical="center" wrapText="1"/>
    </xf>
    <xf numFmtId="167" fontId="2" fillId="0" borderId="8" xfId="6" applyNumberFormat="1" applyFont="1" applyFill="1" applyBorder="1" applyAlignment="1">
      <alignment horizontal="center" vertical="center" wrapText="1"/>
    </xf>
    <xf numFmtId="167" fontId="2" fillId="16" borderId="2" xfId="6" applyNumberFormat="1" applyFont="1" applyFill="1" applyBorder="1" applyAlignment="1">
      <alignment horizontal="right" vertical="center" wrapText="1"/>
    </xf>
    <xf numFmtId="167" fontId="3" fillId="0" borderId="2" xfId="6" applyNumberFormat="1" applyFont="1" applyBorder="1" applyAlignment="1">
      <alignment horizontal="right"/>
    </xf>
    <xf numFmtId="167" fontId="2" fillId="0" borderId="2" xfId="6" applyNumberFormat="1" applyFont="1" applyFill="1" applyBorder="1" applyAlignment="1">
      <alignment horizontal="justify" vertical="center" wrapText="1"/>
    </xf>
    <xf numFmtId="167" fontId="3" fillId="0" borderId="2" xfId="6" applyNumberFormat="1" applyFont="1" applyBorder="1" applyAlignment="1">
      <alignment horizontal="right" vertical="center"/>
    </xf>
    <xf numFmtId="167" fontId="2" fillId="0" borderId="2" xfId="6"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xf>
    <xf numFmtId="0" fontId="24" fillId="15" borderId="17" xfId="0" applyFont="1" applyFill="1" applyBorder="1" applyAlignment="1">
      <alignment horizontal="justify" vertical="center" wrapText="1"/>
    </xf>
    <xf numFmtId="0" fontId="23" fillId="15" borderId="37" xfId="0" applyFont="1" applyFill="1" applyBorder="1" applyAlignment="1">
      <alignment horizontal="center" vertical="center"/>
    </xf>
    <xf numFmtId="3" fontId="23" fillId="15" borderId="38" xfId="1" applyNumberFormat="1" applyFont="1" applyFill="1" applyBorder="1" applyAlignment="1">
      <alignment horizontal="right" vertical="center"/>
    </xf>
    <xf numFmtId="0" fontId="24" fillId="0" borderId="5" xfId="0" applyFont="1" applyFill="1" applyBorder="1" applyAlignment="1">
      <alignment horizontal="center" vertical="center" wrapText="1"/>
    </xf>
    <xf numFmtId="3" fontId="24" fillId="0" borderId="5" xfId="0" applyNumberFormat="1" applyFont="1" applyFill="1" applyBorder="1" applyAlignment="1">
      <alignment horizontal="right" vertical="center" wrapText="1"/>
    </xf>
    <xf numFmtId="3" fontId="24" fillId="0" borderId="43" xfId="0" applyNumberFormat="1" applyFont="1" applyFill="1" applyBorder="1" applyAlignment="1">
      <alignment horizontal="right" vertical="center" wrapText="1"/>
    </xf>
    <xf numFmtId="0" fontId="24" fillId="0" borderId="3" xfId="0" applyFont="1" applyFill="1" applyBorder="1" applyAlignment="1">
      <alignment horizontal="center" vertical="center" wrapText="1"/>
    </xf>
    <xf numFmtId="3" fontId="24" fillId="0" borderId="3" xfId="0" applyNumberFormat="1" applyFont="1" applyFill="1" applyBorder="1" applyAlignment="1">
      <alignment horizontal="right" vertical="center" wrapText="1"/>
    </xf>
    <xf numFmtId="0" fontId="24" fillId="5" borderId="17" xfId="0" applyFont="1" applyFill="1" applyBorder="1" applyAlignment="1">
      <alignment horizontal="justify" vertical="center" wrapText="1"/>
    </xf>
    <xf numFmtId="0" fontId="23" fillId="5" borderId="37" xfId="0" applyFont="1" applyFill="1" applyBorder="1" applyAlignment="1">
      <alignment horizontal="center" vertical="center"/>
    </xf>
    <xf numFmtId="3" fontId="28" fillId="5" borderId="38" xfId="1" applyNumberFormat="1" applyFont="1" applyFill="1" applyBorder="1" applyAlignment="1">
      <alignment horizontal="right" vertical="center"/>
    </xf>
    <xf numFmtId="0" fontId="2" fillId="0" borderId="0" xfId="0" applyFont="1"/>
    <xf numFmtId="42" fontId="2" fillId="0" borderId="0" xfId="8" applyFont="1" applyAlignment="1">
      <alignment horizontal="right"/>
    </xf>
    <xf numFmtId="42" fontId="20" fillId="0" borderId="0" xfId="8" applyFont="1" applyFill="1" applyBorder="1" applyAlignment="1">
      <alignment horizontal="center" vertical="center" wrapText="1"/>
    </xf>
    <xf numFmtId="42" fontId="2" fillId="0" borderId="0" xfId="8" applyFont="1" applyFill="1" applyBorder="1" applyAlignment="1">
      <alignment horizontal="right" vertical="center" wrapText="1"/>
    </xf>
    <xf numFmtId="42" fontId="2" fillId="16" borderId="18" xfId="8" applyFont="1" applyFill="1" applyBorder="1" applyAlignment="1">
      <alignment horizontal="right" vertical="center" wrapText="1"/>
    </xf>
    <xf numFmtId="42" fontId="20" fillId="0" borderId="0" xfId="8" applyFont="1" applyFill="1" applyBorder="1" applyAlignment="1">
      <alignment horizontal="right"/>
    </xf>
    <xf numFmtId="42" fontId="2" fillId="0" borderId="0" xfId="8" applyFont="1" applyFill="1" applyBorder="1" applyAlignment="1">
      <alignment horizontal="right"/>
    </xf>
    <xf numFmtId="0" fontId="2" fillId="0" borderId="0" xfId="0" applyFont="1" applyAlignment="1">
      <alignment horizontal="right"/>
    </xf>
    <xf numFmtId="164" fontId="2" fillId="16" borderId="8" xfId="0" applyNumberFormat="1" applyFont="1" applyFill="1" applyBorder="1" applyAlignment="1">
      <alignment horizontal="center" vertical="center" wrapText="1"/>
    </xf>
    <xf numFmtId="164" fontId="3" fillId="0" borderId="8" xfId="0" applyNumberFormat="1" applyFont="1" applyBorder="1" applyAlignment="1">
      <alignment horizontal="center" vertical="center"/>
    </xf>
    <xf numFmtId="164" fontId="3" fillId="0" borderId="0" xfId="1" applyFont="1"/>
    <xf numFmtId="164" fontId="3" fillId="0" borderId="0" xfId="1" applyFont="1" applyAlignment="1">
      <alignment vertical="center"/>
    </xf>
    <xf numFmtId="164" fontId="3" fillId="0" borderId="8" xfId="0" applyNumberFormat="1" applyFont="1" applyFill="1" applyBorder="1" applyAlignment="1">
      <alignment horizontal="center" vertical="center"/>
    </xf>
    <xf numFmtId="164" fontId="3" fillId="0" borderId="0" xfId="1" applyFont="1" applyFill="1"/>
    <xf numFmtId="0" fontId="2" fillId="0" borderId="2" xfId="0" applyFont="1" applyBorder="1" applyAlignment="1">
      <alignment horizontal="center" vertical="center" wrapText="1"/>
    </xf>
    <xf numFmtId="0" fontId="20" fillId="16" borderId="1" xfId="0" applyFont="1" applyFill="1" applyBorder="1" applyAlignment="1">
      <alignment horizontal="justify" vertical="center" wrapText="1"/>
    </xf>
    <xf numFmtId="0" fontId="20" fillId="16" borderId="2" xfId="0" applyFont="1" applyFill="1" applyBorder="1" applyAlignment="1">
      <alignment horizontal="justify" vertical="center" wrapText="1"/>
    </xf>
    <xf numFmtId="0" fontId="20" fillId="16" borderId="2" xfId="0" applyFont="1" applyFill="1" applyBorder="1" applyAlignment="1">
      <alignment horizontal="center" vertical="center" wrapText="1"/>
    </xf>
    <xf numFmtId="167" fontId="20" fillId="16" borderId="2" xfId="6" applyNumberFormat="1" applyFont="1" applyFill="1" applyBorder="1" applyAlignment="1">
      <alignment horizontal="center" vertical="center" wrapText="1"/>
    </xf>
    <xf numFmtId="0" fontId="46" fillId="0" borderId="0" xfId="0" applyFont="1" applyAlignment="1">
      <alignment horizontal="left" vertical="center"/>
    </xf>
    <xf numFmtId="167" fontId="3" fillId="0" borderId="2" xfId="0" applyNumberFormat="1" applyFont="1" applyFill="1" applyBorder="1" applyAlignment="1">
      <alignment horizontal="center" vertical="center" wrapText="1"/>
    </xf>
    <xf numFmtId="0" fontId="4" fillId="18" borderId="2" xfId="0" applyFont="1" applyFill="1" applyBorder="1" applyAlignment="1">
      <alignment horizontal="justify" vertical="center"/>
    </xf>
    <xf numFmtId="0" fontId="4" fillId="18" borderId="2" xfId="0" applyFont="1" applyFill="1" applyBorder="1" applyAlignment="1">
      <alignment horizontal="center" vertical="center" wrapText="1"/>
    </xf>
    <xf numFmtId="167" fontId="4" fillId="18" borderId="2" xfId="6" applyNumberFormat="1" applyFont="1" applyFill="1" applyBorder="1" applyAlignment="1">
      <alignment horizontal="center" vertical="center" wrapText="1"/>
    </xf>
    <xf numFmtId="166" fontId="3" fillId="0" borderId="18" xfId="6"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166" fontId="2" fillId="16"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166" fontId="42" fillId="0" borderId="0" xfId="0" applyNumberFormat="1" applyFont="1" applyFill="1" applyBorder="1" applyAlignment="1">
      <alignment horizontal="left" vertical="center"/>
    </xf>
    <xf numFmtId="0" fontId="17" fillId="0" borderId="0" xfId="0" applyFont="1" applyAlignment="1">
      <alignment horizontal="left" vertical="center"/>
    </xf>
    <xf numFmtId="0" fontId="3" fillId="0" borderId="34" xfId="0" applyFont="1" applyFill="1" applyBorder="1" applyAlignment="1">
      <alignment horizontal="center" vertical="center" wrapText="1"/>
    </xf>
    <xf numFmtId="0" fontId="4" fillId="18" borderId="12" xfId="0" applyFont="1" applyFill="1" applyBorder="1" applyAlignment="1">
      <alignment horizontal="justify" vertical="center" wrapText="1"/>
    </xf>
    <xf numFmtId="0" fontId="3" fillId="16" borderId="76" xfId="0" applyFont="1" applyFill="1" applyBorder="1" applyAlignment="1">
      <alignment horizontal="center" vertical="center" wrapText="1"/>
    </xf>
    <xf numFmtId="166" fontId="3" fillId="16" borderId="76" xfId="0" applyNumberFormat="1" applyFont="1" applyFill="1" applyBorder="1" applyAlignment="1">
      <alignment horizontal="center" vertical="center" wrapText="1"/>
    </xf>
    <xf numFmtId="0" fontId="0" fillId="0" borderId="0" xfId="0" applyAlignment="1">
      <alignment horizontal="center" vertical="center"/>
    </xf>
    <xf numFmtId="0" fontId="2" fillId="15" borderId="17" xfId="0" applyFont="1" applyFill="1" applyBorder="1" applyAlignment="1">
      <alignment horizontal="justify" vertical="center" wrapText="1"/>
    </xf>
    <xf numFmtId="0" fontId="3" fillId="15" borderId="37" xfId="0" applyFont="1" applyFill="1" applyBorder="1" applyAlignment="1">
      <alignment horizontal="center" vertical="center"/>
    </xf>
    <xf numFmtId="164" fontId="0" fillId="15" borderId="37" xfId="0" applyNumberFormat="1" applyFill="1" applyBorder="1" applyAlignment="1">
      <alignment vertical="center"/>
    </xf>
    <xf numFmtId="3" fontId="0" fillId="15" borderId="38" xfId="0" applyNumberFormat="1" applyFill="1" applyBorder="1" applyAlignment="1">
      <alignment vertical="center"/>
    </xf>
    <xf numFmtId="0" fontId="2" fillId="0" borderId="22" xfId="0" applyFont="1" applyFill="1" applyBorder="1" applyAlignment="1">
      <alignment horizontal="justify" vertical="center" wrapText="1"/>
    </xf>
    <xf numFmtId="0" fontId="3" fillId="0" borderId="7" xfId="0" applyFont="1" applyFill="1" applyBorder="1" applyAlignment="1">
      <alignment horizontal="center" vertical="center"/>
    </xf>
    <xf numFmtId="3" fontId="0" fillId="0" borderId="7" xfId="0" applyNumberFormat="1" applyFill="1" applyBorder="1" applyAlignment="1">
      <alignment vertical="center"/>
    </xf>
    <xf numFmtId="3" fontId="0" fillId="0" borderId="23" xfId="0" applyNumberFormat="1" applyFill="1" applyBorder="1" applyAlignment="1">
      <alignment vertical="center"/>
    </xf>
    <xf numFmtId="0" fontId="2" fillId="5" borderId="17" xfId="0" applyFont="1" applyFill="1" applyBorder="1" applyAlignment="1">
      <alignment horizontal="justify" vertical="center" wrapText="1"/>
    </xf>
    <xf numFmtId="0" fontId="3" fillId="5" borderId="37" xfId="0" applyFont="1" applyFill="1" applyBorder="1" applyAlignment="1">
      <alignment horizontal="center" vertical="center"/>
    </xf>
    <xf numFmtId="164" fontId="0" fillId="5" borderId="37" xfId="0" applyNumberFormat="1" applyFill="1" applyBorder="1" applyAlignment="1">
      <alignment vertical="center"/>
    </xf>
    <xf numFmtId="164" fontId="0" fillId="5" borderId="38" xfId="0" applyNumberFormat="1" applyFill="1" applyBorder="1" applyAlignment="1">
      <alignment vertical="center"/>
    </xf>
    <xf numFmtId="164" fontId="0" fillId="0" borderId="5" xfId="1" applyFont="1" applyFill="1" applyBorder="1" applyAlignment="1">
      <alignment vertical="center"/>
    </xf>
    <xf numFmtId="164" fontId="0" fillId="0" borderId="43" xfId="0" applyNumberFormat="1" applyFill="1" applyBorder="1" applyAlignment="1">
      <alignment vertical="center"/>
    </xf>
    <xf numFmtId="0" fontId="2" fillId="15" borderId="17" xfId="0" applyFont="1" applyFill="1" applyBorder="1" applyAlignment="1">
      <alignment horizontal="justify" vertical="center"/>
    </xf>
    <xf numFmtId="0" fontId="2" fillId="0" borderId="22" xfId="0" applyFont="1" applyFill="1" applyBorder="1" applyAlignment="1">
      <alignment horizontal="justify" vertical="center"/>
    </xf>
    <xf numFmtId="164" fontId="0" fillId="0" borderId="7" xfId="0" applyNumberFormat="1" applyFill="1" applyBorder="1" applyAlignment="1">
      <alignment vertical="center"/>
    </xf>
    <xf numFmtId="0" fontId="0" fillId="0" borderId="7" xfId="0" applyFill="1" applyBorder="1" applyAlignment="1">
      <alignment vertical="center"/>
    </xf>
    <xf numFmtId="0" fontId="2" fillId="18" borderId="17" xfId="0" applyFont="1" applyFill="1" applyBorder="1" applyAlignment="1">
      <alignment horizontal="justify" vertical="center" wrapText="1"/>
    </xf>
    <xf numFmtId="0" fontId="3" fillId="18" borderId="37" xfId="0" applyFont="1" applyFill="1" applyBorder="1" applyAlignment="1">
      <alignment horizontal="center" vertical="center"/>
    </xf>
    <xf numFmtId="164" fontId="3" fillId="18" borderId="37" xfId="1" applyFont="1" applyFill="1" applyBorder="1" applyAlignment="1">
      <alignment vertical="center"/>
    </xf>
    <xf numFmtId="164" fontId="0" fillId="18" borderId="37" xfId="0" applyNumberFormat="1" applyFill="1" applyBorder="1" applyAlignment="1">
      <alignment vertical="center"/>
    </xf>
    <xf numFmtId="164" fontId="2" fillId="18" borderId="38" xfId="1" applyFont="1" applyFill="1" applyBorder="1" applyAlignment="1">
      <alignment horizontal="justify" vertical="center"/>
    </xf>
    <xf numFmtId="164" fontId="3" fillId="0" borderId="5" xfId="1" applyFont="1" applyFill="1" applyBorder="1" applyAlignment="1">
      <alignment vertical="center"/>
    </xf>
    <xf numFmtId="42" fontId="2" fillId="16" borderId="8" xfId="0" applyNumberFormat="1" applyFont="1" applyFill="1" applyBorder="1" applyAlignment="1">
      <alignment horizontal="center" vertical="center" wrapText="1"/>
    </xf>
    <xf numFmtId="41" fontId="0" fillId="0" borderId="2" xfId="0" applyNumberFormat="1" applyFill="1" applyBorder="1" applyAlignment="1">
      <alignment horizontal="center" vertical="center"/>
    </xf>
    <xf numFmtId="0" fontId="2" fillId="16" borderId="2" xfId="0" applyFont="1" applyFill="1" applyBorder="1" applyAlignment="1">
      <alignment horizontal="right" vertical="center" wrapText="1"/>
    </xf>
    <xf numFmtId="0" fontId="3" fillId="0" borderId="2" xfId="0" applyFont="1" applyFill="1" applyBorder="1" applyAlignment="1">
      <alignment horizontal="center"/>
    </xf>
    <xf numFmtId="0" fontId="47" fillId="0" borderId="2" xfId="0" applyFont="1" applyFill="1" applyBorder="1" applyAlignment="1">
      <alignment horizontal="center" vertical="center"/>
    </xf>
    <xf numFmtId="167" fontId="2" fillId="33" borderId="52" xfId="6" applyNumberFormat="1" applyFont="1" applyFill="1" applyBorder="1" applyAlignment="1">
      <alignment horizontal="center" vertical="center" wrapText="1"/>
    </xf>
    <xf numFmtId="164" fontId="0" fillId="3" borderId="0" xfId="0" applyNumberFormat="1" applyFill="1" applyAlignment="1">
      <alignment wrapText="1"/>
    </xf>
    <xf numFmtId="0" fontId="0" fillId="3" borderId="0" xfId="0" applyFill="1" applyAlignment="1">
      <alignment wrapText="1"/>
    </xf>
    <xf numFmtId="164" fontId="14" fillId="0" borderId="0" xfId="0" applyNumberFormat="1" applyFont="1"/>
    <xf numFmtId="0" fontId="3" fillId="0" borderId="3" xfId="0" applyFont="1" applyBorder="1" applyAlignment="1">
      <alignment vertical="center"/>
    </xf>
    <xf numFmtId="0" fontId="4" fillId="0" borderId="0" xfId="0" applyFont="1" applyAlignment="1"/>
    <xf numFmtId="0" fontId="4" fillId="0" borderId="0" xfId="0" applyFont="1" applyAlignment="1">
      <alignment vertical="center"/>
    </xf>
    <xf numFmtId="0" fontId="0" fillId="0" borderId="48" xfId="0" applyBorder="1" applyAlignment="1">
      <alignment vertical="center"/>
    </xf>
    <xf numFmtId="0" fontId="0" fillId="0" borderId="0" xfId="0"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42" fontId="2" fillId="0" borderId="0" xfId="8" applyNumberFormat="1" applyFont="1" applyAlignment="1">
      <alignment horizontal="center" vertical="center"/>
    </xf>
    <xf numFmtId="0" fontId="35" fillId="0" borderId="0" xfId="0" applyFont="1"/>
    <xf numFmtId="0" fontId="2" fillId="0" borderId="0" xfId="0" applyFont="1" applyAlignment="1">
      <alignment horizontal="left" vertical="center"/>
    </xf>
    <xf numFmtId="42" fontId="2" fillId="16" borderId="2" xfId="8" applyNumberFormat="1" applyFont="1" applyFill="1" applyBorder="1" applyAlignment="1">
      <alignment horizontal="center" vertical="center" wrapText="1"/>
    </xf>
    <xf numFmtId="42" fontId="2" fillId="0" borderId="2" xfId="8" applyNumberFormat="1" applyFont="1" applyFill="1" applyBorder="1" applyAlignment="1">
      <alignment horizontal="center" vertical="center"/>
    </xf>
    <xf numFmtId="42" fontId="2" fillId="16" borderId="2" xfId="0" applyNumberFormat="1" applyFont="1" applyFill="1" applyBorder="1" applyAlignment="1">
      <alignment horizontal="center" vertical="center" wrapText="1"/>
    </xf>
    <xf numFmtId="0" fontId="2" fillId="33" borderId="3" xfId="0" applyFont="1" applyFill="1" applyBorder="1" applyAlignment="1">
      <alignment horizontal="center" vertical="center" wrapText="1"/>
    </xf>
    <xf numFmtId="42" fontId="2" fillId="33" borderId="3" xfId="8" applyNumberFormat="1" applyFont="1" applyFill="1" applyBorder="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right"/>
    </xf>
    <xf numFmtId="43" fontId="1" fillId="0" borderId="0" xfId="6" applyFont="1"/>
    <xf numFmtId="43" fontId="1" fillId="3" borderId="0" xfId="6" applyFont="1" applyFill="1"/>
    <xf numFmtId="0" fontId="18" fillId="0" borderId="0" xfId="0" applyFont="1" applyAlignment="1"/>
    <xf numFmtId="0" fontId="2" fillId="15" borderId="12" xfId="0" applyFont="1" applyFill="1" applyBorder="1" applyAlignment="1">
      <alignment horizontal="justify" vertical="center" wrapText="1"/>
    </xf>
    <xf numFmtId="0" fontId="3" fillId="5" borderId="12" xfId="0" applyFont="1" applyFill="1" applyBorder="1" applyAlignment="1">
      <alignment horizontal="left" vertical="center" wrapText="1"/>
    </xf>
    <xf numFmtId="3" fontId="0" fillId="0" borderId="2" xfId="0" applyNumberFormat="1" applyFill="1" applyBorder="1" applyAlignment="1">
      <alignment vertical="center"/>
    </xf>
    <xf numFmtId="3" fontId="0" fillId="0" borderId="18" xfId="0" applyNumberFormat="1" applyFill="1" applyBorder="1" applyAlignment="1">
      <alignment vertical="center"/>
    </xf>
    <xf numFmtId="3" fontId="0" fillId="0" borderId="5" xfId="1" applyNumberFormat="1" applyFont="1" applyFill="1" applyBorder="1" applyAlignment="1">
      <alignment vertical="center"/>
    </xf>
    <xf numFmtId="0" fontId="3" fillId="5" borderId="17" xfId="0" applyFont="1" applyFill="1" applyBorder="1" applyAlignment="1">
      <alignment horizontal="left" vertical="center" wrapText="1"/>
    </xf>
    <xf numFmtId="0" fontId="2" fillId="0" borderId="35" xfId="0" applyFont="1" applyFill="1" applyBorder="1" applyAlignment="1">
      <alignment horizontal="justify" vertical="center"/>
    </xf>
    <xf numFmtId="0" fontId="2" fillId="17" borderId="17" xfId="0" applyFont="1" applyFill="1" applyBorder="1" applyAlignment="1">
      <alignment horizontal="justify" vertical="center"/>
    </xf>
    <xf numFmtId="0" fontId="3" fillId="17" borderId="37" xfId="0" applyFont="1" applyFill="1" applyBorder="1" applyAlignment="1">
      <alignment horizontal="center" vertical="center" wrapText="1"/>
    </xf>
    <xf numFmtId="41" fontId="3" fillId="17" borderId="37" xfId="0" applyNumberFormat="1" applyFont="1" applyFill="1" applyBorder="1" applyAlignment="1">
      <alignment horizontal="center" vertical="center" wrapText="1"/>
    </xf>
    <xf numFmtId="41" fontId="3" fillId="17" borderId="38"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41" fontId="3" fillId="0" borderId="7" xfId="0" applyNumberFormat="1" applyFont="1" applyFill="1" applyBorder="1" applyAlignment="1">
      <alignment horizontal="center" vertical="center" wrapText="1"/>
    </xf>
    <xf numFmtId="41" fontId="3" fillId="0" borderId="23" xfId="0" applyNumberFormat="1" applyFont="1" applyFill="1" applyBorder="1" applyAlignment="1">
      <alignment horizontal="center" vertical="center" wrapText="1"/>
    </xf>
    <xf numFmtId="0" fontId="3" fillId="18" borderId="17" xfId="0" applyFont="1" applyFill="1" applyBorder="1" applyAlignment="1">
      <alignment horizontal="justify" vertical="center"/>
    </xf>
    <xf numFmtId="0" fontId="3" fillId="18" borderId="37" xfId="0" applyFont="1" applyFill="1" applyBorder="1" applyAlignment="1">
      <alignment horizontal="center" vertical="center" wrapText="1"/>
    </xf>
    <xf numFmtId="41" fontId="3" fillId="18" borderId="37" xfId="0" applyNumberFormat="1" applyFont="1" applyFill="1" applyBorder="1" applyAlignment="1">
      <alignment horizontal="center" vertical="center" wrapText="1"/>
    </xf>
    <xf numFmtId="41" fontId="3" fillId="18" borderId="38" xfId="0" applyNumberFormat="1" applyFont="1" applyFill="1" applyBorder="1" applyAlignment="1">
      <alignment horizontal="center" vertical="center" wrapText="1"/>
    </xf>
    <xf numFmtId="0" fontId="2" fillId="17" borderId="17" xfId="2" applyFont="1" applyFill="1" applyBorder="1" applyAlignment="1">
      <alignment horizontal="justify" vertical="center"/>
    </xf>
    <xf numFmtId="0" fontId="3" fillId="17" borderId="17" xfId="2" applyFont="1" applyFill="1" applyBorder="1" applyAlignment="1">
      <alignment horizontal="justify" vertical="center"/>
    </xf>
    <xf numFmtId="0" fontId="2" fillId="18" borderId="17" xfId="0" applyFont="1" applyFill="1" applyBorder="1" applyAlignment="1">
      <alignment horizontal="justify" vertical="center"/>
    </xf>
    <xf numFmtId="0" fontId="2" fillId="0" borderId="6" xfId="0" applyFont="1" applyFill="1" applyBorder="1" applyAlignment="1">
      <alignment horizontal="justify" vertical="center"/>
    </xf>
    <xf numFmtId="41" fontId="3" fillId="0" borderId="3" xfId="0" applyNumberFormat="1" applyFont="1" applyFill="1" applyBorder="1" applyAlignment="1">
      <alignment horizontal="center" vertical="center" wrapText="1"/>
    </xf>
    <xf numFmtId="41" fontId="2" fillId="0" borderId="5" xfId="0" applyNumberFormat="1" applyFont="1" applyFill="1" applyBorder="1" applyAlignment="1">
      <alignment horizontal="center" vertical="center" wrapText="1"/>
    </xf>
    <xf numFmtId="41" fontId="2" fillId="0" borderId="3" xfId="0" applyNumberFormat="1" applyFont="1" applyFill="1" applyBorder="1" applyAlignment="1">
      <alignment horizontal="center" vertical="center" wrapText="1"/>
    </xf>
    <xf numFmtId="0" fontId="2" fillId="0" borderId="35" xfId="2" applyFont="1" applyFill="1" applyBorder="1" applyAlignment="1">
      <alignment horizontal="justify" vertical="center"/>
    </xf>
    <xf numFmtId="0" fontId="2" fillId="0" borderId="5" xfId="0" applyFont="1" applyFill="1" applyBorder="1" applyAlignment="1">
      <alignment horizontal="center" vertical="center" wrapText="1"/>
    </xf>
    <xf numFmtId="0" fontId="2" fillId="18" borderId="37" xfId="0" applyFont="1" applyFill="1" applyBorder="1" applyAlignment="1">
      <alignment horizontal="center" vertical="center" wrapText="1"/>
    </xf>
    <xf numFmtId="41" fontId="2" fillId="18" borderId="37" xfId="0" applyNumberFormat="1" applyFont="1" applyFill="1" applyBorder="1" applyAlignment="1">
      <alignment horizontal="center" vertical="center" wrapText="1"/>
    </xf>
    <xf numFmtId="0" fontId="2" fillId="0" borderId="6" xfId="2" applyFont="1" applyFill="1" applyBorder="1" applyAlignment="1">
      <alignment horizontal="justify" vertical="center"/>
    </xf>
    <xf numFmtId="0" fontId="2" fillId="0" borderId="3" xfId="0" applyFont="1" applyFill="1" applyBorder="1" applyAlignment="1">
      <alignment horizontal="center" vertical="center" wrapText="1"/>
    </xf>
    <xf numFmtId="0" fontId="2" fillId="0" borderId="22" xfId="2" applyFont="1" applyFill="1" applyBorder="1" applyAlignment="1">
      <alignment horizontal="justify" vertical="center"/>
    </xf>
    <xf numFmtId="0" fontId="2" fillId="18" borderId="17" xfId="2" applyFont="1" applyFill="1" applyBorder="1" applyAlignment="1">
      <alignment horizontal="justify" vertical="center"/>
    </xf>
    <xf numFmtId="41" fontId="3" fillId="0" borderId="7" xfId="5" applyNumberFormat="1" applyFont="1" applyFill="1" applyBorder="1" applyAlignment="1">
      <alignment horizontal="center" vertical="center" wrapText="1"/>
    </xf>
    <xf numFmtId="41" fontId="3" fillId="0" borderId="5" xfId="0" applyNumberFormat="1" applyFont="1" applyFill="1" applyBorder="1" applyAlignment="1">
      <alignment horizontal="center" vertical="center"/>
    </xf>
    <xf numFmtId="41" fontId="3" fillId="18" borderId="37" xfId="0" applyNumberFormat="1" applyFont="1" applyFill="1" applyBorder="1" applyAlignment="1">
      <alignment horizontal="center" vertical="center"/>
    </xf>
    <xf numFmtId="41" fontId="3" fillId="18" borderId="38" xfId="0" applyNumberFormat="1" applyFont="1" applyFill="1" applyBorder="1" applyAlignment="1">
      <alignment horizontal="center" vertical="center"/>
    </xf>
    <xf numFmtId="0" fontId="2" fillId="0" borderId="35" xfId="0" applyFont="1" applyFill="1" applyBorder="1" applyAlignment="1">
      <alignment horizontal="left" vertical="center"/>
    </xf>
    <xf numFmtId="0" fontId="2" fillId="0" borderId="5" xfId="0" applyFont="1" applyFill="1" applyBorder="1" applyAlignment="1">
      <alignment horizontal="center" vertical="center"/>
    </xf>
    <xf numFmtId="3" fontId="2" fillId="0" borderId="5" xfId="0" applyNumberFormat="1" applyFont="1" applyFill="1" applyBorder="1" applyAlignment="1">
      <alignment horizontal="right" vertical="center"/>
    </xf>
    <xf numFmtId="3" fontId="2" fillId="0" borderId="43" xfId="0" applyNumberFormat="1" applyFont="1" applyFill="1" applyBorder="1" applyAlignment="1">
      <alignment horizontal="right" vertical="center"/>
    </xf>
    <xf numFmtId="0" fontId="2" fillId="5" borderId="17" xfId="0" applyFont="1" applyFill="1" applyBorder="1" applyAlignment="1">
      <alignment horizontal="justify" vertical="center"/>
    </xf>
    <xf numFmtId="0" fontId="2" fillId="5" borderId="37" xfId="0" applyFont="1" applyFill="1" applyBorder="1" applyAlignment="1">
      <alignment horizontal="center" vertical="center"/>
    </xf>
    <xf numFmtId="3" fontId="2" fillId="5" borderId="37" xfId="0" applyNumberFormat="1" applyFont="1" applyFill="1" applyBorder="1" applyAlignment="1">
      <alignment horizontal="right" vertical="center"/>
    </xf>
    <xf numFmtId="3" fontId="2" fillId="5" borderId="38" xfId="0" applyNumberFormat="1" applyFont="1" applyFill="1" applyBorder="1" applyAlignment="1">
      <alignment horizontal="right" vertical="center"/>
    </xf>
    <xf numFmtId="0" fontId="2" fillId="0" borderId="3" xfId="0" applyFont="1" applyFill="1" applyBorder="1" applyAlignment="1">
      <alignment horizontal="center" vertical="center"/>
    </xf>
    <xf numFmtId="3" fontId="2" fillId="0" borderId="3" xfId="0" applyNumberFormat="1" applyFont="1" applyFill="1" applyBorder="1" applyAlignment="1">
      <alignment horizontal="right" vertical="center"/>
    </xf>
    <xf numFmtId="3" fontId="2" fillId="0" borderId="45" xfId="0" applyNumberFormat="1" applyFont="1" applyFill="1" applyBorder="1" applyAlignment="1">
      <alignment horizontal="right" vertical="center"/>
    </xf>
    <xf numFmtId="3" fontId="0" fillId="0" borderId="5" xfId="0" applyNumberFormat="1" applyBorder="1" applyAlignment="1">
      <alignment horizontal="right" vertical="center"/>
    </xf>
    <xf numFmtId="0" fontId="2" fillId="0" borderId="7" xfId="0" applyFont="1" applyFill="1" applyBorder="1" applyAlignment="1">
      <alignment horizontal="center" vertical="center"/>
    </xf>
    <xf numFmtId="3" fontId="2" fillId="0" borderId="7" xfId="0" applyNumberFormat="1" applyFont="1" applyFill="1" applyBorder="1" applyAlignment="1">
      <alignment horizontal="right" vertical="center"/>
    </xf>
    <xf numFmtId="3" fontId="2" fillId="0" borderId="23" xfId="0" applyNumberFormat="1" applyFont="1" applyFill="1" applyBorder="1" applyAlignment="1">
      <alignment horizontal="right" vertical="center"/>
    </xf>
    <xf numFmtId="3" fontId="2" fillId="3" borderId="7" xfId="1" applyNumberFormat="1" applyFont="1" applyFill="1" applyBorder="1" applyAlignment="1">
      <alignment horizontal="right" vertical="center"/>
    </xf>
    <xf numFmtId="3" fontId="2" fillId="5" borderId="37" xfId="5" applyNumberFormat="1" applyFont="1" applyFill="1" applyBorder="1" applyAlignment="1">
      <alignment horizontal="right" vertical="center"/>
    </xf>
    <xf numFmtId="3" fontId="2" fillId="3" borderId="7" xfId="0" applyNumberFormat="1" applyFont="1" applyFill="1" applyBorder="1" applyAlignment="1">
      <alignment horizontal="right" vertical="center"/>
    </xf>
    <xf numFmtId="0" fontId="2" fillId="15" borderId="37" xfId="0" applyFont="1" applyFill="1" applyBorder="1" applyAlignment="1">
      <alignment horizontal="center" vertical="center"/>
    </xf>
    <xf numFmtId="3" fontId="2" fillId="15" borderId="37" xfId="0" applyNumberFormat="1" applyFont="1" applyFill="1" applyBorder="1" applyAlignment="1">
      <alignment horizontal="right" vertical="center"/>
    </xf>
    <xf numFmtId="3" fontId="2" fillId="15" borderId="38" xfId="0" applyNumberFormat="1" applyFont="1" applyFill="1" applyBorder="1" applyAlignment="1">
      <alignment horizontal="right" vertical="center"/>
    </xf>
    <xf numFmtId="1" fontId="2" fillId="0" borderId="5" xfId="0" applyNumberFormat="1" applyFont="1" applyFill="1" applyBorder="1" applyAlignment="1">
      <alignment horizontal="center" vertical="center"/>
    </xf>
    <xf numFmtId="1" fontId="2" fillId="15" borderId="37"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 fontId="2" fillId="5" borderId="37" xfId="0" applyNumberFormat="1" applyFont="1" applyFill="1" applyBorder="1" applyAlignment="1">
      <alignment horizontal="center" vertical="center"/>
    </xf>
    <xf numFmtId="166" fontId="0" fillId="0" borderId="43" xfId="0" applyNumberFormat="1" applyBorder="1" applyAlignment="1">
      <alignment horizontal="center" vertical="center"/>
    </xf>
    <xf numFmtId="0" fontId="0" fillId="0" borderId="22" xfId="0" applyFill="1" applyBorder="1" applyAlignment="1">
      <alignment horizontal="justify" vertical="center"/>
    </xf>
    <xf numFmtId="0" fontId="0" fillId="0" borderId="7" xfId="0" applyFill="1" applyBorder="1" applyAlignment="1">
      <alignment horizontal="center" vertical="center"/>
    </xf>
    <xf numFmtId="166" fontId="0" fillId="0" borderId="7" xfId="0" applyNumberFormat="1" applyBorder="1" applyAlignment="1">
      <alignment vertical="center"/>
    </xf>
    <xf numFmtId="0" fontId="2" fillId="22" borderId="35" xfId="0" applyFont="1" applyFill="1" applyBorder="1" applyAlignment="1">
      <alignment horizontal="justify" vertical="center" wrapText="1"/>
    </xf>
    <xf numFmtId="0" fontId="0" fillId="3" borderId="5" xfId="0" applyFill="1" applyBorder="1" applyAlignment="1">
      <alignment horizontal="center" vertical="center"/>
    </xf>
    <xf numFmtId="0" fontId="2" fillId="20" borderId="17" xfId="0" applyFont="1" applyFill="1" applyBorder="1" applyAlignment="1">
      <alignment horizontal="justify" vertical="center" wrapText="1"/>
    </xf>
    <xf numFmtId="0" fontId="0" fillId="21" borderId="37" xfId="0" applyFill="1" applyBorder="1" applyAlignment="1">
      <alignment horizontal="center" vertical="center"/>
    </xf>
    <xf numFmtId="166" fontId="0" fillId="21" borderId="37" xfId="0" applyNumberFormat="1" applyFill="1" applyBorder="1" applyAlignment="1">
      <alignment horizontal="center" vertical="center"/>
    </xf>
    <xf numFmtId="166" fontId="0" fillId="21" borderId="38" xfId="0" applyNumberFormat="1" applyFill="1" applyBorder="1" applyAlignment="1">
      <alignment horizontal="center" vertical="center"/>
    </xf>
    <xf numFmtId="0" fontId="2" fillId="22" borderId="6" xfId="0" applyFont="1" applyFill="1" applyBorder="1" applyAlignment="1">
      <alignment horizontal="justify" vertical="center" wrapText="1"/>
    </xf>
    <xf numFmtId="3" fontId="2" fillId="6" borderId="5" xfId="0" applyNumberFormat="1" applyFont="1" applyFill="1" applyBorder="1" applyAlignment="1">
      <alignment horizontal="center" vertical="center" wrapText="1"/>
    </xf>
    <xf numFmtId="3" fontId="2" fillId="6" borderId="3" xfId="0" applyNumberFormat="1" applyFont="1" applyFill="1" applyBorder="1" applyAlignment="1">
      <alignment horizontal="center" vertical="center" wrapText="1"/>
    </xf>
    <xf numFmtId="0" fontId="3" fillId="0" borderId="35" xfId="0" applyFont="1" applyFill="1" applyBorder="1" applyAlignment="1">
      <alignment horizontal="justify" vertical="center" wrapText="1"/>
    </xf>
    <xf numFmtId="3" fontId="2" fillId="0" borderId="5" xfId="0" applyNumberFormat="1" applyFont="1" applyFill="1" applyBorder="1" applyAlignment="1">
      <alignment horizontal="center" vertical="center" wrapText="1"/>
    </xf>
    <xf numFmtId="3" fontId="2" fillId="21" borderId="37" xfId="0" applyNumberFormat="1" applyFont="1" applyFill="1" applyBorder="1" applyAlignment="1">
      <alignment horizontal="center" vertical="center" wrapText="1"/>
    </xf>
    <xf numFmtId="0" fontId="2" fillId="19" borderId="33" xfId="0" applyFont="1" applyFill="1" applyBorder="1" applyAlignment="1">
      <alignment horizontal="justify" vertical="center" wrapText="1"/>
    </xf>
    <xf numFmtId="0" fontId="0" fillId="15" borderId="34" xfId="0" applyFill="1" applyBorder="1" applyAlignment="1">
      <alignment horizontal="center" vertical="center"/>
    </xf>
    <xf numFmtId="166" fontId="0" fillId="15" borderId="34" xfId="0" applyNumberFormat="1" applyFill="1" applyBorder="1" applyAlignment="1">
      <alignment horizontal="center" vertical="center"/>
    </xf>
    <xf numFmtId="166" fontId="0" fillId="15" borderId="42" xfId="0" applyNumberFormat="1" applyFill="1" applyBorder="1" applyAlignment="1">
      <alignment horizontal="center" vertical="center"/>
    </xf>
    <xf numFmtId="1" fontId="17" fillId="14" borderId="20" xfId="0" applyNumberFormat="1" applyFont="1" applyFill="1" applyBorder="1" applyAlignment="1">
      <alignment horizontal="center" vertical="center" wrapText="1"/>
    </xf>
    <xf numFmtId="0" fontId="2" fillId="24" borderId="17" xfId="0" applyFont="1" applyFill="1" applyBorder="1" applyAlignment="1">
      <alignment horizontal="justify" vertical="center"/>
    </xf>
    <xf numFmtId="0" fontId="3" fillId="17" borderId="37" xfId="0" applyFont="1" applyFill="1" applyBorder="1" applyAlignment="1">
      <alignment horizontal="center" vertical="center"/>
    </xf>
    <xf numFmtId="41" fontId="3" fillId="17" borderId="37" xfId="0" applyNumberFormat="1" applyFont="1" applyFill="1" applyBorder="1" applyAlignment="1">
      <alignment horizontal="center" vertical="center"/>
    </xf>
    <xf numFmtId="0" fontId="2" fillId="0" borderId="33" xfId="2" applyFont="1" applyFill="1" applyBorder="1" applyAlignment="1">
      <alignment horizontal="justify" vertical="center"/>
    </xf>
    <xf numFmtId="9" fontId="3" fillId="0" borderId="34" xfId="5" applyFont="1" applyFill="1" applyBorder="1" applyAlignment="1">
      <alignment horizontal="center" vertical="center" wrapText="1"/>
    </xf>
    <xf numFmtId="41" fontId="3" fillId="0" borderId="34" xfId="5" applyNumberFormat="1" applyFont="1" applyFill="1" applyBorder="1" applyAlignment="1">
      <alignment horizontal="center" vertical="center" wrapText="1"/>
    </xf>
    <xf numFmtId="9" fontId="3" fillId="17" borderId="37" xfId="5" applyFont="1" applyFill="1" applyBorder="1" applyAlignment="1">
      <alignment horizontal="center" vertical="center" wrapText="1"/>
    </xf>
    <xf numFmtId="41" fontId="3" fillId="17" borderId="37" xfId="5" applyNumberFormat="1" applyFont="1" applyFill="1" applyBorder="1" applyAlignment="1">
      <alignment horizontal="center" vertical="center" wrapText="1"/>
    </xf>
    <xf numFmtId="0" fontId="7" fillId="0" borderId="35" xfId="0" applyFont="1" applyFill="1" applyBorder="1" applyAlignment="1">
      <alignment horizontal="justify" vertical="center" wrapText="1" readingOrder="1"/>
    </xf>
    <xf numFmtId="1" fontId="3" fillId="0" borderId="5" xfId="3" applyNumberFormat="1" applyFont="1" applyFill="1" applyBorder="1" applyAlignment="1">
      <alignment horizontal="center" vertical="center"/>
    </xf>
    <xf numFmtId="41" fontId="3" fillId="0" borderId="5" xfId="3" applyFont="1" applyFill="1" applyBorder="1" applyAlignment="1">
      <alignment horizontal="center" vertical="center"/>
    </xf>
    <xf numFmtId="41" fontId="3" fillId="0" borderId="43" xfId="3" applyFont="1" applyFill="1" applyBorder="1" applyAlignment="1">
      <alignment horizontal="center" vertical="center"/>
    </xf>
    <xf numFmtId="0" fontId="4" fillId="18" borderId="17" xfId="0" applyFont="1" applyFill="1" applyBorder="1" applyAlignment="1">
      <alignment horizontal="justify" vertical="center" wrapText="1"/>
    </xf>
    <xf numFmtId="0" fontId="7" fillId="0" borderId="6" xfId="0" applyFont="1" applyFill="1" applyBorder="1" applyAlignment="1">
      <alignment horizontal="justify" vertical="center" wrapText="1" readingOrder="1"/>
    </xf>
    <xf numFmtId="167" fontId="3" fillId="0" borderId="3" xfId="6" applyNumberFormat="1" applyFont="1" applyFill="1" applyBorder="1" applyAlignment="1">
      <alignment horizontal="center" vertical="center"/>
    </xf>
    <xf numFmtId="164" fontId="3" fillId="0" borderId="5" xfId="0" applyNumberFormat="1" applyFont="1" applyFill="1" applyBorder="1" applyAlignment="1">
      <alignment horizontal="center" vertical="center"/>
    </xf>
    <xf numFmtId="164" fontId="3" fillId="18" borderId="37" xfId="0" applyNumberFormat="1" applyFont="1" applyFill="1" applyBorder="1" applyAlignment="1">
      <alignment vertical="center" wrapText="1"/>
    </xf>
    <xf numFmtId="164" fontId="3" fillId="18" borderId="38" xfId="0" applyNumberFormat="1" applyFont="1" applyFill="1" applyBorder="1" applyAlignment="1">
      <alignment vertical="center" wrapText="1"/>
    </xf>
    <xf numFmtId="0" fontId="4" fillId="18" borderId="33" xfId="0" applyFont="1" applyFill="1" applyBorder="1" applyAlignment="1">
      <alignment horizontal="justify" vertical="center" wrapText="1"/>
    </xf>
    <xf numFmtId="0" fontId="3" fillId="18" borderId="34" xfId="0" applyFont="1" applyFill="1" applyBorder="1" applyAlignment="1">
      <alignment horizontal="center" vertical="center" wrapText="1"/>
    </xf>
    <xf numFmtId="41" fontId="3" fillId="18" borderId="34" xfId="0" applyNumberFormat="1" applyFont="1" applyFill="1" applyBorder="1" applyAlignment="1">
      <alignment vertical="center" wrapText="1"/>
    </xf>
    <xf numFmtId="41" fontId="3" fillId="18" borderId="42" xfId="0" applyNumberFormat="1" applyFont="1" applyFill="1" applyBorder="1" applyAlignment="1">
      <alignment vertical="center" wrapText="1"/>
    </xf>
    <xf numFmtId="0" fontId="3" fillId="15" borderId="37" xfId="0" applyFont="1" applyFill="1" applyBorder="1" applyAlignment="1">
      <alignment horizontal="center" vertical="center" wrapText="1"/>
    </xf>
    <xf numFmtId="164" fontId="3" fillId="15" borderId="37" xfId="1" applyFont="1" applyFill="1" applyBorder="1" applyAlignment="1">
      <alignment horizontal="center" vertical="center" wrapText="1"/>
    </xf>
    <xf numFmtId="164" fontId="3" fillId="15" borderId="38" xfId="1" applyFont="1" applyFill="1" applyBorder="1" applyAlignment="1">
      <alignment horizontal="center" vertical="center" wrapText="1"/>
    </xf>
    <xf numFmtId="0" fontId="23" fillId="29" borderId="22" xfId="0" applyFont="1" applyFill="1" applyBorder="1" applyAlignment="1">
      <alignment horizontal="justify" vertical="center" wrapText="1"/>
    </xf>
    <xf numFmtId="0" fontId="3" fillId="29" borderId="7" xfId="0" applyFont="1" applyFill="1" applyBorder="1" applyAlignment="1">
      <alignment horizontal="center" vertical="center" wrapText="1"/>
    </xf>
    <xf numFmtId="164" fontId="0" fillId="29" borderId="7" xfId="0" applyNumberFormat="1" applyFill="1" applyBorder="1" applyAlignment="1">
      <alignment wrapText="1"/>
    </xf>
    <xf numFmtId="164" fontId="0" fillId="29" borderId="10" xfId="0" applyNumberFormat="1" applyFill="1" applyBorder="1" applyAlignment="1">
      <alignment wrapText="1"/>
    </xf>
    <xf numFmtId="164" fontId="0" fillId="29" borderId="23" xfId="0" applyNumberFormat="1" applyFill="1" applyBorder="1" applyAlignment="1">
      <alignment wrapText="1"/>
    </xf>
    <xf numFmtId="0" fontId="2" fillId="3" borderId="33" xfId="0" applyFont="1" applyFill="1" applyBorder="1" applyAlignment="1">
      <alignment horizontal="justify" vertical="center" wrapText="1"/>
    </xf>
    <xf numFmtId="0" fontId="3" fillId="3" borderId="34" xfId="0" applyFont="1" applyFill="1" applyBorder="1" applyAlignment="1">
      <alignment horizontal="center" vertical="center" wrapText="1"/>
    </xf>
    <xf numFmtId="164" fontId="3" fillId="3" borderId="34" xfId="1" applyFont="1" applyFill="1" applyBorder="1" applyAlignment="1">
      <alignment horizontal="right" vertical="center" wrapText="1"/>
    </xf>
    <xf numFmtId="164" fontId="3" fillId="3" borderId="41" xfId="1" applyFont="1" applyFill="1" applyBorder="1" applyAlignment="1">
      <alignment horizontal="right" vertical="center" wrapText="1"/>
    </xf>
    <xf numFmtId="41" fontId="0" fillId="3" borderId="42" xfId="0" applyNumberFormat="1" applyFill="1" applyBorder="1" applyAlignment="1">
      <alignment vertical="center" wrapText="1"/>
    </xf>
    <xf numFmtId="164" fontId="3" fillId="15" borderId="37" xfId="0" applyNumberFormat="1" applyFont="1" applyFill="1" applyBorder="1" applyAlignment="1">
      <alignment horizontal="center" vertical="center" wrapText="1"/>
    </xf>
    <xf numFmtId="164" fontId="3" fillId="0" borderId="23" xfId="1" applyFont="1" applyFill="1" applyBorder="1" applyAlignment="1">
      <alignment horizontal="center" vertical="center"/>
    </xf>
    <xf numFmtId="0" fontId="24" fillId="0" borderId="35" xfId="0" applyFont="1" applyFill="1" applyBorder="1" applyAlignment="1">
      <alignment horizontal="justify" vertical="center" wrapText="1"/>
    </xf>
    <xf numFmtId="164" fontId="0" fillId="0" borderId="5" xfId="1" applyFont="1" applyFill="1" applyBorder="1" applyAlignment="1">
      <alignment horizontal="center" vertical="center"/>
    </xf>
    <xf numFmtId="0" fontId="24" fillId="18" borderId="17" xfId="0" applyFont="1" applyFill="1" applyBorder="1" applyAlignment="1">
      <alignment horizontal="justify" vertical="center" wrapText="1"/>
    </xf>
    <xf numFmtId="0" fontId="2" fillId="33" borderId="6" xfId="0" applyFont="1" applyFill="1" applyBorder="1" applyAlignment="1">
      <alignment horizontal="justify" vertical="center" wrapText="1"/>
    </xf>
    <xf numFmtId="166" fontId="3" fillId="0" borderId="3" xfId="0" applyNumberFormat="1" applyFont="1" applyFill="1" applyBorder="1" applyAlignment="1">
      <alignment horizontal="center" vertical="center" wrapText="1"/>
    </xf>
    <xf numFmtId="166" fontId="3" fillId="0" borderId="45" xfId="0" applyNumberFormat="1" applyFont="1" applyBorder="1" applyAlignment="1">
      <alignment horizontal="center" vertical="center"/>
    </xf>
    <xf numFmtId="0" fontId="3" fillId="0" borderId="76" xfId="0" applyFont="1" applyFill="1" applyBorder="1" applyAlignment="1">
      <alignment horizontal="center" vertical="center" wrapText="1"/>
    </xf>
    <xf numFmtId="166" fontId="3" fillId="0" borderId="45" xfId="0" applyNumberFormat="1" applyFont="1" applyFill="1" applyBorder="1" applyAlignment="1">
      <alignment vertical="center"/>
    </xf>
    <xf numFmtId="166" fontId="17" fillId="0" borderId="37" xfId="0" applyNumberFormat="1" applyFont="1" applyFill="1" applyBorder="1" applyAlignment="1">
      <alignment vertical="center"/>
    </xf>
    <xf numFmtId="167" fontId="2" fillId="33" borderId="20" xfId="6" applyNumberFormat="1" applyFont="1" applyFill="1" applyBorder="1" applyAlignment="1">
      <alignment horizontal="right" vertical="center" wrapText="1"/>
    </xf>
    <xf numFmtId="0" fontId="3" fillId="0" borderId="3" xfId="0" applyFont="1" applyFill="1" applyBorder="1" applyAlignment="1">
      <alignment horizontal="left" vertical="center" wrapText="1"/>
    </xf>
    <xf numFmtId="42" fontId="3" fillId="0" borderId="0" xfId="8" applyFont="1" applyBorder="1" applyAlignment="1">
      <alignment horizontal="right"/>
    </xf>
    <xf numFmtId="42" fontId="0" fillId="0" borderId="0" xfId="8" applyFont="1" applyBorder="1"/>
    <xf numFmtId="43" fontId="17" fillId="0" borderId="0" xfId="6" applyFont="1" applyBorder="1"/>
    <xf numFmtId="167" fontId="0" fillId="0" borderId="0" xfId="0" applyNumberFormat="1" applyAlignment="1">
      <alignment vertical="center"/>
    </xf>
    <xf numFmtId="166" fontId="3" fillId="0" borderId="0" xfId="0" applyNumberFormat="1" applyFont="1" applyFill="1" applyAlignment="1">
      <alignment vertical="center"/>
    </xf>
    <xf numFmtId="0" fontId="2" fillId="23" borderId="17" xfId="0" applyFont="1" applyFill="1" applyBorder="1" applyAlignment="1">
      <alignment horizontal="justify" vertical="center" wrapText="1"/>
    </xf>
    <xf numFmtId="0" fontId="0" fillId="15" borderId="37" xfId="0" applyFill="1" applyBorder="1" applyAlignment="1">
      <alignment horizontal="center" vertical="center"/>
    </xf>
    <xf numFmtId="166" fontId="0" fillId="15" borderId="37" xfId="0" applyNumberFormat="1" applyFill="1" applyBorder="1" applyAlignment="1">
      <alignment horizontal="center" vertical="center"/>
    </xf>
    <xf numFmtId="166" fontId="0" fillId="15" borderId="38" xfId="0" applyNumberFormat="1" applyFill="1" applyBorder="1" applyAlignment="1">
      <alignment horizontal="right" vertical="center"/>
    </xf>
    <xf numFmtId="5" fontId="1" fillId="0" borderId="23" xfId="1" applyNumberFormat="1" applyFont="1" applyFill="1" applyBorder="1" applyAlignment="1">
      <alignment horizontal="right" vertical="center"/>
    </xf>
    <xf numFmtId="0" fontId="3" fillId="0" borderId="22" xfId="0" applyFont="1" applyFill="1" applyBorder="1" applyAlignment="1">
      <alignment horizontal="justify" vertical="center" wrapText="1"/>
    </xf>
    <xf numFmtId="166" fontId="0" fillId="0" borderId="23" xfId="0" applyNumberFormat="1" applyFill="1" applyBorder="1" applyAlignment="1">
      <alignment horizontal="right" vertical="center"/>
    </xf>
    <xf numFmtId="0" fontId="22" fillId="21" borderId="37" xfId="0" applyFont="1" applyFill="1" applyBorder="1" applyAlignment="1">
      <alignment horizontal="center" vertical="center" wrapText="1"/>
    </xf>
    <xf numFmtId="166" fontId="0" fillId="21" borderId="38" xfId="0" applyNumberFormat="1" applyFill="1" applyBorder="1" applyAlignment="1">
      <alignment horizontal="right" vertical="center"/>
    </xf>
    <xf numFmtId="0" fontId="2" fillId="23" borderId="12" xfId="0" applyFont="1" applyFill="1" applyBorder="1" applyAlignment="1">
      <alignment horizontal="justify" vertical="center" wrapText="1"/>
    </xf>
    <xf numFmtId="0" fontId="21" fillId="21" borderId="12" xfId="0" applyFont="1" applyFill="1" applyBorder="1" applyAlignment="1">
      <alignment horizontal="justify" vertical="center" wrapText="1"/>
    </xf>
    <xf numFmtId="0" fontId="21" fillId="21" borderId="17" xfId="0" applyFont="1" applyFill="1" applyBorder="1" applyAlignment="1">
      <alignment horizontal="justify" vertical="center" wrapText="1"/>
    </xf>
    <xf numFmtId="0" fontId="3" fillId="0" borderId="33" xfId="0" applyFont="1" applyFill="1" applyBorder="1" applyAlignment="1">
      <alignment horizontal="justify" vertical="center" wrapText="1"/>
    </xf>
    <xf numFmtId="0" fontId="0" fillId="0" borderId="34" xfId="0" applyFill="1" applyBorder="1" applyAlignment="1">
      <alignment horizontal="center" vertical="center"/>
    </xf>
    <xf numFmtId="166" fontId="0" fillId="0" borderId="34" xfId="0" applyNumberFormat="1" applyFill="1" applyBorder="1" applyAlignment="1">
      <alignment horizontal="center" vertical="center"/>
    </xf>
    <xf numFmtId="166" fontId="0" fillId="0" borderId="42" xfId="0" applyNumberFormat="1" applyFill="1" applyBorder="1" applyAlignment="1">
      <alignment horizontal="right" vertical="center"/>
    </xf>
    <xf numFmtId="0" fontId="14" fillId="35" borderId="28" xfId="0" applyFont="1" applyFill="1" applyBorder="1" applyAlignment="1">
      <alignment horizontal="center"/>
    </xf>
    <xf numFmtId="43" fontId="8" fillId="13" borderId="2" xfId="5" applyNumberFormat="1" applyFont="1" applyFill="1" applyBorder="1" applyAlignment="1">
      <alignment horizontal="center" vertical="center"/>
    </xf>
    <xf numFmtId="9" fontId="8" fillId="13" borderId="2" xfId="5" applyFont="1" applyFill="1" applyBorder="1" applyAlignment="1">
      <alignment horizontal="center" vertical="center"/>
    </xf>
    <xf numFmtId="43" fontId="10" fillId="17" borderId="2" xfId="10" applyFont="1" applyFill="1" applyBorder="1" applyAlignment="1">
      <alignment horizontal="center" vertical="center" wrapText="1"/>
    </xf>
    <xf numFmtId="3" fontId="0" fillId="0" borderId="0" xfId="0" applyNumberFormat="1"/>
    <xf numFmtId="3" fontId="0" fillId="0" borderId="0" xfId="0" applyNumberFormat="1" applyAlignment="1"/>
    <xf numFmtId="0" fontId="2" fillId="0" borderId="4" xfId="0" applyFont="1" applyFill="1" applyBorder="1" applyAlignment="1">
      <alignment horizontal="center" vertical="center" wrapText="1"/>
    </xf>
    <xf numFmtId="0" fontId="2" fillId="33" borderId="27" xfId="0" applyFont="1" applyFill="1" applyBorder="1" applyAlignment="1">
      <alignment horizontal="justify" vertical="center" wrapText="1"/>
    </xf>
    <xf numFmtId="164" fontId="2" fillId="33" borderId="52" xfId="0" applyNumberFormat="1" applyFont="1" applyFill="1" applyBorder="1" applyAlignment="1">
      <alignment horizontal="center" vertical="center" wrapText="1"/>
    </xf>
    <xf numFmtId="167" fontId="3" fillId="0" borderId="0" xfId="6" applyNumberFormat="1" applyFont="1" applyAlignment="1">
      <alignment horizontal="right"/>
    </xf>
    <xf numFmtId="42" fontId="2" fillId="0" borderId="0" xfId="0" applyNumberFormat="1" applyFont="1"/>
    <xf numFmtId="164" fontId="3" fillId="0" borderId="18" xfId="1" applyFont="1" applyFill="1" applyBorder="1" applyAlignment="1">
      <alignment horizontal="right" vertical="center"/>
    </xf>
    <xf numFmtId="164" fontId="3" fillId="0" borderId="0" xfId="1" applyFont="1" applyFill="1" applyAlignment="1">
      <alignment vertical="center"/>
    </xf>
    <xf numFmtId="0" fontId="46" fillId="0" borderId="0" xfId="0" applyFont="1" applyFill="1" applyAlignment="1">
      <alignment horizontal="left" vertical="center"/>
    </xf>
    <xf numFmtId="0" fontId="3" fillId="0" borderId="0" xfId="0" applyFont="1" applyFill="1" applyAlignment="1">
      <alignment horizontal="left" vertical="center"/>
    </xf>
    <xf numFmtId="0" fontId="46" fillId="0" borderId="0" xfId="0" applyFont="1" applyFill="1" applyAlignment="1">
      <alignment horizontal="left"/>
    </xf>
    <xf numFmtId="0" fontId="46" fillId="0" borderId="0" xfId="0" applyFont="1" applyFill="1" applyAlignment="1">
      <alignment vertical="center"/>
    </xf>
    <xf numFmtId="0" fontId="3" fillId="0" borderId="2" xfId="0" applyFont="1" applyFill="1" applyBorder="1"/>
    <xf numFmtId="0" fontId="2" fillId="0" borderId="2" xfId="0" applyFont="1" applyFill="1" applyBorder="1" applyAlignment="1" applyProtection="1">
      <alignment horizontal="justify" vertical="center" wrapText="1"/>
      <protection locked="0"/>
    </xf>
    <xf numFmtId="0" fontId="46" fillId="0" borderId="0" xfId="0" applyFont="1" applyFill="1" applyAlignment="1">
      <alignment horizontal="left" vertical="center" wrapText="1"/>
    </xf>
    <xf numFmtId="0" fontId="2" fillId="0" borderId="0" xfId="0" applyFont="1" applyFill="1"/>
    <xf numFmtId="0" fontId="35" fillId="0" borderId="0" xfId="0" applyFont="1" applyFill="1"/>
    <xf numFmtId="42" fontId="3" fillId="0" borderId="2" xfId="8" applyNumberFormat="1" applyFont="1" applyFill="1" applyBorder="1" applyAlignment="1">
      <alignment horizontal="center" vertical="center"/>
    </xf>
    <xf numFmtId="0" fontId="0" fillId="0" borderId="0" xfId="0" applyFont="1" applyFill="1"/>
    <xf numFmtId="0" fontId="3" fillId="0" borderId="2" xfId="0" applyFont="1" applyFill="1" applyBorder="1" applyAlignment="1">
      <alignment vertical="center"/>
    </xf>
    <xf numFmtId="44" fontId="3" fillId="0" borderId="2" xfId="0" applyNumberFormat="1" applyFont="1" applyFill="1" applyBorder="1" applyAlignment="1">
      <alignment vertical="center"/>
    </xf>
    <xf numFmtId="170" fontId="3" fillId="0" borderId="2" xfId="7" applyNumberFormat="1" applyFont="1" applyFill="1" applyBorder="1" applyAlignment="1">
      <alignment vertical="center"/>
    </xf>
    <xf numFmtId="170" fontId="3" fillId="0" borderId="0" xfId="7" applyNumberFormat="1" applyFont="1" applyFill="1" applyAlignment="1">
      <alignment vertical="center"/>
    </xf>
    <xf numFmtId="166" fontId="3" fillId="0" borderId="2" xfId="0" applyNumberFormat="1" applyFont="1" applyFill="1" applyBorder="1" applyAlignment="1">
      <alignment horizontal="right" vertical="center" wrapText="1"/>
    </xf>
    <xf numFmtId="167" fontId="3" fillId="0" borderId="0" xfId="0" applyNumberFormat="1" applyFont="1" applyFill="1" applyAlignment="1">
      <alignment vertical="center"/>
    </xf>
    <xf numFmtId="167" fontId="3" fillId="0" borderId="18" xfId="6" applyNumberFormat="1" applyFont="1" applyFill="1" applyBorder="1" applyAlignment="1">
      <alignment horizontal="right"/>
    </xf>
    <xf numFmtId="167" fontId="3" fillId="0" borderId="0" xfId="0" applyNumberFormat="1" applyFont="1" applyFill="1"/>
    <xf numFmtId="41" fontId="3" fillId="0" borderId="45" xfId="3" applyFont="1" applyFill="1" applyBorder="1" applyAlignment="1">
      <alignment horizontal="center" vertical="center"/>
    </xf>
    <xf numFmtId="166" fontId="3" fillId="0" borderId="2" xfId="0" applyNumberFormat="1" applyFont="1" applyBorder="1" applyAlignment="1">
      <alignment horizontal="center" vertical="center" wrapText="1"/>
    </xf>
    <xf numFmtId="170" fontId="0" fillId="0" borderId="0" xfId="7" applyNumberFormat="1" applyFont="1" applyAlignment="1">
      <alignment vertical="center"/>
    </xf>
    <xf numFmtId="170" fontId="0" fillId="0" borderId="0" xfId="7" applyNumberFormat="1" applyFont="1"/>
    <xf numFmtId="3" fontId="24" fillId="0" borderId="45" xfId="0" applyNumberFormat="1" applyFont="1" applyFill="1" applyBorder="1" applyAlignment="1">
      <alignment horizontal="right" vertical="center" wrapText="1"/>
    </xf>
    <xf numFmtId="0" fontId="3" fillId="0" borderId="0" xfId="0" applyFont="1" applyFill="1" applyBorder="1" applyAlignment="1">
      <alignment horizontal="left" vertical="center"/>
    </xf>
    <xf numFmtId="42" fontId="35" fillId="0" borderId="0" xfId="0" applyNumberFormat="1" applyFont="1" applyAlignment="1">
      <alignment horizontal="center" vertical="center"/>
    </xf>
    <xf numFmtId="0" fontId="0" fillId="0" borderId="0" xfId="0" applyFill="1" applyAlignment="1"/>
    <xf numFmtId="3" fontId="0" fillId="0" borderId="0" xfId="0" applyNumberFormat="1" applyFill="1" applyAlignment="1"/>
    <xf numFmtId="41" fontId="17" fillId="4" borderId="37" xfId="0" applyNumberFormat="1" applyFont="1" applyFill="1" applyBorder="1" applyAlignment="1">
      <alignment vertical="center"/>
    </xf>
    <xf numFmtId="167" fontId="3" fillId="0" borderId="0" xfId="0" applyNumberFormat="1" applyFont="1" applyFill="1" applyAlignment="1">
      <alignment horizontal="left" vertical="center"/>
    </xf>
    <xf numFmtId="167" fontId="2" fillId="0" borderId="2" xfId="0" applyNumberFormat="1" applyFont="1" applyFill="1" applyBorder="1" applyAlignment="1">
      <alignment horizontal="center" vertical="center" wrapText="1"/>
    </xf>
    <xf numFmtId="0" fontId="2" fillId="0" borderId="0" xfId="0" applyFont="1" applyFill="1" applyAlignment="1">
      <alignment horizontal="left" vertical="center"/>
    </xf>
    <xf numFmtId="166" fontId="3" fillId="0" borderId="45" xfId="0" applyNumberFormat="1" applyFont="1" applyFill="1" applyBorder="1" applyAlignment="1">
      <alignment horizontal="right" vertical="center"/>
    </xf>
    <xf numFmtId="0" fontId="3" fillId="0" borderId="25" xfId="0" applyFont="1" applyFill="1" applyBorder="1" applyAlignment="1">
      <alignment horizontal="center" vertical="center" wrapText="1"/>
    </xf>
    <xf numFmtId="166" fontId="3" fillId="0" borderId="20" xfId="0" applyNumberFormat="1" applyFont="1" applyFill="1" applyBorder="1" applyAlignment="1">
      <alignment horizontal="right" vertical="center" wrapText="1"/>
    </xf>
    <xf numFmtId="42" fontId="0" fillId="0" borderId="0" xfId="0" applyNumberFormat="1" applyAlignment="1">
      <alignment horizontal="right"/>
    </xf>
    <xf numFmtId="166" fontId="3" fillId="0" borderId="0" xfId="0" applyNumberFormat="1" applyFont="1" applyAlignment="1">
      <alignment horizontal="center" vertical="center"/>
    </xf>
    <xf numFmtId="0" fontId="2" fillId="18" borderId="46" xfId="2" applyFont="1" applyFill="1" applyBorder="1" applyAlignment="1">
      <alignment horizontal="justify" vertical="center"/>
    </xf>
    <xf numFmtId="0" fontId="3" fillId="18" borderId="53" xfId="0" applyFont="1" applyFill="1" applyBorder="1" applyAlignment="1">
      <alignment horizontal="center" vertical="center" wrapText="1"/>
    </xf>
    <xf numFmtId="41" fontId="3" fillId="18" borderId="53" xfId="0" applyNumberFormat="1" applyFont="1" applyFill="1" applyBorder="1" applyAlignment="1">
      <alignment horizontal="center" vertical="center" wrapText="1"/>
    </xf>
    <xf numFmtId="41" fontId="3" fillId="18" borderId="40" xfId="0" applyNumberFormat="1" applyFont="1" applyFill="1" applyBorder="1" applyAlignment="1">
      <alignment horizontal="center" vertical="center" wrapText="1"/>
    </xf>
    <xf numFmtId="0" fontId="2" fillId="0" borderId="24" xfId="2" applyFont="1" applyFill="1" applyBorder="1" applyAlignment="1">
      <alignment horizontal="justify" vertical="center"/>
    </xf>
    <xf numFmtId="41" fontId="3" fillId="0" borderId="25" xfId="0" applyNumberFormat="1" applyFont="1" applyFill="1" applyBorder="1" applyAlignment="1">
      <alignment horizontal="center" vertical="center" wrapText="1"/>
    </xf>
    <xf numFmtId="41" fontId="3" fillId="0" borderId="26" xfId="0" applyNumberFormat="1" applyFont="1" applyFill="1" applyBorder="1" applyAlignment="1">
      <alignment horizontal="center" vertical="center" wrapText="1"/>
    </xf>
    <xf numFmtId="41" fontId="3" fillId="0" borderId="21" xfId="0" applyNumberFormat="1" applyFont="1" applyFill="1" applyBorder="1" applyAlignment="1">
      <alignment horizontal="center" vertical="center" wrapText="1"/>
    </xf>
    <xf numFmtId="0" fontId="2" fillId="0" borderId="24" xfId="0" applyFont="1" applyFill="1" applyBorder="1" applyAlignment="1">
      <alignment horizontal="justify" vertical="center"/>
    </xf>
    <xf numFmtId="0" fontId="3" fillId="0" borderId="25" xfId="0" applyFont="1" applyFill="1" applyBorder="1" applyAlignment="1">
      <alignment horizontal="center" vertical="center"/>
    </xf>
    <xf numFmtId="41" fontId="3" fillId="0" borderId="25" xfId="0" applyNumberFormat="1" applyFont="1" applyFill="1" applyBorder="1" applyAlignment="1">
      <alignment horizontal="center" vertical="center"/>
    </xf>
    <xf numFmtId="41" fontId="3" fillId="0" borderId="26" xfId="0" applyNumberFormat="1" applyFont="1" applyFill="1" applyBorder="1" applyAlignment="1">
      <alignment horizontal="center" vertical="center"/>
    </xf>
    <xf numFmtId="41" fontId="3" fillId="0" borderId="20" xfId="0" applyNumberFormat="1" applyFont="1" applyFill="1" applyBorder="1" applyAlignment="1">
      <alignment horizontal="center" vertical="center"/>
    </xf>
    <xf numFmtId="41" fontId="3" fillId="0" borderId="21" xfId="0" applyNumberFormat="1" applyFont="1" applyFill="1" applyBorder="1" applyAlignment="1">
      <alignment horizontal="center" vertical="center"/>
    </xf>
    <xf numFmtId="0" fontId="2" fillId="0" borderId="24" xfId="0" applyFont="1" applyFill="1" applyBorder="1" applyAlignment="1">
      <alignment horizontal="justify" vertical="center" wrapText="1"/>
    </xf>
    <xf numFmtId="0" fontId="2" fillId="15" borderId="22" xfId="0" applyFont="1" applyFill="1" applyBorder="1" applyAlignment="1">
      <alignment horizontal="justify" vertical="center" wrapText="1"/>
    </xf>
    <xf numFmtId="0" fontId="3" fillId="15" borderId="7" xfId="0" applyFont="1" applyFill="1" applyBorder="1" applyAlignment="1">
      <alignment horizontal="center" vertical="center"/>
    </xf>
    <xf numFmtId="164" fontId="3" fillId="15" borderId="7" xfId="0" applyNumberFormat="1" applyFont="1" applyFill="1" applyBorder="1" applyAlignment="1">
      <alignment horizontal="center" vertical="center"/>
    </xf>
    <xf numFmtId="164" fontId="3" fillId="15" borderId="23" xfId="0" applyNumberFormat="1" applyFont="1" applyFill="1" applyBorder="1" applyAlignment="1">
      <alignment horizontal="center" vertical="center"/>
    </xf>
    <xf numFmtId="0" fontId="2" fillId="0" borderId="17" xfId="0" applyFont="1" applyFill="1" applyBorder="1" applyAlignment="1">
      <alignment horizontal="justify" vertical="center"/>
    </xf>
    <xf numFmtId="0" fontId="3" fillId="0" borderId="37" xfId="0" applyFont="1" applyFill="1" applyBorder="1" applyAlignment="1">
      <alignment horizontal="center" vertical="center"/>
    </xf>
    <xf numFmtId="41" fontId="3" fillId="0" borderId="37" xfId="0" applyNumberFormat="1" applyFont="1" applyFill="1" applyBorder="1" applyAlignment="1">
      <alignment horizontal="center" vertical="center" wrapText="1"/>
    </xf>
    <xf numFmtId="41" fontId="3" fillId="0" borderId="38" xfId="0" applyNumberFormat="1" applyFont="1" applyFill="1" applyBorder="1" applyAlignment="1">
      <alignment horizontal="center" vertical="center" wrapText="1"/>
    </xf>
    <xf numFmtId="0" fontId="2" fillId="18" borderId="22" xfId="0" applyFont="1" applyFill="1" applyBorder="1" applyAlignment="1">
      <alignment horizontal="justify" vertical="center"/>
    </xf>
    <xf numFmtId="0" fontId="3" fillId="18" borderId="7" xfId="0" applyFont="1" applyFill="1" applyBorder="1" applyAlignment="1">
      <alignment horizontal="center" vertical="center"/>
    </xf>
    <xf numFmtId="41" fontId="3" fillId="18" borderId="7" xfId="0" applyNumberFormat="1" applyFont="1" applyFill="1" applyBorder="1" applyAlignment="1">
      <alignment horizontal="center" vertical="center"/>
    </xf>
    <xf numFmtId="166" fontId="17" fillId="4" borderId="37" xfId="0" applyNumberFormat="1" applyFont="1" applyFill="1" applyBorder="1" applyAlignment="1">
      <alignment horizontal="right" vertical="center"/>
    </xf>
    <xf numFmtId="166" fontId="0" fillId="0" borderId="0" xfId="0" applyNumberFormat="1" applyFill="1" applyAlignment="1">
      <alignment horizontal="center" vertical="center"/>
    </xf>
    <xf numFmtId="166" fontId="17" fillId="4" borderId="37" xfId="0" applyNumberFormat="1" applyFont="1" applyFill="1" applyBorder="1" applyAlignment="1">
      <alignment horizontal="center" vertical="center"/>
    </xf>
    <xf numFmtId="42" fontId="20" fillId="4" borderId="37" xfId="8" applyFont="1" applyFill="1" applyBorder="1" applyAlignment="1">
      <alignment horizontal="right"/>
    </xf>
    <xf numFmtId="42" fontId="2" fillId="0" borderId="0" xfId="0" applyNumberFormat="1" applyFont="1" applyAlignment="1">
      <alignment horizontal="right"/>
    </xf>
    <xf numFmtId="42" fontId="17" fillId="4" borderId="37" xfId="0" applyNumberFormat="1" applyFont="1" applyFill="1" applyBorder="1" applyAlignment="1">
      <alignment horizontal="center" vertical="center"/>
    </xf>
    <xf numFmtId="164" fontId="3" fillId="0" borderId="0" xfId="0" applyNumberFormat="1" applyFont="1" applyAlignment="1">
      <alignment horizontal="right"/>
    </xf>
    <xf numFmtId="166" fontId="17" fillId="4" borderId="37" xfId="0" applyNumberFormat="1" applyFont="1" applyFill="1" applyBorder="1" applyAlignment="1">
      <alignment vertical="center"/>
    </xf>
    <xf numFmtId="166" fontId="4" fillId="4" borderId="37" xfId="0" applyNumberFormat="1" applyFont="1" applyFill="1" applyBorder="1" applyAlignment="1">
      <alignment horizontal="right" vertical="center" wrapText="1"/>
    </xf>
    <xf numFmtId="167" fontId="0" fillId="0" borderId="0" xfId="0" applyNumberFormat="1" applyAlignment="1">
      <alignment horizontal="center" vertical="center"/>
    </xf>
    <xf numFmtId="167" fontId="17" fillId="4" borderId="37" xfId="0" applyNumberFormat="1" applyFont="1" applyFill="1" applyBorder="1"/>
    <xf numFmtId="164" fontId="17" fillId="4" borderId="37" xfId="0" applyNumberFormat="1" applyFont="1" applyFill="1" applyBorder="1"/>
    <xf numFmtId="166" fontId="0" fillId="0" borderId="0" xfId="0" applyNumberFormat="1" applyFont="1" applyAlignment="1">
      <alignment horizontal="center" vertical="center"/>
    </xf>
    <xf numFmtId="166" fontId="17" fillId="4" borderId="37" xfId="0" applyNumberFormat="1" applyFont="1" applyFill="1" applyBorder="1" applyAlignment="1">
      <alignment horizontal="right"/>
    </xf>
    <xf numFmtId="41" fontId="17" fillId="4" borderId="37" xfId="0" applyNumberFormat="1" applyFont="1" applyFill="1" applyBorder="1" applyAlignment="1">
      <alignment vertical="center" wrapText="1"/>
    </xf>
    <xf numFmtId="166" fontId="20" fillId="4" borderId="80" xfId="0" applyNumberFormat="1" applyFont="1" applyFill="1" applyBorder="1" applyAlignment="1">
      <alignment horizontal="center" vertical="center" wrapText="1"/>
    </xf>
    <xf numFmtId="166" fontId="20" fillId="4" borderId="52" xfId="0" applyNumberFormat="1" applyFont="1" applyFill="1" applyBorder="1" applyAlignment="1">
      <alignment horizontal="center" vertical="center" wrapText="1"/>
    </xf>
    <xf numFmtId="166" fontId="39" fillId="0" borderId="0" xfId="0" applyNumberFormat="1" applyFont="1" applyFill="1" applyBorder="1" applyAlignment="1">
      <alignment horizontal="right" vertical="center"/>
    </xf>
    <xf numFmtId="42" fontId="3" fillId="0" borderId="8" xfId="8" applyFont="1" applyFill="1" applyBorder="1" applyAlignment="1">
      <alignment horizontal="right"/>
    </xf>
    <xf numFmtId="42" fontId="3" fillId="0" borderId="0" xfId="8" applyFont="1" applyFill="1" applyBorder="1"/>
    <xf numFmtId="0" fontId="3" fillId="0" borderId="52" xfId="0" applyFont="1" applyFill="1" applyBorder="1" applyAlignment="1">
      <alignment horizontal="center" vertical="center" wrapText="1"/>
    </xf>
    <xf numFmtId="42" fontId="3" fillId="0" borderId="21" xfId="8" applyFont="1" applyFill="1" applyBorder="1" applyAlignment="1">
      <alignment horizontal="right"/>
    </xf>
    <xf numFmtId="0" fontId="49" fillId="0" borderId="0" xfId="0" applyFont="1" applyFill="1" applyAlignment="1">
      <alignment vertical="center"/>
    </xf>
    <xf numFmtId="0" fontId="3" fillId="0" borderId="1" xfId="0" applyFont="1" applyFill="1" applyBorder="1" applyAlignment="1">
      <alignment horizontal="justify" vertical="center" wrapText="1"/>
    </xf>
    <xf numFmtId="0" fontId="0" fillId="0" borderId="0" xfId="0" applyFont="1" applyFill="1" applyAlignment="1">
      <alignment vertical="center"/>
    </xf>
    <xf numFmtId="0" fontId="2" fillId="0" borderId="1"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0" fillId="0" borderId="0" xfId="0" applyFill="1" applyAlignment="1">
      <alignment vertical="center"/>
    </xf>
    <xf numFmtId="0" fontId="3" fillId="0" borderId="2" xfId="0" applyFont="1" applyFill="1" applyBorder="1" applyAlignment="1">
      <alignment horizontal="center" vertical="center" wrapText="1"/>
    </xf>
    <xf numFmtId="0" fontId="3" fillId="0" borderId="0" xfId="0" applyFont="1" applyFill="1" applyAlignment="1">
      <alignment vertical="center"/>
    </xf>
    <xf numFmtId="166" fontId="2" fillId="16" borderId="8"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xf>
    <xf numFmtId="166" fontId="3" fillId="0" borderId="18" xfId="0" applyNumberFormat="1" applyFont="1" applyFill="1" applyBorder="1" applyAlignment="1">
      <alignment horizontal="right"/>
    </xf>
    <xf numFmtId="3" fontId="2" fillId="0" borderId="2" xfId="0"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44" fontId="3" fillId="0" borderId="2" xfId="7" applyFont="1" applyFill="1" applyBorder="1" applyAlignment="1">
      <alignment vertical="center"/>
    </xf>
    <xf numFmtId="42" fontId="3" fillId="0" borderId="18" xfId="8" applyFont="1" applyFill="1" applyBorder="1" applyAlignment="1">
      <alignment horizontal="right"/>
    </xf>
    <xf numFmtId="166" fontId="2"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172" fontId="3" fillId="0" borderId="18" xfId="0" applyNumberFormat="1" applyFont="1" applyFill="1" applyBorder="1" applyAlignment="1">
      <alignment horizontal="right" vertical="center"/>
    </xf>
    <xf numFmtId="0" fontId="2" fillId="24" borderId="46" xfId="0" applyFont="1" applyFill="1" applyBorder="1" applyAlignment="1">
      <alignment horizontal="justify" vertical="center"/>
    </xf>
    <xf numFmtId="0" fontId="3" fillId="17" borderId="53" xfId="0" applyFont="1" applyFill="1" applyBorder="1" applyAlignment="1">
      <alignment horizontal="center" vertical="center"/>
    </xf>
    <xf numFmtId="0" fontId="3" fillId="17" borderId="53" xfId="0" applyFont="1" applyFill="1" applyBorder="1" applyAlignment="1">
      <alignment horizontal="center" vertical="center" wrapText="1"/>
    </xf>
    <xf numFmtId="41" fontId="3" fillId="17" borderId="53" xfId="0" applyNumberFormat="1" applyFont="1" applyFill="1" applyBorder="1" applyAlignment="1">
      <alignment horizontal="center" vertical="center"/>
    </xf>
    <xf numFmtId="0" fontId="3" fillId="18" borderId="7" xfId="0" applyFont="1" applyFill="1" applyBorder="1" applyAlignment="1">
      <alignment horizontal="center" vertical="center" wrapText="1"/>
    </xf>
    <xf numFmtId="41" fontId="3" fillId="18" borderId="23" xfId="0" applyNumberFormat="1" applyFont="1" applyFill="1" applyBorder="1" applyAlignment="1">
      <alignment horizontal="center" vertical="center"/>
    </xf>
    <xf numFmtId="0" fontId="38" fillId="18" borderId="49" xfId="2" applyFont="1" applyFill="1" applyBorder="1" applyAlignment="1">
      <alignment horizontal="center" vertical="center"/>
    </xf>
    <xf numFmtId="0" fontId="38" fillId="18" borderId="12" xfId="2" applyFont="1" applyFill="1" applyBorder="1" applyAlignment="1">
      <alignment horizontal="center" vertical="center"/>
    </xf>
    <xf numFmtId="0" fontId="27" fillId="17" borderId="2" xfId="0" applyFont="1" applyFill="1" applyBorder="1" applyAlignment="1">
      <alignment horizontal="center" vertical="center" wrapText="1"/>
    </xf>
    <xf numFmtId="43" fontId="27" fillId="17" borderId="2" xfId="10" applyFont="1" applyFill="1" applyBorder="1" applyAlignment="1">
      <alignment horizontal="center" vertical="center" wrapText="1"/>
    </xf>
    <xf numFmtId="0" fontId="27" fillId="0" borderId="0" xfId="0" applyFont="1"/>
    <xf numFmtId="10" fontId="27" fillId="0" borderId="0" xfId="5" applyNumberFormat="1" applyFont="1"/>
    <xf numFmtId="167" fontId="3" fillId="0" borderId="2" xfId="6" applyNumberFormat="1" applyFont="1" applyFill="1" applyBorder="1" applyAlignment="1">
      <alignment horizontal="right"/>
    </xf>
    <xf numFmtId="173" fontId="3" fillId="37" borderId="2" xfId="0" applyNumberFormat="1" applyFont="1" applyFill="1" applyBorder="1" applyAlignment="1">
      <alignment horizontal="right" vertical="center" wrapText="1"/>
    </xf>
    <xf numFmtId="173" fontId="3" fillId="0" borderId="2" xfId="0" applyNumberFormat="1" applyFont="1" applyBorder="1" applyAlignment="1">
      <alignment horizontal="right" vertical="center" wrapText="1"/>
    </xf>
    <xf numFmtId="173" fontId="3" fillId="0" borderId="2" xfId="0" applyNumberFormat="1" applyFont="1" applyFill="1" applyBorder="1" applyAlignment="1">
      <alignment horizontal="right" vertical="center" wrapText="1"/>
    </xf>
    <xf numFmtId="3" fontId="24" fillId="0" borderId="6" xfId="0" applyNumberFormat="1" applyFont="1" applyFill="1" applyBorder="1" applyAlignment="1">
      <alignment horizontal="right" vertical="center" wrapText="1"/>
    </xf>
    <xf numFmtId="3" fontId="23" fillId="15" borderId="11" xfId="1" applyNumberFormat="1" applyFont="1" applyFill="1" applyBorder="1" applyAlignment="1">
      <alignment horizontal="right" vertical="center"/>
    </xf>
    <xf numFmtId="3" fontId="23" fillId="5" borderId="11" xfId="1" applyNumberFormat="1" applyFont="1" applyFill="1" applyBorder="1" applyAlignment="1">
      <alignment horizontal="right" vertical="center"/>
    </xf>
    <xf numFmtId="3" fontId="23" fillId="5" borderId="38" xfId="1" applyNumberFormat="1" applyFont="1" applyFill="1" applyBorder="1" applyAlignment="1">
      <alignment horizontal="right" vertical="center"/>
    </xf>
    <xf numFmtId="0" fontId="23" fillId="0" borderId="0" xfId="0" applyFont="1" applyBorder="1"/>
    <xf numFmtId="3" fontId="23" fillId="0" borderId="0" xfId="0" applyNumberFormat="1" applyFont="1"/>
    <xf numFmtId="0" fontId="23" fillId="0" borderId="0" xfId="0" applyFont="1"/>
    <xf numFmtId="42" fontId="20" fillId="4" borderId="17" xfId="8" applyFont="1" applyFill="1" applyBorder="1" applyAlignment="1">
      <alignment horizontal="right"/>
    </xf>
    <xf numFmtId="167" fontId="0" fillId="4" borderId="12" xfId="0" applyNumberFormat="1" applyFill="1" applyBorder="1" applyAlignment="1">
      <alignment horizontal="right"/>
    </xf>
    <xf numFmtId="167" fontId="0" fillId="4" borderId="86" xfId="0" applyNumberFormat="1" applyFill="1" applyBorder="1" applyAlignment="1">
      <alignment horizontal="right"/>
    </xf>
    <xf numFmtId="167" fontId="0" fillId="4" borderId="11" xfId="0" applyNumberFormat="1" applyFill="1" applyBorder="1" applyAlignment="1">
      <alignment horizontal="right"/>
    </xf>
    <xf numFmtId="0" fontId="3" fillId="0" borderId="0" xfId="0" applyFont="1" applyFill="1" applyBorder="1" applyAlignment="1">
      <alignment horizontal="right"/>
    </xf>
    <xf numFmtId="164" fontId="2" fillId="0" borderId="0" xfId="1" applyFont="1" applyFill="1" applyBorder="1" applyAlignment="1">
      <alignment horizontal="right" vertical="center" wrapText="1"/>
    </xf>
    <xf numFmtId="164" fontId="3" fillId="0" borderId="0" xfId="1" applyFont="1" applyFill="1" applyBorder="1" applyAlignment="1">
      <alignment horizontal="right" vertical="center"/>
    </xf>
    <xf numFmtId="164" fontId="3" fillId="0" borderId="0" xfId="1" applyFont="1" applyFill="1" applyBorder="1" applyAlignment="1">
      <alignment horizontal="right" vertical="center" wrapText="1"/>
    </xf>
    <xf numFmtId="164" fontId="3" fillId="0" borderId="0" xfId="0" applyNumberFormat="1" applyFont="1" applyFill="1" applyBorder="1"/>
    <xf numFmtId="0" fontId="3" fillId="0" borderId="0" xfId="0" applyFont="1" applyFill="1" applyBorder="1"/>
    <xf numFmtId="164" fontId="2" fillId="16" borderId="72" xfId="1" applyFont="1" applyFill="1" applyBorder="1" applyAlignment="1">
      <alignment horizontal="right" vertical="center" wrapText="1"/>
    </xf>
    <xf numFmtId="164" fontId="3" fillId="0" borderId="72" xfId="1" applyFont="1" applyBorder="1" applyAlignment="1">
      <alignment horizontal="right" vertical="center"/>
    </xf>
    <xf numFmtId="164" fontId="3" fillId="0" borderId="72" xfId="1" applyFont="1" applyFill="1" applyBorder="1" applyAlignment="1">
      <alignment horizontal="right" vertical="center"/>
    </xf>
    <xf numFmtId="164" fontId="2" fillId="0" borderId="72" xfId="1" applyFont="1" applyFill="1" applyBorder="1" applyAlignment="1">
      <alignment horizontal="right" vertical="center" wrapText="1"/>
    </xf>
    <xf numFmtId="164" fontId="2" fillId="33" borderId="73" xfId="1" applyFont="1" applyFill="1" applyBorder="1" applyAlignment="1">
      <alignment horizontal="right" vertical="center" wrapText="1"/>
    </xf>
    <xf numFmtId="164" fontId="17" fillId="4" borderId="17" xfId="1" applyFont="1" applyFill="1" applyBorder="1" applyAlignment="1">
      <alignment vertical="center"/>
    </xf>
    <xf numFmtId="164" fontId="17" fillId="4" borderId="38" xfId="1" applyFont="1" applyFill="1" applyBorder="1" applyAlignment="1">
      <alignment vertical="center"/>
    </xf>
    <xf numFmtId="0" fontId="20" fillId="14" borderId="73" xfId="0" applyFont="1" applyFill="1" applyBorder="1" applyAlignment="1">
      <alignment horizontal="center" vertical="center" wrapText="1"/>
    </xf>
    <xf numFmtId="0" fontId="0" fillId="0" borderId="0" xfId="0" applyAlignment="1">
      <alignment horizontal="center"/>
    </xf>
    <xf numFmtId="0" fontId="10" fillId="16" borderId="2"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8" fillId="13" borderId="4" xfId="0" applyFont="1" applyFill="1" applyBorder="1" applyAlignment="1">
      <alignment horizontal="center" vertical="center"/>
    </xf>
    <xf numFmtId="0" fontId="10" fillId="17" borderId="2" xfId="0" applyFont="1" applyFill="1" applyBorder="1" applyAlignment="1">
      <alignment horizontal="center" vertical="center" wrapText="1"/>
    </xf>
    <xf numFmtId="0" fontId="34" fillId="17" borderId="2" xfId="0" applyFont="1" applyFill="1" applyBorder="1" applyAlignment="1">
      <alignment horizontal="left" vertical="center" wrapText="1"/>
    </xf>
    <xf numFmtId="0" fontId="10" fillId="17" borderId="5" xfId="0" applyFont="1" applyFill="1" applyBorder="1" applyAlignment="1">
      <alignment horizontal="center" vertical="center" wrapText="1"/>
    </xf>
    <xf numFmtId="0" fontId="34" fillId="16" borderId="2" xfId="0" applyFont="1" applyFill="1" applyBorder="1" applyAlignment="1">
      <alignment horizontal="left" vertical="center" wrapText="1"/>
    </xf>
    <xf numFmtId="41" fontId="14" fillId="17" borderId="5" xfId="1" applyNumberFormat="1" applyFont="1" applyFill="1" applyBorder="1" applyAlignment="1">
      <alignment horizontal="center" vertical="center"/>
    </xf>
    <xf numFmtId="42" fontId="2" fillId="4" borderId="11" xfId="8" applyNumberFormat="1" applyFont="1" applyFill="1" applyBorder="1" applyAlignment="1">
      <alignment horizontal="center" vertical="center"/>
    </xf>
    <xf numFmtId="3" fontId="7" fillId="0" borderId="2" xfId="0" applyNumberFormat="1" applyFont="1" applyFill="1" applyBorder="1" applyAlignment="1">
      <alignment horizontal="center" vertical="center" wrapText="1"/>
    </xf>
    <xf numFmtId="0" fontId="3" fillId="3" borderId="22" xfId="0" applyFont="1" applyFill="1" applyBorder="1" applyAlignment="1">
      <alignment vertical="center" wrapText="1"/>
    </xf>
    <xf numFmtId="0" fontId="0" fillId="0" borderId="0" xfId="0" applyFill="1" applyBorder="1"/>
    <xf numFmtId="0" fontId="2" fillId="0" borderId="0" xfId="0" applyFont="1" applyFill="1" applyBorder="1"/>
    <xf numFmtId="3" fontId="2" fillId="0" borderId="0"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3" fontId="2" fillId="0" borderId="0" xfId="1" applyNumberFormat="1" applyFont="1" applyFill="1" applyBorder="1" applyAlignment="1">
      <alignment horizontal="right" vertical="center"/>
    </xf>
    <xf numFmtId="3" fontId="2" fillId="0" borderId="0" xfId="5"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0" fillId="0" borderId="0" xfId="0" applyNumberFormat="1" applyFill="1" applyBorder="1" applyAlignment="1"/>
    <xf numFmtId="3" fontId="2" fillId="5" borderId="11" xfId="0" applyNumberFormat="1" applyFont="1" applyFill="1" applyBorder="1" applyAlignment="1">
      <alignment horizontal="right" vertical="center"/>
    </xf>
    <xf numFmtId="3" fontId="2" fillId="0" borderId="75" xfId="0" applyNumberFormat="1" applyFont="1" applyFill="1" applyBorder="1" applyAlignment="1">
      <alignment horizontal="right" vertical="center"/>
    </xf>
    <xf numFmtId="3" fontId="2" fillId="0" borderId="85" xfId="0" applyNumberFormat="1" applyFont="1" applyFill="1" applyBorder="1" applyAlignment="1">
      <alignment horizontal="right" vertical="center"/>
    </xf>
    <xf numFmtId="3" fontId="0" fillId="0" borderId="75" xfId="0" applyNumberFormat="1" applyBorder="1" applyAlignment="1">
      <alignment horizontal="right" vertical="center"/>
    </xf>
    <xf numFmtId="3" fontId="2" fillId="0" borderId="77" xfId="0" applyNumberFormat="1" applyFont="1" applyFill="1" applyBorder="1" applyAlignment="1">
      <alignment horizontal="right" vertical="center"/>
    </xf>
    <xf numFmtId="3" fontId="2" fillId="3" borderId="77" xfId="1" applyNumberFormat="1" applyFont="1" applyFill="1" applyBorder="1" applyAlignment="1">
      <alignment horizontal="right" vertical="center"/>
    </xf>
    <xf numFmtId="3" fontId="2" fillId="5" borderId="11" xfId="5" applyNumberFormat="1" applyFont="1" applyFill="1" applyBorder="1" applyAlignment="1">
      <alignment horizontal="right" vertical="center"/>
    </xf>
    <xf numFmtId="3" fontId="2" fillId="3" borderId="77" xfId="0" applyNumberFormat="1" applyFont="1" applyFill="1" applyBorder="1" applyAlignment="1">
      <alignment horizontal="right" vertical="center"/>
    </xf>
    <xf numFmtId="3" fontId="2" fillId="15" borderId="11" xfId="0" applyNumberFormat="1" applyFont="1" applyFill="1" applyBorder="1" applyAlignment="1">
      <alignment horizontal="right" vertical="center"/>
    </xf>
    <xf numFmtId="3" fontId="2" fillId="0" borderId="72" xfId="0" applyNumberFormat="1" applyFont="1" applyFill="1" applyBorder="1" applyAlignment="1">
      <alignment horizontal="right" vertical="center"/>
    </xf>
    <xf numFmtId="3" fontId="2" fillId="15" borderId="72" xfId="0" applyNumberFormat="1" applyFont="1" applyFill="1" applyBorder="1" applyAlignment="1">
      <alignment horizontal="right" vertical="center"/>
    </xf>
    <xf numFmtId="1" fontId="2" fillId="33" borderId="85" xfId="0" applyNumberFormat="1" applyFont="1" applyFill="1" applyBorder="1" applyAlignment="1">
      <alignment horizontal="right" vertical="center"/>
    </xf>
    <xf numFmtId="3" fontId="2" fillId="5" borderId="17" xfId="0" applyNumberFormat="1" applyFont="1" applyFill="1" applyBorder="1" applyAlignment="1">
      <alignment horizontal="right" vertical="center"/>
    </xf>
    <xf numFmtId="3" fontId="2" fillId="0" borderId="35"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3" fontId="0" fillId="0" borderId="35" xfId="0" applyNumberFormat="1" applyBorder="1" applyAlignment="1">
      <alignment horizontal="right" vertical="center"/>
    </xf>
    <xf numFmtId="3" fontId="0" fillId="0" borderId="43" xfId="0" applyNumberFormat="1" applyBorder="1" applyAlignment="1">
      <alignment horizontal="right" vertical="center"/>
    </xf>
    <xf numFmtId="3" fontId="2" fillId="0" borderId="22" xfId="0" applyNumberFormat="1" applyFont="1" applyFill="1" applyBorder="1" applyAlignment="1">
      <alignment horizontal="right" vertical="center"/>
    </xf>
    <xf numFmtId="3" fontId="2" fillId="3" borderId="22" xfId="1" applyNumberFormat="1" applyFont="1" applyFill="1" applyBorder="1" applyAlignment="1">
      <alignment horizontal="right" vertical="center"/>
    </xf>
    <xf numFmtId="3" fontId="2" fillId="3" borderId="23" xfId="1" applyNumberFormat="1" applyFont="1" applyFill="1" applyBorder="1" applyAlignment="1">
      <alignment horizontal="right" vertical="center"/>
    </xf>
    <xf numFmtId="3" fontId="2" fillId="5" borderId="17" xfId="5" applyNumberFormat="1" applyFont="1" applyFill="1" applyBorder="1" applyAlignment="1">
      <alignment horizontal="right" vertical="center"/>
    </xf>
    <xf numFmtId="3" fontId="2" fillId="5" borderId="38" xfId="5" applyNumberFormat="1" applyFont="1" applyFill="1" applyBorder="1" applyAlignment="1">
      <alignment horizontal="right" vertical="center"/>
    </xf>
    <xf numFmtId="3" fontId="2" fillId="3" borderId="22" xfId="0" applyNumberFormat="1" applyFont="1" applyFill="1" applyBorder="1" applyAlignment="1">
      <alignment horizontal="right" vertical="center"/>
    </xf>
    <xf numFmtId="3" fontId="2" fillId="3" borderId="23" xfId="0" applyNumberFormat="1" applyFont="1" applyFill="1" applyBorder="1" applyAlignment="1">
      <alignment horizontal="right" vertical="center"/>
    </xf>
    <xf numFmtId="3" fontId="2" fillId="15" borderId="17"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3" fontId="2" fillId="15" borderId="1" xfId="0" applyNumberFormat="1" applyFont="1" applyFill="1" applyBorder="1" applyAlignment="1">
      <alignment horizontal="right" vertical="center"/>
    </xf>
    <xf numFmtId="1" fontId="2" fillId="33" borderId="6" xfId="0" applyNumberFormat="1" applyFont="1" applyFill="1" applyBorder="1" applyAlignment="1">
      <alignment horizontal="right" vertical="center"/>
    </xf>
    <xf numFmtId="1" fontId="2" fillId="33" borderId="45" xfId="0" applyNumberFormat="1" applyFont="1" applyFill="1" applyBorder="1" applyAlignment="1">
      <alignment horizontal="right" vertical="center"/>
    </xf>
    <xf numFmtId="0" fontId="0" fillId="0" borderId="0" xfId="0" applyFill="1" applyBorder="1" applyAlignment="1">
      <alignment vertical="center"/>
    </xf>
    <xf numFmtId="166" fontId="3" fillId="0" borderId="72" xfId="0" applyNumberFormat="1" applyFont="1" applyFill="1" applyBorder="1" applyAlignment="1">
      <alignment horizontal="right" vertical="center"/>
    </xf>
    <xf numFmtId="166" fontId="39" fillId="0" borderId="72" xfId="0" applyNumberFormat="1" applyFont="1" applyFill="1" applyBorder="1" applyAlignment="1">
      <alignment horizontal="right" vertical="center"/>
    </xf>
    <xf numFmtId="166" fontId="2" fillId="0" borderId="72" xfId="0" applyNumberFormat="1" applyFont="1" applyFill="1" applyBorder="1" applyAlignment="1">
      <alignment horizontal="right" vertical="center"/>
    </xf>
    <xf numFmtId="166" fontId="4" fillId="0" borderId="0" xfId="0" applyNumberFormat="1" applyFont="1" applyFill="1" applyBorder="1" applyAlignment="1">
      <alignment horizontal="right" vertical="center" wrapText="1"/>
    </xf>
    <xf numFmtId="0" fontId="0" fillId="0" borderId="0" xfId="0" applyFill="1" applyBorder="1" applyAlignment="1">
      <alignment horizontal="right" vertical="center"/>
    </xf>
    <xf numFmtId="166" fontId="0" fillId="0" borderId="0" xfId="0" applyNumberFormat="1" applyFill="1" applyBorder="1" applyAlignment="1">
      <alignment horizontal="right" vertical="center"/>
    </xf>
    <xf numFmtId="166" fontId="4" fillId="4" borderId="11" xfId="0" applyNumberFormat="1" applyFont="1" applyFill="1" applyBorder="1" applyAlignment="1">
      <alignment horizontal="right" vertical="center" wrapText="1"/>
    </xf>
    <xf numFmtId="166" fontId="0" fillId="0" borderId="0" xfId="0" applyNumberFormat="1" applyFill="1" applyBorder="1" applyAlignment="1">
      <alignment horizontal="center" vertical="center"/>
    </xf>
    <xf numFmtId="166" fontId="0" fillId="0" borderId="0" xfId="0" applyNumberFormat="1" applyFill="1" applyBorder="1" applyAlignment="1">
      <alignment vertical="center"/>
    </xf>
    <xf numFmtId="166" fontId="17" fillId="0" borderId="0" xfId="0" applyNumberFormat="1" applyFont="1" applyFill="1" applyBorder="1" applyAlignment="1">
      <alignment vertical="center"/>
    </xf>
    <xf numFmtId="166" fontId="0" fillId="15" borderId="51" xfId="0" applyNumberFormat="1" applyFill="1" applyBorder="1" applyAlignment="1">
      <alignment horizontal="center" vertical="center"/>
    </xf>
    <xf numFmtId="166" fontId="0" fillId="0" borderId="77" xfId="0" applyNumberFormat="1" applyBorder="1" applyAlignment="1">
      <alignment vertical="center"/>
    </xf>
    <xf numFmtId="166" fontId="0" fillId="21" borderId="11" xfId="0" applyNumberFormat="1" applyFill="1" applyBorder="1" applyAlignment="1">
      <alignment horizontal="center" vertical="center"/>
    </xf>
    <xf numFmtId="166" fontId="0" fillId="0" borderId="75" xfId="0" applyNumberFormat="1" applyBorder="1" applyAlignment="1">
      <alignment horizontal="center" vertical="center"/>
    </xf>
    <xf numFmtId="166" fontId="0" fillId="0" borderId="85" xfId="0" applyNumberFormat="1" applyBorder="1" applyAlignment="1">
      <alignment horizontal="center" vertical="center"/>
    </xf>
    <xf numFmtId="166" fontId="0" fillId="0" borderId="72" xfId="0" applyNumberFormat="1" applyBorder="1" applyAlignment="1">
      <alignment horizontal="center" vertical="center"/>
    </xf>
    <xf numFmtId="166" fontId="0" fillId="21" borderId="72" xfId="0" applyNumberFormat="1" applyFill="1" applyBorder="1" applyAlignment="1">
      <alignment horizontal="center" vertical="center"/>
    </xf>
    <xf numFmtId="166" fontId="0" fillId="0" borderId="73" xfId="0" applyNumberFormat="1" applyBorder="1" applyAlignment="1">
      <alignment horizontal="center" vertical="center"/>
    </xf>
    <xf numFmtId="0" fontId="20" fillId="14" borderId="85" xfId="0" applyFont="1" applyFill="1" applyBorder="1" applyAlignment="1">
      <alignment horizontal="center" vertical="center" wrapText="1"/>
    </xf>
    <xf numFmtId="166" fontId="4" fillId="4" borderId="17" xfId="0" applyNumberFormat="1" applyFont="1" applyFill="1" applyBorder="1" applyAlignment="1">
      <alignment horizontal="right" vertical="center" wrapText="1"/>
    </xf>
    <xf numFmtId="166" fontId="4" fillId="4" borderId="38" xfId="0" applyNumberFormat="1" applyFont="1" applyFill="1" applyBorder="1" applyAlignment="1">
      <alignment horizontal="right" vertical="center" wrapText="1"/>
    </xf>
    <xf numFmtId="5" fontId="1" fillId="0" borderId="0" xfId="1" applyNumberFormat="1" applyFont="1" applyFill="1" applyBorder="1" applyAlignment="1">
      <alignment horizontal="right" vertical="center"/>
    </xf>
    <xf numFmtId="5" fontId="17" fillId="0" borderId="0" xfId="1" applyNumberFormat="1" applyFont="1" applyFill="1" applyBorder="1" applyAlignment="1">
      <alignment horizontal="right" vertical="center"/>
    </xf>
    <xf numFmtId="166" fontId="0" fillId="0" borderId="0" xfId="0" applyNumberFormat="1" applyFill="1" applyBorder="1"/>
    <xf numFmtId="166" fontId="0" fillId="15" borderId="11" xfId="0" applyNumberFormat="1" applyFill="1" applyBorder="1" applyAlignment="1">
      <alignment horizontal="right" vertical="center"/>
    </xf>
    <xf numFmtId="5" fontId="1" fillId="0" borderId="77" xfId="1" applyNumberFormat="1" applyFont="1" applyFill="1" applyBorder="1" applyAlignment="1">
      <alignment horizontal="right" vertical="center"/>
    </xf>
    <xf numFmtId="166" fontId="0" fillId="0" borderId="77" xfId="0" applyNumberFormat="1" applyFill="1" applyBorder="1" applyAlignment="1">
      <alignment horizontal="right" vertical="center"/>
    </xf>
    <xf numFmtId="166" fontId="0" fillId="21" borderId="11" xfId="0" applyNumberFormat="1" applyFill="1" applyBorder="1" applyAlignment="1">
      <alignment horizontal="right" vertical="center"/>
    </xf>
    <xf numFmtId="166" fontId="0" fillId="0" borderId="51" xfId="0" applyNumberFormat="1" applyFill="1" applyBorder="1" applyAlignment="1">
      <alignment horizontal="right" vertical="center"/>
    </xf>
    <xf numFmtId="166" fontId="20" fillId="4" borderId="12" xfId="0" applyNumberFormat="1" applyFont="1" applyFill="1" applyBorder="1" applyAlignment="1">
      <alignment horizontal="center" vertical="center" wrapText="1"/>
    </xf>
    <xf numFmtId="166" fontId="20" fillId="4" borderId="38" xfId="0" applyNumberFormat="1" applyFont="1" applyFill="1" applyBorder="1" applyAlignment="1">
      <alignment horizontal="center" vertical="center" wrapText="1"/>
    </xf>
    <xf numFmtId="166" fontId="20" fillId="4" borderId="11" xfId="0" applyNumberFormat="1" applyFont="1" applyFill="1" applyBorder="1" applyAlignment="1">
      <alignment horizontal="center" vertical="center" wrapText="1"/>
    </xf>
    <xf numFmtId="166" fontId="3" fillId="0" borderId="2" xfId="0" applyNumberFormat="1" applyFont="1" applyBorder="1" applyAlignment="1">
      <alignment horizontal="center" vertical="center"/>
    </xf>
    <xf numFmtId="166" fontId="3" fillId="0" borderId="72" xfId="0" applyNumberFormat="1" applyFont="1" applyBorder="1" applyAlignment="1">
      <alignment horizontal="center" vertical="center"/>
    </xf>
    <xf numFmtId="164" fontId="0" fillId="0" borderId="22" xfId="0" applyNumberFormat="1" applyBorder="1" applyAlignment="1">
      <alignment wrapText="1"/>
    </xf>
    <xf numFmtId="41" fontId="17" fillId="4" borderId="80" xfId="0" applyNumberFormat="1" applyFont="1" applyFill="1" applyBorder="1" applyAlignment="1">
      <alignment vertical="center" wrapText="1"/>
    </xf>
    <xf numFmtId="41" fontId="17" fillId="4" borderId="36" xfId="0" applyNumberFormat="1" applyFont="1" applyFill="1" applyBorder="1" applyAlignment="1">
      <alignment vertical="center" wrapText="1"/>
    </xf>
    <xf numFmtId="164" fontId="0" fillId="0" borderId="0" xfId="0" applyNumberFormat="1" applyFill="1" applyBorder="1" applyAlignment="1">
      <alignment wrapText="1"/>
    </xf>
    <xf numFmtId="41" fontId="0" fillId="0" borderId="0" xfId="0" applyNumberFormat="1" applyFill="1" applyBorder="1"/>
    <xf numFmtId="164" fontId="0" fillId="0" borderId="77" xfId="0" applyNumberFormat="1" applyBorder="1" applyAlignment="1">
      <alignment wrapText="1"/>
    </xf>
    <xf numFmtId="164" fontId="3" fillId="15" borderId="17" xfId="1"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xf numFmtId="164" fontId="3" fillId="0" borderId="0" xfId="1" applyFont="1" applyFill="1" applyBorder="1" applyAlignment="1">
      <alignment horizontal="center" vertical="center"/>
    </xf>
    <xf numFmtId="41" fontId="17" fillId="0" borderId="0" xfId="0" applyNumberFormat="1" applyFont="1" applyFill="1" applyBorder="1" applyAlignment="1">
      <alignment vertical="center"/>
    </xf>
    <xf numFmtId="164" fontId="3" fillId="15" borderId="11" xfId="1" applyFont="1" applyFill="1" applyBorder="1" applyAlignment="1">
      <alignment horizontal="center" vertical="center"/>
    </xf>
    <xf numFmtId="164" fontId="3" fillId="0" borderId="77" xfId="1" applyFont="1" applyFill="1" applyBorder="1" applyAlignment="1">
      <alignment horizontal="center" vertical="center"/>
    </xf>
    <xf numFmtId="164" fontId="3" fillId="0" borderId="85" xfId="1" applyFont="1" applyFill="1" applyBorder="1" applyAlignment="1">
      <alignment horizontal="center" vertical="center"/>
    </xf>
    <xf numFmtId="164" fontId="3" fillId="18" borderId="11" xfId="1" applyFont="1" applyFill="1" applyBorder="1" applyAlignment="1">
      <alignment horizontal="center" vertical="center"/>
    </xf>
    <xf numFmtId="164" fontId="3" fillId="33" borderId="85" xfId="1" applyFont="1" applyFill="1" applyBorder="1" applyAlignment="1">
      <alignment horizontal="center" vertical="center"/>
    </xf>
    <xf numFmtId="166" fontId="4" fillId="4" borderId="37" xfId="0" applyNumberFormat="1" applyFont="1" applyFill="1" applyBorder="1" applyAlignment="1">
      <alignment horizontal="right" vertical="center"/>
    </xf>
    <xf numFmtId="166" fontId="4" fillId="4" borderId="38"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18" xfId="0" applyFont="1" applyFill="1" applyBorder="1" applyAlignment="1">
      <alignment horizontal="center" vertical="center" wrapText="1"/>
    </xf>
    <xf numFmtId="167" fontId="4" fillId="18" borderId="1" xfId="6" applyNumberFormat="1" applyFont="1" applyFill="1" applyBorder="1" applyAlignment="1">
      <alignment horizontal="center" vertical="center" wrapText="1"/>
    </xf>
    <xf numFmtId="167" fontId="4" fillId="18" borderId="18" xfId="6" applyNumberFormat="1" applyFont="1" applyFill="1" applyBorder="1" applyAlignment="1">
      <alignment horizontal="center" vertical="center" wrapText="1"/>
    </xf>
    <xf numFmtId="167" fontId="20" fillId="16" borderId="1" xfId="6" applyNumberFormat="1" applyFont="1" applyFill="1" applyBorder="1" applyAlignment="1">
      <alignment horizontal="center" vertical="center" wrapText="1"/>
    </xf>
    <xf numFmtId="167" fontId="20" fillId="16" borderId="18" xfId="6"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0" fillId="16" borderId="18" xfId="0" applyFont="1" applyFill="1" applyBorder="1" applyAlignment="1">
      <alignment horizontal="justify" vertical="center" wrapText="1"/>
    </xf>
    <xf numFmtId="0" fontId="2" fillId="33" borderId="19" xfId="0" applyFont="1" applyFill="1" applyBorder="1" applyAlignment="1">
      <alignment horizontal="center" vertical="center" wrapText="1"/>
    </xf>
    <xf numFmtId="167" fontId="20" fillId="16" borderId="72" xfId="6" applyNumberFormat="1" applyFont="1" applyFill="1" applyBorder="1" applyAlignment="1">
      <alignment horizontal="center" vertical="center" wrapText="1"/>
    </xf>
    <xf numFmtId="167" fontId="3" fillId="0" borderId="72" xfId="6" applyNumberFormat="1" applyFont="1" applyFill="1" applyBorder="1" applyAlignment="1">
      <alignment horizontal="center" vertical="center" wrapText="1"/>
    </xf>
    <xf numFmtId="167" fontId="4" fillId="18" borderId="72" xfId="6" applyNumberFormat="1" applyFont="1" applyFill="1" applyBorder="1" applyAlignment="1">
      <alignment horizontal="center" vertical="center" wrapText="1"/>
    </xf>
    <xf numFmtId="167" fontId="2" fillId="16" borderId="72" xfId="6" applyNumberFormat="1" applyFont="1" applyFill="1" applyBorder="1" applyAlignment="1">
      <alignment horizontal="center" vertical="center" wrapText="1"/>
    </xf>
    <xf numFmtId="41" fontId="3" fillId="0" borderId="0" xfId="0" applyNumberFormat="1" applyFont="1" applyFill="1" applyBorder="1" applyAlignment="1">
      <alignment horizontal="center" vertical="center" wrapText="1"/>
    </xf>
    <xf numFmtId="41" fontId="2" fillId="0" borderId="0" xfId="0" applyNumberFormat="1" applyFont="1" applyFill="1" applyBorder="1" applyAlignment="1">
      <alignment horizontal="center" vertical="center" wrapText="1"/>
    </xf>
    <xf numFmtId="41" fontId="3" fillId="0" borderId="0" xfId="5" applyNumberFormat="1" applyFont="1" applyFill="1" applyBorder="1" applyAlignment="1">
      <alignment horizontal="center" vertical="center" wrapText="1"/>
    </xf>
    <xf numFmtId="41" fontId="3" fillId="0" borderId="0" xfId="0" applyNumberFormat="1" applyFont="1" applyFill="1" applyBorder="1" applyAlignment="1">
      <alignment horizontal="center" vertical="center"/>
    </xf>
    <xf numFmtId="41" fontId="3" fillId="17" borderId="11" xfId="0" applyNumberFormat="1" applyFont="1" applyFill="1" applyBorder="1" applyAlignment="1">
      <alignment horizontal="center" vertical="center" wrapText="1"/>
    </xf>
    <xf numFmtId="41" fontId="3" fillId="0" borderId="77" xfId="0" applyNumberFormat="1" applyFont="1" applyFill="1" applyBorder="1" applyAlignment="1">
      <alignment horizontal="center" vertical="center" wrapText="1"/>
    </xf>
    <xf numFmtId="41" fontId="3" fillId="18" borderId="11" xfId="0" applyNumberFormat="1" applyFont="1" applyFill="1" applyBorder="1" applyAlignment="1">
      <alignment horizontal="center" vertical="center" wrapText="1"/>
    </xf>
    <xf numFmtId="41" fontId="3" fillId="0" borderId="75" xfId="0" applyNumberFormat="1" applyFont="1" applyFill="1" applyBorder="1" applyAlignment="1">
      <alignment horizontal="center" vertical="center" wrapText="1"/>
    </xf>
    <xf numFmtId="41" fontId="3" fillId="0" borderId="85" xfId="0" applyNumberFormat="1" applyFont="1" applyFill="1" applyBorder="1" applyAlignment="1">
      <alignment horizontal="center" vertical="center" wrapText="1"/>
    </xf>
    <xf numFmtId="41" fontId="2" fillId="0" borderId="75" xfId="0" applyNumberFormat="1" applyFont="1" applyFill="1" applyBorder="1" applyAlignment="1">
      <alignment horizontal="center" vertical="center" wrapText="1"/>
    </xf>
    <xf numFmtId="41" fontId="2" fillId="0" borderId="85" xfId="0" applyNumberFormat="1" applyFont="1" applyFill="1" applyBorder="1" applyAlignment="1">
      <alignment horizontal="center" vertical="center" wrapText="1"/>
    </xf>
    <xf numFmtId="41" fontId="2" fillId="18" borderId="11" xfId="0" applyNumberFormat="1" applyFont="1" applyFill="1" applyBorder="1" applyAlignment="1">
      <alignment horizontal="center" vertical="center" wrapText="1"/>
    </xf>
    <xf numFmtId="41" fontId="3" fillId="0" borderId="77" xfId="5" applyNumberFormat="1" applyFont="1" applyFill="1" applyBorder="1" applyAlignment="1">
      <alignment horizontal="center" vertical="center" wrapText="1"/>
    </xf>
    <xf numFmtId="41" fontId="3" fillId="18" borderId="11" xfId="0" applyNumberFormat="1" applyFont="1" applyFill="1" applyBorder="1" applyAlignment="1">
      <alignment horizontal="center" vertical="center"/>
    </xf>
    <xf numFmtId="41" fontId="3" fillId="0" borderId="75" xfId="0" applyNumberFormat="1" applyFont="1" applyFill="1" applyBorder="1" applyAlignment="1">
      <alignment horizontal="center" vertical="center"/>
    </xf>
    <xf numFmtId="41" fontId="3" fillId="33" borderId="85" xfId="0" applyNumberFormat="1" applyFont="1" applyFill="1" applyBorder="1" applyAlignment="1">
      <alignment horizontal="center" vertical="center"/>
    </xf>
    <xf numFmtId="41" fontId="3" fillId="17" borderId="17" xfId="0" applyNumberFormat="1" applyFont="1" applyFill="1" applyBorder="1" applyAlignment="1">
      <alignment horizontal="center" vertical="center" wrapText="1"/>
    </xf>
    <xf numFmtId="41" fontId="3" fillId="0" borderId="22" xfId="0" applyNumberFormat="1" applyFont="1" applyFill="1" applyBorder="1" applyAlignment="1">
      <alignment horizontal="center" vertical="center" wrapText="1"/>
    </xf>
    <xf numFmtId="41" fontId="3" fillId="18" borderId="17" xfId="0" applyNumberFormat="1" applyFont="1" applyFill="1" applyBorder="1" applyAlignment="1">
      <alignment horizontal="center" vertical="center" wrapText="1"/>
    </xf>
    <xf numFmtId="41" fontId="3" fillId="0" borderId="35" xfId="0" applyNumberFormat="1" applyFont="1" applyFill="1" applyBorder="1" applyAlignment="1">
      <alignment horizontal="center" vertical="center" wrapText="1"/>
    </xf>
    <xf numFmtId="41" fontId="3" fillId="0" borderId="6" xfId="0" applyNumberFormat="1" applyFont="1" applyFill="1" applyBorder="1" applyAlignment="1">
      <alignment horizontal="center" vertical="center" wrapText="1"/>
    </xf>
    <xf numFmtId="41" fontId="3" fillId="0" borderId="45" xfId="0" applyNumberFormat="1" applyFont="1" applyFill="1" applyBorder="1" applyAlignment="1">
      <alignment horizontal="center" vertical="center" wrapText="1"/>
    </xf>
    <xf numFmtId="41" fontId="2" fillId="0" borderId="35" xfId="0" applyNumberFormat="1" applyFont="1" applyFill="1" applyBorder="1" applyAlignment="1">
      <alignment horizontal="center" vertical="center" wrapText="1"/>
    </xf>
    <xf numFmtId="41" fontId="2" fillId="0" borderId="43" xfId="0" applyNumberFormat="1" applyFont="1" applyFill="1" applyBorder="1" applyAlignment="1">
      <alignment horizontal="center" vertical="center" wrapText="1"/>
    </xf>
    <xf numFmtId="41" fontId="2" fillId="0" borderId="6" xfId="0" applyNumberFormat="1" applyFont="1" applyFill="1" applyBorder="1" applyAlignment="1">
      <alignment horizontal="center" vertical="center" wrapText="1"/>
    </xf>
    <xf numFmtId="41" fontId="2" fillId="0" borderId="45" xfId="0" applyNumberFormat="1" applyFont="1" applyFill="1" applyBorder="1" applyAlignment="1">
      <alignment horizontal="center" vertical="center" wrapText="1"/>
    </xf>
    <xf numFmtId="41" fontId="2" fillId="18" borderId="17" xfId="0" applyNumberFormat="1" applyFont="1" applyFill="1" applyBorder="1" applyAlignment="1">
      <alignment horizontal="center" vertical="center" wrapText="1"/>
    </xf>
    <xf numFmtId="41" fontId="2" fillId="18" borderId="38" xfId="0" applyNumberFormat="1" applyFont="1" applyFill="1" applyBorder="1" applyAlignment="1">
      <alignment horizontal="center" vertical="center" wrapText="1"/>
    </xf>
    <xf numFmtId="41" fontId="3" fillId="0" borderId="22" xfId="5" applyNumberFormat="1" applyFont="1" applyFill="1" applyBorder="1" applyAlignment="1">
      <alignment horizontal="center" vertical="center" wrapText="1"/>
    </xf>
    <xf numFmtId="41" fontId="3" fillId="0" borderId="23" xfId="5" applyNumberFormat="1" applyFont="1" applyFill="1" applyBorder="1" applyAlignment="1">
      <alignment horizontal="center" vertical="center" wrapText="1"/>
    </xf>
    <xf numFmtId="41" fontId="3" fillId="18" borderId="17" xfId="0" applyNumberFormat="1" applyFont="1" applyFill="1" applyBorder="1" applyAlignment="1">
      <alignment horizontal="center" vertical="center"/>
    </xf>
    <xf numFmtId="41" fontId="3" fillId="0" borderId="35" xfId="0" applyNumberFormat="1" applyFont="1" applyFill="1" applyBorder="1" applyAlignment="1">
      <alignment horizontal="center" vertical="center"/>
    </xf>
    <xf numFmtId="41" fontId="3" fillId="0" borderId="43" xfId="0" applyNumberFormat="1" applyFont="1" applyFill="1" applyBorder="1" applyAlignment="1">
      <alignment horizontal="center" vertical="center"/>
    </xf>
    <xf numFmtId="41" fontId="3" fillId="33" borderId="6" xfId="0" applyNumberFormat="1" applyFont="1" applyFill="1" applyBorder="1" applyAlignment="1">
      <alignment horizontal="center" vertical="center"/>
    </xf>
    <xf numFmtId="41" fontId="3" fillId="33" borderId="45" xfId="0" applyNumberFormat="1" applyFont="1" applyFill="1" applyBorder="1" applyAlignment="1">
      <alignment horizontal="center" vertical="center"/>
    </xf>
    <xf numFmtId="0" fontId="2" fillId="33" borderId="19" xfId="0" applyFont="1" applyFill="1" applyBorder="1" applyAlignment="1">
      <alignment horizontal="justify" vertical="center"/>
    </xf>
    <xf numFmtId="41" fontId="3" fillId="33" borderId="20" xfId="0" applyNumberFormat="1" applyFont="1" applyFill="1" applyBorder="1" applyAlignment="1">
      <alignment horizontal="center" vertical="center"/>
    </xf>
    <xf numFmtId="41" fontId="3" fillId="33" borderId="21" xfId="0" applyNumberFormat="1" applyFont="1" applyFill="1" applyBorder="1" applyAlignment="1">
      <alignment horizontal="center" vertical="center" wrapText="1"/>
    </xf>
    <xf numFmtId="166" fontId="3" fillId="0" borderId="1" xfId="0" applyNumberFormat="1" applyFont="1" applyFill="1" applyBorder="1" applyAlignment="1">
      <alignment horizontal="right" vertical="center" wrapText="1"/>
    </xf>
    <xf numFmtId="166" fontId="3" fillId="0" borderId="19" xfId="0" applyNumberFormat="1" applyFont="1" applyFill="1" applyBorder="1" applyAlignment="1">
      <alignment horizontal="right" vertical="center" wrapText="1"/>
    </xf>
    <xf numFmtId="166" fontId="17" fillId="0" borderId="0" xfId="0" applyNumberFormat="1" applyFont="1" applyFill="1" applyBorder="1" applyAlignment="1">
      <alignment horizontal="right" vertical="center"/>
    </xf>
    <xf numFmtId="3" fontId="17" fillId="4" borderId="17" xfId="0" applyNumberFormat="1" applyFont="1" applyFill="1" applyBorder="1" applyAlignment="1">
      <alignment vertical="center"/>
    </xf>
    <xf numFmtId="3" fontId="17" fillId="4" borderId="37" xfId="0" applyNumberFormat="1" applyFont="1" applyFill="1" applyBorder="1" applyAlignment="1">
      <alignment vertical="center"/>
    </xf>
    <xf numFmtId="3" fontId="17" fillId="4" borderId="38" xfId="0" applyNumberFormat="1" applyFont="1" applyFill="1" applyBorder="1" applyAlignment="1">
      <alignment vertical="center"/>
    </xf>
    <xf numFmtId="167" fontId="3" fillId="0" borderId="18" xfId="17" applyNumberFormat="1" applyFont="1" applyFill="1" applyBorder="1" applyAlignment="1">
      <alignment horizontal="center" vertical="center" wrapText="1"/>
    </xf>
    <xf numFmtId="41" fontId="0" fillId="0" borderId="0" xfId="0" applyNumberFormat="1" applyFill="1"/>
    <xf numFmtId="41" fontId="3" fillId="0" borderId="24" xfId="0" applyNumberFormat="1" applyFont="1" applyFill="1" applyBorder="1" applyAlignment="1">
      <alignment horizontal="center" vertical="center" wrapText="1"/>
    </xf>
    <xf numFmtId="41" fontId="3" fillId="0" borderId="1" xfId="0" applyNumberFormat="1" applyFont="1" applyFill="1" applyBorder="1" applyAlignment="1">
      <alignment horizontal="center" vertical="center" wrapText="1"/>
    </xf>
    <xf numFmtId="41" fontId="3" fillId="0" borderId="19" xfId="0" applyNumberFormat="1" applyFont="1" applyFill="1" applyBorder="1" applyAlignment="1">
      <alignment horizontal="center" vertical="center" wrapText="1"/>
    </xf>
    <xf numFmtId="41" fontId="3" fillId="0" borderId="24" xfId="0" applyNumberFormat="1" applyFont="1" applyFill="1" applyBorder="1" applyAlignment="1">
      <alignment horizontal="center" vertical="center"/>
    </xf>
    <xf numFmtId="41" fontId="3" fillId="0" borderId="19" xfId="0" applyNumberFormat="1" applyFont="1" applyFill="1" applyBorder="1" applyAlignment="1">
      <alignment horizontal="center" vertical="center"/>
    </xf>
    <xf numFmtId="41" fontId="3" fillId="18" borderId="46" xfId="0" applyNumberFormat="1" applyFont="1" applyFill="1" applyBorder="1" applyAlignment="1">
      <alignment horizontal="center" vertical="center" wrapText="1"/>
    </xf>
    <xf numFmtId="41" fontId="3" fillId="0" borderId="17" xfId="0" applyNumberFormat="1" applyFont="1" applyFill="1" applyBorder="1" applyAlignment="1">
      <alignment horizontal="center" vertical="center" wrapText="1"/>
    </xf>
    <xf numFmtId="3" fontId="17" fillId="0" borderId="0" xfId="0" applyNumberFormat="1" applyFont="1" applyFill="1" applyBorder="1" applyAlignment="1">
      <alignment vertical="center"/>
    </xf>
    <xf numFmtId="41" fontId="3" fillId="0" borderId="71" xfId="0" applyNumberFormat="1" applyFont="1" applyFill="1" applyBorder="1" applyAlignment="1">
      <alignment horizontal="center" vertical="center" wrapText="1"/>
    </xf>
    <xf numFmtId="41" fontId="3" fillId="0" borderId="72" xfId="0" applyNumberFormat="1" applyFont="1" applyFill="1" applyBorder="1" applyAlignment="1">
      <alignment horizontal="center" vertical="center" wrapText="1"/>
    </xf>
    <xf numFmtId="41" fontId="3" fillId="0" borderId="73" xfId="0" applyNumberFormat="1" applyFont="1" applyFill="1" applyBorder="1" applyAlignment="1">
      <alignment horizontal="center" vertical="center" wrapText="1"/>
    </xf>
    <xf numFmtId="41" fontId="3" fillId="0" borderId="71" xfId="0" applyNumberFormat="1" applyFont="1" applyFill="1" applyBorder="1" applyAlignment="1">
      <alignment horizontal="center" vertical="center"/>
    </xf>
    <xf numFmtId="41" fontId="3" fillId="0" borderId="73" xfId="0" applyNumberFormat="1" applyFont="1" applyFill="1" applyBorder="1" applyAlignment="1">
      <alignment horizontal="center" vertical="center"/>
    </xf>
    <xf numFmtId="41" fontId="3" fillId="18" borderId="5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41" fontId="3" fillId="17" borderId="17" xfId="0" applyNumberFormat="1" applyFont="1" applyFill="1" applyBorder="1" applyAlignment="1">
      <alignment horizontal="center" vertical="center"/>
    </xf>
    <xf numFmtId="41" fontId="3" fillId="17" borderId="38" xfId="0" applyNumberFormat="1" applyFont="1" applyFill="1" applyBorder="1" applyAlignment="1">
      <alignment horizontal="center" vertical="center"/>
    </xf>
    <xf numFmtId="41" fontId="3" fillId="17" borderId="46" xfId="0" applyNumberFormat="1" applyFont="1" applyFill="1" applyBorder="1" applyAlignment="1">
      <alignment horizontal="center" vertical="center"/>
    </xf>
    <xf numFmtId="41" fontId="3" fillId="17" borderId="40" xfId="0" applyNumberFormat="1" applyFont="1" applyFill="1" applyBorder="1" applyAlignment="1">
      <alignment horizontal="center" vertical="center"/>
    </xf>
    <xf numFmtId="41" fontId="3" fillId="18" borderId="22" xfId="0" applyNumberFormat="1" applyFont="1" applyFill="1" applyBorder="1" applyAlignment="1">
      <alignment horizontal="center" vertical="center"/>
    </xf>
    <xf numFmtId="41" fontId="3" fillId="0" borderId="1"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164" fontId="3" fillId="15" borderId="22" xfId="0" applyNumberFormat="1" applyFont="1" applyFill="1" applyBorder="1" applyAlignment="1">
      <alignment horizontal="center" vertical="center"/>
    </xf>
    <xf numFmtId="41" fontId="3" fillId="17" borderId="11" xfId="0" applyNumberFormat="1" applyFont="1" applyFill="1" applyBorder="1" applyAlignment="1">
      <alignment horizontal="center" vertical="center"/>
    </xf>
    <xf numFmtId="41" fontId="3" fillId="0" borderId="11" xfId="0" applyNumberFormat="1" applyFont="1" applyFill="1" applyBorder="1" applyAlignment="1">
      <alignment horizontal="center" vertical="center" wrapText="1"/>
    </xf>
    <xf numFmtId="41" fontId="3" fillId="17" borderId="50" xfId="0" applyNumberFormat="1" applyFont="1" applyFill="1" applyBorder="1" applyAlignment="1">
      <alignment horizontal="center" vertical="center"/>
    </xf>
    <xf numFmtId="41" fontId="3" fillId="18" borderId="77" xfId="0" applyNumberFormat="1" applyFont="1" applyFill="1" applyBorder="1" applyAlignment="1">
      <alignment horizontal="center" vertical="center"/>
    </xf>
    <xf numFmtId="41" fontId="3" fillId="0" borderId="72" xfId="0" applyNumberFormat="1" applyFont="1" applyFill="1" applyBorder="1" applyAlignment="1">
      <alignment horizontal="center" vertical="center"/>
    </xf>
    <xf numFmtId="164" fontId="3" fillId="15" borderId="77" xfId="0" applyNumberFormat="1" applyFont="1" applyFill="1" applyBorder="1" applyAlignment="1">
      <alignment horizontal="center" vertical="center"/>
    </xf>
    <xf numFmtId="10" fontId="10" fillId="17" borderId="5" xfId="5" applyNumberFormat="1" applyFont="1" applyFill="1" applyBorder="1" applyAlignment="1">
      <alignment horizontal="center" vertical="center" wrapText="1"/>
    </xf>
    <xf numFmtId="41" fontId="10" fillId="17" borderId="5" xfId="0" applyNumberFormat="1" applyFont="1" applyFill="1" applyBorder="1" applyAlignment="1">
      <alignment horizontal="right" vertical="center" wrapText="1"/>
    </xf>
    <xf numFmtId="43" fontId="10" fillId="17" borderId="5" xfId="10" applyFont="1" applyFill="1" applyBorder="1" applyAlignment="1">
      <alignment horizontal="center" vertical="center" wrapText="1"/>
    </xf>
    <xf numFmtId="0" fontId="8" fillId="26" borderId="19" xfId="0" applyFont="1" applyFill="1" applyBorder="1" applyAlignment="1">
      <alignment horizontal="center" vertical="center"/>
    </xf>
    <xf numFmtId="0" fontId="8" fillId="26" borderId="20" xfId="0" applyFont="1" applyFill="1" applyBorder="1" applyAlignment="1">
      <alignment horizontal="center" vertical="center"/>
    </xf>
    <xf numFmtId="0" fontId="8" fillId="26" borderId="27" xfId="0" applyFont="1" applyFill="1" applyBorder="1" applyAlignment="1">
      <alignment horizontal="center" vertical="center"/>
    </xf>
    <xf numFmtId="169" fontId="10" fillId="17" borderId="44" xfId="5" applyNumberFormat="1" applyFont="1" applyFill="1" applyBorder="1" applyAlignment="1">
      <alignment horizontal="center" vertical="center" wrapText="1"/>
    </xf>
    <xf numFmtId="169" fontId="10" fillId="17" borderId="4" xfId="5" applyNumberFormat="1" applyFont="1" applyFill="1" applyBorder="1" applyAlignment="1">
      <alignment horizontal="center" vertical="center" wrapText="1"/>
    </xf>
    <xf numFmtId="169" fontId="10" fillId="16" borderId="4" xfId="5" applyNumberFormat="1" applyFont="1" applyFill="1" applyBorder="1" applyAlignment="1">
      <alignment horizontal="center" vertical="center" wrapText="1"/>
    </xf>
    <xf numFmtId="169" fontId="27" fillId="17" borderId="4" xfId="5" applyNumberFormat="1" applyFont="1" applyFill="1" applyBorder="1" applyAlignment="1">
      <alignment horizontal="center" vertical="center" wrapText="1"/>
    </xf>
    <xf numFmtId="0" fontId="8" fillId="26" borderId="24" xfId="0" applyFont="1" applyFill="1" applyBorder="1" applyAlignment="1">
      <alignment horizontal="center" vertical="center"/>
    </xf>
    <xf numFmtId="0" fontId="8" fillId="26" borderId="25" xfId="0" applyFont="1" applyFill="1" applyBorder="1" applyAlignment="1">
      <alignment horizontal="center" vertical="center"/>
    </xf>
    <xf numFmtId="0" fontId="10" fillId="17" borderId="43" xfId="0" applyFont="1" applyFill="1" applyBorder="1" applyAlignment="1">
      <alignment horizontal="left" vertical="center" wrapText="1"/>
    </xf>
    <xf numFmtId="0" fontId="10" fillId="17" borderId="18" xfId="0" applyFont="1" applyFill="1" applyBorder="1" applyAlignment="1">
      <alignment horizontal="left" vertical="center" wrapText="1"/>
    </xf>
    <xf numFmtId="0" fontId="10" fillId="16" borderId="18" xfId="0" applyFont="1" applyFill="1" applyBorder="1" applyAlignment="1">
      <alignment horizontal="left" vertical="center" wrapText="1"/>
    </xf>
    <xf numFmtId="0" fontId="27" fillId="17" borderId="18" xfId="0" applyFont="1" applyFill="1" applyBorder="1" applyAlignment="1">
      <alignment horizontal="left" vertical="center" wrapText="1"/>
    </xf>
    <xf numFmtId="0" fontId="10" fillId="32" borderId="18" xfId="0" applyFont="1" applyFill="1" applyBorder="1" applyAlignment="1">
      <alignment horizontal="left" vertical="center" wrapText="1"/>
    </xf>
    <xf numFmtId="0" fontId="10" fillId="17" borderId="1" xfId="0" applyFont="1" applyFill="1" applyBorder="1" applyAlignment="1">
      <alignment horizontal="center" vertical="center" wrapText="1"/>
    </xf>
    <xf numFmtId="164" fontId="8" fillId="13" borderId="20" xfId="0" applyNumberFormat="1" applyFont="1" applyFill="1" applyBorder="1" applyAlignment="1">
      <alignment vertical="center"/>
    </xf>
    <xf numFmtId="0" fontId="8" fillId="26" borderId="52" xfId="0" applyFont="1" applyFill="1" applyBorder="1" applyAlignment="1">
      <alignment horizontal="center" vertical="center"/>
    </xf>
    <xf numFmtId="167" fontId="10" fillId="17" borderId="74" xfId="10" applyNumberFormat="1" applyFont="1" applyFill="1" applyBorder="1" applyAlignment="1">
      <alignment horizontal="center" vertical="center" wrapText="1"/>
    </xf>
    <xf numFmtId="167" fontId="10" fillId="17" borderId="8" xfId="10" applyNumberFormat="1" applyFont="1" applyFill="1" applyBorder="1" applyAlignment="1">
      <alignment horizontal="center" vertical="center" wrapText="1"/>
    </xf>
    <xf numFmtId="167" fontId="10" fillId="16" borderId="8" xfId="10" applyNumberFormat="1" applyFont="1" applyFill="1" applyBorder="1" applyAlignment="1">
      <alignment horizontal="center" vertical="center" wrapText="1"/>
    </xf>
    <xf numFmtId="167" fontId="27" fillId="17" borderId="8" xfId="10" applyNumberFormat="1" applyFont="1" applyFill="1" applyBorder="1" applyAlignment="1">
      <alignment horizontal="center" vertical="center" wrapText="1"/>
    </xf>
    <xf numFmtId="167" fontId="10" fillId="32" borderId="8" xfId="10" applyNumberFormat="1" applyFont="1" applyFill="1" applyBorder="1" applyAlignment="1">
      <alignment horizontal="center" vertical="center" wrapText="1"/>
    </xf>
    <xf numFmtId="9" fontId="8" fillId="13" borderId="8" xfId="5" applyFont="1" applyFill="1" applyBorder="1" applyAlignment="1">
      <alignment horizontal="center" vertical="center"/>
    </xf>
    <xf numFmtId="0" fontId="8" fillId="26" borderId="21" xfId="0" applyFont="1" applyFill="1" applyBorder="1" applyAlignment="1">
      <alignment horizontal="center" vertical="center"/>
    </xf>
    <xf numFmtId="41" fontId="14" fillId="17" borderId="35" xfId="1" applyNumberFormat="1" applyFont="1" applyFill="1" applyBorder="1" applyAlignment="1">
      <alignment horizontal="center" vertical="center"/>
    </xf>
    <xf numFmtId="41" fontId="14" fillId="17" borderId="43" xfId="1" applyNumberFormat="1" applyFont="1" applyFill="1" applyBorder="1" applyAlignment="1">
      <alignment horizontal="center" vertical="center"/>
    </xf>
    <xf numFmtId="41" fontId="14" fillId="17" borderId="1" xfId="1" applyNumberFormat="1" applyFont="1" applyFill="1" applyBorder="1" applyAlignment="1">
      <alignment horizontal="center" vertical="center"/>
    </xf>
    <xf numFmtId="41" fontId="14" fillId="17" borderId="18" xfId="1" applyNumberFormat="1" applyFont="1" applyFill="1" applyBorder="1" applyAlignment="1">
      <alignment horizontal="center" vertical="center"/>
    </xf>
    <xf numFmtId="3" fontId="14" fillId="16" borderId="1" xfId="1" applyNumberFormat="1" applyFont="1" applyFill="1" applyBorder="1" applyAlignment="1">
      <alignment horizontal="right" vertical="center"/>
    </xf>
    <xf numFmtId="3" fontId="14" fillId="16" borderId="18" xfId="1" applyNumberFormat="1" applyFont="1" applyFill="1" applyBorder="1" applyAlignment="1">
      <alignment horizontal="right" vertical="center"/>
    </xf>
    <xf numFmtId="3" fontId="27" fillId="17" borderId="1" xfId="1" applyNumberFormat="1" applyFont="1" applyFill="1" applyBorder="1" applyAlignment="1">
      <alignment horizontal="right" vertical="center"/>
    </xf>
    <xf numFmtId="3" fontId="27" fillId="17" borderId="18" xfId="1" applyNumberFormat="1" applyFont="1" applyFill="1" applyBorder="1" applyAlignment="1">
      <alignment horizontal="right" vertical="center"/>
    </xf>
    <xf numFmtId="3" fontId="14" fillId="17" borderId="1" xfId="1" applyNumberFormat="1" applyFont="1" applyFill="1" applyBorder="1" applyAlignment="1">
      <alignment horizontal="right" vertical="center"/>
    </xf>
    <xf numFmtId="3" fontId="14" fillId="17" borderId="18" xfId="1" applyNumberFormat="1" applyFont="1" applyFill="1" applyBorder="1" applyAlignment="1">
      <alignment horizontal="right" vertical="center"/>
    </xf>
    <xf numFmtId="3" fontId="14" fillId="32" borderId="1" xfId="1" applyNumberFormat="1" applyFont="1" applyFill="1" applyBorder="1" applyAlignment="1">
      <alignment horizontal="right" vertical="center"/>
    </xf>
    <xf numFmtId="3" fontId="14" fillId="32" borderId="18" xfId="1" applyNumberFormat="1" applyFont="1" applyFill="1" applyBorder="1" applyAlignment="1">
      <alignment horizontal="right" vertical="center"/>
    </xf>
    <xf numFmtId="164" fontId="8" fillId="13" borderId="19" xfId="0" applyNumberFormat="1" applyFont="1" applyFill="1" applyBorder="1" applyAlignment="1">
      <alignment vertical="center"/>
    </xf>
    <xf numFmtId="164" fontId="8" fillId="13" borderId="21" xfId="0" applyNumberFormat="1" applyFont="1" applyFill="1" applyBorder="1" applyAlignment="1">
      <alignment vertical="center"/>
    </xf>
    <xf numFmtId="3" fontId="41" fillId="28" borderId="17" xfId="0" applyNumberFormat="1" applyFont="1" applyFill="1" applyBorder="1"/>
    <xf numFmtId="3" fontId="41" fillId="28" borderId="37" xfId="0" applyNumberFormat="1" applyFont="1" applyFill="1" applyBorder="1"/>
    <xf numFmtId="3" fontId="40" fillId="28" borderId="38" xfId="0" applyNumberFormat="1" applyFont="1" applyFill="1" applyBorder="1"/>
    <xf numFmtId="3" fontId="41" fillId="28" borderId="38" xfId="0" applyNumberFormat="1" applyFont="1" applyFill="1" applyBorder="1"/>
    <xf numFmtId="0" fontId="8" fillId="26" borderId="29" xfId="0" applyFont="1" applyFill="1" applyBorder="1" applyAlignment="1">
      <alignment horizontal="center" vertical="center"/>
    </xf>
    <xf numFmtId="0" fontId="8" fillId="26" borderId="39" xfId="0" applyFont="1" applyFill="1" applyBorder="1" applyAlignment="1">
      <alignment horizontal="center" vertical="center"/>
    </xf>
    <xf numFmtId="3" fontId="24" fillId="0" borderId="35" xfId="0" applyNumberFormat="1" applyFont="1" applyFill="1" applyBorder="1" applyAlignment="1">
      <alignment horizontal="right" vertical="center" wrapText="1"/>
    </xf>
    <xf numFmtId="3" fontId="23" fillId="15" borderId="17" xfId="1" applyNumberFormat="1" applyFont="1" applyFill="1" applyBorder="1" applyAlignment="1">
      <alignment horizontal="right" vertical="center"/>
    </xf>
    <xf numFmtId="3" fontId="23" fillId="5" borderId="17" xfId="1" applyNumberFormat="1" applyFont="1" applyFill="1" applyBorder="1" applyAlignment="1">
      <alignment horizontal="right" vertical="center"/>
    </xf>
    <xf numFmtId="3" fontId="23" fillId="5" borderId="37" xfId="1" applyNumberFormat="1" applyFont="1" applyFill="1" applyBorder="1" applyAlignment="1">
      <alignment horizontal="right" vertical="center"/>
    </xf>
    <xf numFmtId="0" fontId="20" fillId="14" borderId="11" xfId="0" applyFont="1" applyFill="1" applyBorder="1" applyAlignment="1">
      <alignment horizontal="center" vertical="center" wrapText="1"/>
    </xf>
    <xf numFmtId="3" fontId="24" fillId="0" borderId="0" xfId="0" applyNumberFormat="1" applyFont="1" applyFill="1" applyBorder="1" applyAlignment="1">
      <alignment horizontal="right" vertical="center" wrapText="1"/>
    </xf>
    <xf numFmtId="3" fontId="29" fillId="0" borderId="0" xfId="1" applyNumberFormat="1" applyFont="1" applyFill="1" applyBorder="1" applyAlignment="1">
      <alignment horizontal="right" vertical="center"/>
    </xf>
    <xf numFmtId="173" fontId="4" fillId="0" borderId="0" xfId="0" applyNumberFormat="1" applyFont="1" applyFill="1" applyBorder="1" applyAlignment="1">
      <alignment horizontal="center" vertical="center" wrapText="1"/>
    </xf>
    <xf numFmtId="0" fontId="50" fillId="0" borderId="0" xfId="0" applyFont="1" applyFill="1" applyBorder="1" applyAlignment="1">
      <alignment vertical="center" wrapText="1"/>
    </xf>
    <xf numFmtId="3" fontId="23" fillId="0" borderId="0" xfId="1" applyNumberFormat="1" applyFont="1" applyFill="1" applyBorder="1" applyAlignment="1">
      <alignment horizontal="right" vertical="center"/>
    </xf>
    <xf numFmtId="3" fontId="0" fillId="0" borderId="0" xfId="0" applyNumberFormat="1" applyFill="1" applyBorder="1"/>
    <xf numFmtId="3" fontId="24" fillId="0" borderId="75" xfId="0" applyNumberFormat="1" applyFont="1" applyFill="1" applyBorder="1" applyAlignment="1">
      <alignment horizontal="right" vertical="center" wrapText="1"/>
    </xf>
    <xf numFmtId="3" fontId="24" fillId="0" borderId="72" xfId="0" applyNumberFormat="1" applyFont="1" applyFill="1" applyBorder="1" applyAlignment="1">
      <alignment horizontal="right" vertical="center" wrapText="1"/>
    </xf>
    <xf numFmtId="3" fontId="24" fillId="0" borderId="85" xfId="0" applyNumberFormat="1" applyFont="1" applyFill="1" applyBorder="1" applyAlignment="1">
      <alignment horizontal="right" vertical="center" wrapText="1"/>
    </xf>
    <xf numFmtId="42" fontId="20" fillId="4" borderId="11" xfId="8" applyFont="1" applyFill="1" applyBorder="1" applyAlignment="1">
      <alignment horizontal="right"/>
    </xf>
    <xf numFmtId="42" fontId="2" fillId="0" borderId="2" xfId="8" applyFont="1" applyFill="1" applyBorder="1" applyAlignment="1">
      <alignment horizontal="right" vertical="center" wrapText="1"/>
    </xf>
    <xf numFmtId="0" fontId="2" fillId="16" borderId="5" xfId="0" applyFont="1" applyFill="1" applyBorder="1" applyAlignment="1">
      <alignment horizontal="justify" vertical="center" wrapText="1"/>
    </xf>
    <xf numFmtId="0" fontId="2" fillId="16" borderId="5" xfId="0" applyFont="1" applyFill="1" applyBorder="1" applyAlignment="1">
      <alignment horizontal="center" vertical="center"/>
    </xf>
    <xf numFmtId="173" fontId="3" fillId="37" borderId="5" xfId="0" applyNumberFormat="1" applyFont="1" applyFill="1" applyBorder="1" applyAlignment="1">
      <alignment horizontal="right" vertical="center" wrapText="1"/>
    </xf>
    <xf numFmtId="0" fontId="2" fillId="15" borderId="37" xfId="0" applyFont="1" applyFill="1" applyBorder="1" applyAlignment="1">
      <alignment horizontal="justify" vertical="center" wrapText="1"/>
    </xf>
    <xf numFmtId="173" fontId="3" fillId="38" borderId="17" xfId="0" applyNumberFormat="1" applyFont="1" applyFill="1" applyBorder="1" applyAlignment="1">
      <alignment horizontal="right" vertical="center" wrapText="1"/>
    </xf>
    <xf numFmtId="173" fontId="3" fillId="38" borderId="37" xfId="0" applyNumberFormat="1" applyFont="1" applyFill="1" applyBorder="1" applyAlignment="1">
      <alignment horizontal="right" vertical="center" wrapText="1"/>
    </xf>
    <xf numFmtId="173" fontId="3" fillId="38" borderId="38" xfId="0" applyNumberFormat="1" applyFont="1" applyFill="1" applyBorder="1" applyAlignment="1">
      <alignment horizontal="right" vertical="center" wrapText="1"/>
    </xf>
    <xf numFmtId="173" fontId="3" fillId="38" borderId="11" xfId="0" applyNumberFormat="1" applyFont="1" applyFill="1" applyBorder="1" applyAlignment="1">
      <alignment horizontal="right" vertical="center" wrapText="1"/>
    </xf>
    <xf numFmtId="173" fontId="3" fillId="0" borderId="3" xfId="0" applyNumberFormat="1" applyFont="1" applyBorder="1" applyAlignment="1">
      <alignment horizontal="right" vertical="center" wrapText="1"/>
    </xf>
    <xf numFmtId="0" fontId="2" fillId="5" borderId="37" xfId="0" applyFont="1" applyFill="1" applyBorder="1" applyAlignment="1">
      <alignment horizontal="justify" vertical="center" wrapText="1"/>
    </xf>
    <xf numFmtId="173" fontId="3" fillId="36" borderId="17" xfId="0" applyNumberFormat="1" applyFont="1" applyFill="1" applyBorder="1" applyAlignment="1">
      <alignment horizontal="right" vertical="center" wrapText="1"/>
    </xf>
    <xf numFmtId="173" fontId="3" fillId="36" borderId="37" xfId="0" applyNumberFormat="1" applyFont="1" applyFill="1" applyBorder="1" applyAlignment="1">
      <alignment horizontal="right" vertical="center" wrapText="1"/>
    </xf>
    <xf numFmtId="173" fontId="3" fillId="36" borderId="38" xfId="0" applyNumberFormat="1" applyFont="1" applyFill="1" applyBorder="1" applyAlignment="1">
      <alignment horizontal="right" vertical="center" wrapText="1"/>
    </xf>
    <xf numFmtId="173" fontId="3" fillId="36" borderId="11" xfId="0" applyNumberFormat="1" applyFont="1" applyFill="1" applyBorder="1" applyAlignment="1">
      <alignment horizontal="right" vertical="center" wrapText="1"/>
    </xf>
    <xf numFmtId="3" fontId="0" fillId="0" borderId="75" xfId="0" applyNumberFormat="1" applyFill="1" applyBorder="1" applyAlignment="1">
      <alignment vertical="center"/>
    </xf>
    <xf numFmtId="3" fontId="0" fillId="0" borderId="72" xfId="0" applyNumberFormat="1" applyFill="1" applyBorder="1" applyAlignment="1">
      <alignment vertical="center"/>
    </xf>
    <xf numFmtId="3" fontId="0" fillId="0" borderId="73" xfId="0" applyNumberFormat="1" applyFill="1" applyBorder="1" applyAlignment="1">
      <alignment vertical="center"/>
    </xf>
    <xf numFmtId="0" fontId="2" fillId="16" borderId="35" xfId="0" applyFont="1" applyFill="1" applyBorder="1" applyAlignment="1">
      <alignment horizontal="justify" vertical="center" wrapText="1"/>
    </xf>
    <xf numFmtId="0" fontId="2" fillId="16" borderId="44" xfId="0" applyFont="1" applyFill="1" applyBorder="1" applyAlignment="1">
      <alignment horizontal="justify" vertical="center" wrapText="1"/>
    </xf>
    <xf numFmtId="0" fontId="2" fillId="16" borderId="5" xfId="0" applyFont="1" applyFill="1" applyBorder="1" applyAlignment="1">
      <alignment horizontal="center" vertical="center" wrapText="1"/>
    </xf>
    <xf numFmtId="164" fontId="2" fillId="16" borderId="74" xfId="0" applyNumberFormat="1" applyFont="1" applyFill="1" applyBorder="1" applyAlignment="1">
      <alignment horizontal="center" vertical="center" wrapText="1"/>
    </xf>
    <xf numFmtId="164" fontId="2" fillId="16" borderId="43" xfId="1" applyFont="1" applyFill="1" applyBorder="1" applyAlignment="1">
      <alignment horizontal="right" vertical="center" wrapText="1"/>
    </xf>
    <xf numFmtId="164" fontId="2" fillId="16" borderId="75" xfId="1" applyFont="1" applyFill="1" applyBorder="1" applyAlignment="1">
      <alignment horizontal="right" vertical="center" wrapText="1"/>
    </xf>
    <xf numFmtId="164" fontId="3" fillId="16" borderId="77" xfId="1" applyFont="1" applyFill="1" applyBorder="1" applyAlignment="1">
      <alignment horizontal="right" vertical="center" wrapText="1"/>
    </xf>
    <xf numFmtId="0" fontId="2" fillId="16" borderId="28" xfId="0" applyFont="1" applyFill="1" applyBorder="1" applyAlignment="1">
      <alignment horizontal="justify" vertical="center" wrapText="1"/>
    </xf>
    <xf numFmtId="0" fontId="3" fillId="16" borderId="7" xfId="0" applyFont="1" applyFill="1" applyBorder="1" applyAlignment="1">
      <alignment horizontal="center" vertical="center" wrapText="1"/>
    </xf>
    <xf numFmtId="164" fontId="3" fillId="16" borderId="10" xfId="0" applyNumberFormat="1" applyFont="1" applyFill="1" applyBorder="1" applyAlignment="1">
      <alignment horizontal="center" vertical="center" wrapText="1"/>
    </xf>
    <xf numFmtId="164" fontId="3" fillId="16" borderId="23" xfId="1" applyFont="1" applyFill="1" applyBorder="1" applyAlignment="1">
      <alignment horizontal="right" vertical="center" wrapText="1"/>
    </xf>
    <xf numFmtId="0" fontId="2" fillId="15" borderId="36" xfId="0" applyFont="1" applyFill="1" applyBorder="1" applyAlignment="1">
      <alignment horizontal="justify" vertical="center" wrapText="1"/>
    </xf>
    <xf numFmtId="0" fontId="2" fillId="15" borderId="37" xfId="0" applyFont="1" applyFill="1" applyBorder="1" applyAlignment="1">
      <alignment horizontal="center" vertical="center" wrapText="1"/>
    </xf>
    <xf numFmtId="164" fontId="2" fillId="15" borderId="80" xfId="0" applyNumberFormat="1" applyFont="1" applyFill="1" applyBorder="1" applyAlignment="1">
      <alignment horizontal="center" vertical="center" wrapText="1"/>
    </xf>
    <xf numFmtId="164" fontId="2" fillId="15" borderId="38" xfId="1" applyFont="1" applyFill="1" applyBorder="1" applyAlignment="1">
      <alignment horizontal="right" vertical="center" wrapText="1"/>
    </xf>
    <xf numFmtId="164" fontId="2" fillId="15" borderId="11" xfId="1" applyFont="1" applyFill="1" applyBorder="1" applyAlignment="1">
      <alignment horizontal="right" vertical="center" wrapText="1"/>
    </xf>
    <xf numFmtId="164" fontId="3" fillId="5" borderId="11" xfId="1" applyFont="1" applyFill="1" applyBorder="1" applyAlignment="1">
      <alignment horizontal="right" vertical="center" wrapText="1"/>
    </xf>
    <xf numFmtId="0" fontId="3" fillId="5" borderId="36" xfId="0" applyFont="1" applyFill="1" applyBorder="1" applyAlignment="1">
      <alignment horizontal="left" vertical="center" wrapText="1"/>
    </xf>
    <xf numFmtId="0" fontId="3" fillId="5" borderId="37" xfId="0" applyFont="1" applyFill="1" applyBorder="1" applyAlignment="1">
      <alignment horizontal="center" vertical="center" wrapText="1"/>
    </xf>
    <xf numFmtId="164" fontId="3" fillId="5" borderId="80" xfId="0" applyNumberFormat="1" applyFont="1" applyFill="1" applyBorder="1" applyAlignment="1">
      <alignment horizontal="center" vertical="center" wrapText="1"/>
    </xf>
    <xf numFmtId="164" fontId="3" fillId="5" borderId="38" xfId="1" applyFont="1" applyFill="1" applyBorder="1" applyAlignment="1">
      <alignment horizontal="right" vertical="center" wrapText="1"/>
    </xf>
    <xf numFmtId="164" fontId="4" fillId="4" borderId="17" xfId="1" applyFont="1" applyFill="1" applyBorder="1" applyAlignment="1">
      <alignment vertical="center"/>
    </xf>
    <xf numFmtId="164" fontId="4" fillId="4" borderId="38" xfId="1" applyFont="1" applyFill="1" applyBorder="1" applyAlignment="1">
      <alignment vertical="center"/>
    </xf>
    <xf numFmtId="164" fontId="4" fillId="4" borderId="11" xfId="1" applyFont="1" applyFill="1" applyBorder="1" applyAlignment="1">
      <alignment vertical="center"/>
    </xf>
    <xf numFmtId="0" fontId="4" fillId="14" borderId="11" xfId="0" applyFont="1" applyFill="1" applyBorder="1" applyAlignment="1">
      <alignment horizontal="center" vertical="center" wrapText="1"/>
    </xf>
    <xf numFmtId="167" fontId="3" fillId="0" borderId="85" xfId="6"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2" fillId="0" borderId="3" xfId="0" applyFont="1" applyBorder="1" applyAlignment="1">
      <alignment horizontal="center" vertical="center" wrapText="1"/>
    </xf>
    <xf numFmtId="0" fontId="20" fillId="16" borderId="5" xfId="0" applyFont="1" applyFill="1" applyBorder="1" applyAlignment="1">
      <alignment horizontal="justify" vertical="center" wrapText="1"/>
    </xf>
    <xf numFmtId="0" fontId="20" fillId="16" borderId="5" xfId="0" applyFont="1" applyFill="1" applyBorder="1" applyAlignment="1">
      <alignment horizontal="center" vertical="center" wrapText="1"/>
    </xf>
    <xf numFmtId="167" fontId="20" fillId="16" borderId="5" xfId="6" applyNumberFormat="1" applyFont="1" applyFill="1" applyBorder="1" applyAlignment="1">
      <alignment horizontal="center" vertical="center" wrapText="1"/>
    </xf>
    <xf numFmtId="0" fontId="20" fillId="16" borderId="35" xfId="0" applyFont="1" applyFill="1" applyBorder="1" applyAlignment="1">
      <alignment horizontal="center" vertical="center" wrapText="1"/>
    </xf>
    <xf numFmtId="0" fontId="20" fillId="16" borderId="43" xfId="0" applyFont="1" applyFill="1" applyBorder="1" applyAlignment="1">
      <alignment horizontal="center" vertical="center" wrapText="1"/>
    </xf>
    <xf numFmtId="167" fontId="20" fillId="16" borderId="75" xfId="6" applyNumberFormat="1" applyFont="1" applyFill="1" applyBorder="1" applyAlignment="1">
      <alignment horizontal="center" vertical="center" wrapText="1"/>
    </xf>
    <xf numFmtId="167" fontId="20" fillId="16" borderId="35" xfId="6" applyNumberFormat="1" applyFont="1" applyFill="1" applyBorder="1" applyAlignment="1">
      <alignment horizontal="center" vertical="center" wrapText="1"/>
    </xf>
    <xf numFmtId="167" fontId="20" fillId="16" borderId="43" xfId="6" applyNumberFormat="1" applyFont="1" applyFill="1" applyBorder="1" applyAlignment="1">
      <alignment horizontal="center" vertical="center" wrapText="1"/>
    </xf>
    <xf numFmtId="0" fontId="20" fillId="17" borderId="37" xfId="0" applyFont="1" applyFill="1" applyBorder="1" applyAlignment="1">
      <alignment horizontal="justify" vertical="center"/>
    </xf>
    <xf numFmtId="0" fontId="20" fillId="17" borderId="37" xfId="0" applyFont="1" applyFill="1" applyBorder="1" applyAlignment="1">
      <alignment horizontal="center" vertical="center"/>
    </xf>
    <xf numFmtId="167" fontId="20" fillId="17" borderId="37" xfId="6" applyNumberFormat="1" applyFont="1" applyFill="1" applyBorder="1" applyAlignment="1">
      <alignment horizontal="center" vertical="center"/>
    </xf>
    <xf numFmtId="0" fontId="20" fillId="17" borderId="17" xfId="0" applyFont="1" applyFill="1" applyBorder="1" applyAlignment="1">
      <alignment horizontal="center" vertical="center"/>
    </xf>
    <xf numFmtId="167" fontId="20" fillId="17" borderId="11" xfId="6" applyNumberFormat="1" applyFont="1" applyFill="1" applyBorder="1" applyAlignment="1">
      <alignment horizontal="center" vertical="center"/>
    </xf>
    <xf numFmtId="167" fontId="4" fillId="17" borderId="11" xfId="6" applyNumberFormat="1" applyFont="1" applyFill="1" applyBorder="1" applyAlignment="1">
      <alignment horizontal="center" vertical="center" wrapText="1"/>
    </xf>
    <xf numFmtId="167" fontId="4" fillId="17" borderId="17" xfId="6" applyNumberFormat="1" applyFont="1" applyFill="1" applyBorder="1" applyAlignment="1">
      <alignment horizontal="center" vertical="center" wrapText="1"/>
    </xf>
    <xf numFmtId="167" fontId="4" fillId="17" borderId="37" xfId="6" applyNumberFormat="1" applyFont="1" applyFill="1" applyBorder="1" applyAlignment="1">
      <alignment horizontal="center" vertical="center" wrapText="1"/>
    </xf>
    <xf numFmtId="167" fontId="4" fillId="17" borderId="38" xfId="6" applyNumberFormat="1" applyFont="1" applyFill="1" applyBorder="1" applyAlignment="1">
      <alignment horizontal="center" vertical="center" wrapText="1"/>
    </xf>
    <xf numFmtId="0" fontId="4" fillId="17" borderId="37" xfId="0" applyFont="1" applyFill="1" applyBorder="1"/>
    <xf numFmtId="0" fontId="4" fillId="17" borderId="37" xfId="0" applyFont="1" applyFill="1" applyBorder="1" applyAlignment="1">
      <alignment horizontal="center" vertical="center" wrapText="1"/>
    </xf>
    <xf numFmtId="167" fontId="2" fillId="16" borderId="5" xfId="6" applyNumberFormat="1" applyFont="1" applyFill="1" applyBorder="1" applyAlignment="1">
      <alignment horizontal="center" vertical="center" wrapText="1"/>
    </xf>
    <xf numFmtId="0" fontId="2" fillId="16" borderId="35" xfId="0" applyFont="1" applyFill="1" applyBorder="1" applyAlignment="1">
      <alignment horizontal="center" vertical="center" wrapText="1"/>
    </xf>
    <xf numFmtId="0" fontId="2" fillId="16" borderId="43" xfId="0" applyFont="1" applyFill="1" applyBorder="1" applyAlignment="1">
      <alignment horizontal="center" vertical="center" wrapText="1"/>
    </xf>
    <xf numFmtId="167" fontId="2" fillId="16" borderId="75" xfId="6" applyNumberFormat="1" applyFont="1" applyFill="1" applyBorder="1" applyAlignment="1">
      <alignment horizontal="center" vertical="center" wrapText="1"/>
    </xf>
    <xf numFmtId="0" fontId="2" fillId="17" borderId="37" xfId="0" applyFont="1" applyFill="1" applyBorder="1"/>
    <xf numFmtId="0" fontId="2" fillId="17" borderId="37"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8" xfId="0" applyFont="1" applyFill="1" applyBorder="1" applyAlignment="1">
      <alignment horizontal="center" vertical="center" wrapText="1"/>
    </xf>
    <xf numFmtId="167" fontId="2" fillId="17" borderId="11" xfId="6" applyNumberFormat="1" applyFont="1" applyFill="1" applyBorder="1" applyAlignment="1">
      <alignment horizontal="center" vertical="center" wrapText="1"/>
    </xf>
    <xf numFmtId="167" fontId="4" fillId="18" borderId="11" xfId="6" applyNumberFormat="1" applyFont="1" applyFill="1" applyBorder="1" applyAlignment="1">
      <alignment horizontal="center" vertical="center" wrapText="1"/>
    </xf>
    <xf numFmtId="167" fontId="4" fillId="18" borderId="17" xfId="6" applyNumberFormat="1" applyFont="1" applyFill="1" applyBorder="1" applyAlignment="1">
      <alignment horizontal="center" vertical="center" wrapText="1"/>
    </xf>
    <xf numFmtId="167" fontId="4" fillId="18" borderId="37" xfId="6" applyNumberFormat="1" applyFont="1" applyFill="1" applyBorder="1" applyAlignment="1">
      <alignment horizontal="center" vertical="center" wrapText="1"/>
    </xf>
    <xf numFmtId="167" fontId="4" fillId="18" borderId="38" xfId="6" applyNumberFormat="1" applyFont="1" applyFill="1" applyBorder="1" applyAlignment="1">
      <alignment horizontal="center" vertical="center" wrapText="1"/>
    </xf>
    <xf numFmtId="0" fontId="4" fillId="18" borderId="37" xfId="0" applyFont="1" applyFill="1" applyBorder="1"/>
    <xf numFmtId="0" fontId="4" fillId="18" borderId="37" xfId="0" applyFont="1" applyFill="1" applyBorder="1" applyAlignment="1">
      <alignment horizontal="center" vertical="center" wrapText="1"/>
    </xf>
    <xf numFmtId="0" fontId="3" fillId="0" borderId="3" xfId="0" applyFont="1" applyFill="1" applyBorder="1"/>
    <xf numFmtId="0" fontId="3" fillId="18" borderId="37" xfId="0" applyFont="1" applyFill="1" applyBorder="1"/>
    <xf numFmtId="0" fontId="2" fillId="18" borderId="17" xfId="0" applyFont="1" applyFill="1" applyBorder="1" applyAlignment="1">
      <alignment horizontal="center" vertical="center" wrapText="1"/>
    </xf>
    <xf numFmtId="167" fontId="3" fillId="18" borderId="11" xfId="6" applyNumberFormat="1" applyFont="1" applyFill="1" applyBorder="1" applyAlignment="1">
      <alignment horizontal="center" vertical="center" wrapText="1"/>
    </xf>
    <xf numFmtId="0" fontId="3" fillId="18" borderId="17" xfId="0" applyFont="1" applyFill="1" applyBorder="1" applyAlignment="1">
      <alignment horizontal="center" vertical="center" wrapText="1"/>
    </xf>
    <xf numFmtId="0" fontId="3" fillId="18" borderId="38" xfId="0" applyFont="1" applyFill="1" applyBorder="1" applyAlignment="1">
      <alignment horizontal="center" vertical="center" wrapText="1"/>
    </xf>
    <xf numFmtId="167" fontId="4" fillId="18" borderId="11" xfId="6" applyNumberFormat="1" applyFont="1" applyFill="1" applyBorder="1" applyAlignment="1">
      <alignment horizontal="center" vertical="center"/>
    </xf>
    <xf numFmtId="167" fontId="4" fillId="18" borderId="17" xfId="6" applyNumberFormat="1" applyFont="1" applyFill="1" applyBorder="1" applyAlignment="1">
      <alignment horizontal="center" vertical="center"/>
    </xf>
    <xf numFmtId="167" fontId="4" fillId="18" borderId="37" xfId="6" applyNumberFormat="1" applyFont="1" applyFill="1" applyBorder="1" applyAlignment="1">
      <alignment horizontal="center" vertical="center"/>
    </xf>
    <xf numFmtId="167" fontId="4" fillId="18" borderId="38" xfId="6" applyNumberFormat="1" applyFont="1" applyFill="1" applyBorder="1" applyAlignment="1">
      <alignment horizontal="center" vertical="center"/>
    </xf>
    <xf numFmtId="0" fontId="4" fillId="18" borderId="37" xfId="0" applyFont="1" applyFill="1" applyBorder="1" applyAlignment="1">
      <alignment horizontal="center" vertical="center"/>
    </xf>
    <xf numFmtId="3" fontId="20" fillId="14" borderId="11" xfId="0" applyNumberFormat="1" applyFont="1" applyFill="1" applyBorder="1" applyAlignment="1">
      <alignment horizontal="center" vertical="center" wrapText="1"/>
    </xf>
    <xf numFmtId="167" fontId="2" fillId="0" borderId="76" xfId="6" applyNumberFormat="1" applyFont="1" applyFill="1" applyBorder="1" applyAlignment="1">
      <alignment horizontal="center" vertical="center" wrapText="1"/>
    </xf>
    <xf numFmtId="42" fontId="2" fillId="0" borderId="3" xfId="8" applyNumberFormat="1" applyFont="1" applyBorder="1" applyAlignment="1">
      <alignment horizontal="center" vertical="center"/>
    </xf>
    <xf numFmtId="42" fontId="2" fillId="16" borderId="5" xfId="8" applyNumberFormat="1" applyFont="1" applyFill="1" applyBorder="1" applyAlignment="1">
      <alignment horizontal="center" vertical="center" wrapText="1"/>
    </xf>
    <xf numFmtId="42" fontId="2" fillId="5" borderId="11" xfId="8" applyNumberFormat="1" applyFont="1" applyFill="1" applyBorder="1" applyAlignment="1">
      <alignment horizontal="center" vertical="center"/>
    </xf>
    <xf numFmtId="0" fontId="2" fillId="5" borderId="17" xfId="0" applyFont="1" applyFill="1" applyBorder="1" applyAlignment="1">
      <alignment horizontal="left" vertical="center" wrapText="1"/>
    </xf>
    <xf numFmtId="0" fontId="2" fillId="5" borderId="37" xfId="0" applyFont="1" applyFill="1" applyBorder="1" applyAlignment="1">
      <alignment horizontal="center" vertical="center" wrapText="1"/>
    </xf>
    <xf numFmtId="42" fontId="2" fillId="5" borderId="37" xfId="8" applyNumberFormat="1" applyFont="1" applyFill="1" applyBorder="1" applyAlignment="1">
      <alignment horizontal="center" vertical="center"/>
    </xf>
    <xf numFmtId="42" fontId="2" fillId="5" borderId="38" xfId="8" applyNumberFormat="1" applyFont="1" applyFill="1" applyBorder="1" applyAlignment="1">
      <alignment horizontal="center" vertical="center"/>
    </xf>
    <xf numFmtId="42" fontId="2" fillId="5" borderId="17" xfId="8" applyNumberFormat="1" applyFont="1" applyFill="1" applyBorder="1" applyAlignment="1">
      <alignment horizontal="center" vertical="center"/>
    </xf>
    <xf numFmtId="42" fontId="2" fillId="15" borderId="11" xfId="8" applyNumberFormat="1" applyFont="1" applyFill="1" applyBorder="1" applyAlignment="1">
      <alignment horizontal="center" vertical="center"/>
    </xf>
    <xf numFmtId="42" fontId="2" fillId="15" borderId="17" xfId="8" applyNumberFormat="1" applyFont="1" applyFill="1" applyBorder="1" applyAlignment="1">
      <alignment horizontal="center" vertical="center"/>
    </xf>
    <xf numFmtId="42" fontId="2" fillId="15" borderId="37" xfId="8" applyNumberFormat="1" applyFont="1" applyFill="1" applyBorder="1" applyAlignment="1">
      <alignment horizontal="center" vertical="center"/>
    </xf>
    <xf numFmtId="42" fontId="2" fillId="15" borderId="38" xfId="8" applyNumberFormat="1" applyFont="1" applyFill="1" applyBorder="1" applyAlignment="1">
      <alignment horizontal="center" vertical="center"/>
    </xf>
    <xf numFmtId="0" fontId="2" fillId="15" borderId="17" xfId="0" applyFont="1" applyFill="1" applyBorder="1" applyAlignment="1">
      <alignment horizontal="left" vertical="center" wrapText="1"/>
    </xf>
    <xf numFmtId="0" fontId="2" fillId="16" borderId="35" xfId="0" applyFont="1" applyFill="1" applyBorder="1" applyAlignment="1">
      <alignment horizontal="left" vertical="center" wrapText="1"/>
    </xf>
    <xf numFmtId="42" fontId="2" fillId="16" borderId="43" xfId="8" applyNumberFormat="1" applyFont="1" applyFill="1" applyBorder="1" applyAlignment="1">
      <alignment horizontal="center" vertical="center" wrapText="1"/>
    </xf>
    <xf numFmtId="170" fontId="3" fillId="0" borderId="18" xfId="0" applyNumberFormat="1" applyFont="1" applyFill="1" applyBorder="1" applyAlignment="1">
      <alignment horizontal="right" vertical="center"/>
    </xf>
    <xf numFmtId="0" fontId="2" fillId="16" borderId="1" xfId="0" applyFont="1" applyFill="1" applyBorder="1" applyAlignment="1">
      <alignment horizontal="left" vertical="center" wrapText="1"/>
    </xf>
    <xf numFmtId="42" fontId="2" fillId="16" borderId="18" xfId="8" applyNumberFormat="1" applyFont="1" applyFill="1" applyBorder="1" applyAlignment="1">
      <alignment horizontal="center" vertical="center" wrapText="1"/>
    </xf>
    <xf numFmtId="170" fontId="2" fillId="0" borderId="18" xfId="7" applyNumberFormat="1" applyFont="1" applyFill="1" applyBorder="1" applyAlignment="1">
      <alignment vertical="center"/>
    </xf>
    <xf numFmtId="0" fontId="2" fillId="0" borderId="6" xfId="0" applyFont="1" applyFill="1" applyBorder="1" applyAlignment="1">
      <alignment horizontal="left" vertical="center" wrapText="1"/>
    </xf>
    <xf numFmtId="170" fontId="2" fillId="0" borderId="45" xfId="7" applyNumberFormat="1" applyFont="1" applyFill="1" applyBorder="1" applyAlignment="1">
      <alignment vertical="center"/>
    </xf>
    <xf numFmtId="42" fontId="2" fillId="0" borderId="45" xfId="8" applyNumberFormat="1" applyFont="1" applyFill="1" applyBorder="1" applyAlignment="1">
      <alignment horizontal="center" vertical="center"/>
    </xf>
    <xf numFmtId="42" fontId="2" fillId="0" borderId="18" xfId="8" applyNumberFormat="1" applyFont="1" applyFill="1" applyBorder="1" applyAlignment="1">
      <alignment horizontal="center" vertical="center"/>
    </xf>
    <xf numFmtId="42" fontId="2" fillId="0" borderId="18" xfId="0" applyNumberFormat="1" applyFont="1" applyFill="1" applyBorder="1" applyAlignment="1">
      <alignment horizontal="right" vertical="center"/>
    </xf>
    <xf numFmtId="0" fontId="3" fillId="0" borderId="1" xfId="0" applyFont="1" applyFill="1" applyBorder="1" applyAlignment="1">
      <alignment vertical="center" wrapText="1"/>
    </xf>
    <xf numFmtId="42" fontId="3" fillId="0" borderId="18" xfId="0" applyNumberFormat="1" applyFont="1" applyFill="1" applyBorder="1" applyAlignment="1">
      <alignment vertical="center"/>
    </xf>
    <xf numFmtId="42" fontId="3" fillId="0" borderId="18" xfId="8" applyNumberFormat="1" applyFont="1" applyFill="1" applyBorder="1" applyAlignment="1">
      <alignment horizontal="center" vertical="center"/>
    </xf>
    <xf numFmtId="170" fontId="3" fillId="0" borderId="18" xfId="0" applyNumberFormat="1" applyFont="1" applyFill="1" applyBorder="1" applyAlignment="1">
      <alignment vertical="center"/>
    </xf>
    <xf numFmtId="170" fontId="3" fillId="0" borderId="81" xfId="7" applyNumberFormat="1" applyFont="1" applyFill="1" applyBorder="1" applyAlignment="1">
      <alignment vertical="center"/>
    </xf>
    <xf numFmtId="44" fontId="3" fillId="0" borderId="18" xfId="0" applyNumberFormat="1" applyFont="1" applyFill="1" applyBorder="1" applyAlignment="1">
      <alignment vertical="center"/>
    </xf>
    <xf numFmtId="0" fontId="2" fillId="33" borderId="6" xfId="0" applyFont="1" applyFill="1" applyBorder="1" applyAlignment="1">
      <alignment horizontal="left" vertical="center" wrapText="1"/>
    </xf>
    <xf numFmtId="42" fontId="2" fillId="33" borderId="45" xfId="8" applyNumberFormat="1" applyFont="1" applyFill="1" applyBorder="1" applyAlignment="1">
      <alignment horizontal="center" vertical="center" wrapText="1"/>
    </xf>
    <xf numFmtId="42" fontId="2" fillId="16" borderId="35" xfId="8" applyNumberFormat="1" applyFont="1" applyFill="1" applyBorder="1" applyAlignment="1">
      <alignment horizontal="center" vertical="center" wrapText="1"/>
    </xf>
    <xf numFmtId="170" fontId="3" fillId="0" borderId="1" xfId="7" applyNumberFormat="1" applyFont="1" applyFill="1" applyBorder="1" applyAlignment="1">
      <alignment vertical="center"/>
    </xf>
    <xf numFmtId="42" fontId="2" fillId="16" borderId="1" xfId="8"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42" fontId="3" fillId="0" borderId="1" xfId="8"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42" fontId="2" fillId="0" borderId="6" xfId="8" applyNumberFormat="1" applyFont="1" applyBorder="1" applyAlignment="1">
      <alignment horizontal="center" vertical="center"/>
    </xf>
    <xf numFmtId="3" fontId="7" fillId="0" borderId="1" xfId="0" applyNumberFormat="1" applyFont="1" applyFill="1" applyBorder="1" applyAlignment="1">
      <alignment horizontal="center" vertical="center" wrapText="1"/>
    </xf>
    <xf numFmtId="44" fontId="3" fillId="0" borderId="1" xfId="0" applyNumberFormat="1" applyFont="1" applyFill="1" applyBorder="1" applyAlignment="1">
      <alignment vertical="center"/>
    </xf>
    <xf numFmtId="44" fontId="3" fillId="0" borderId="1" xfId="7" applyFont="1" applyFill="1" applyBorder="1" applyAlignment="1">
      <alignment vertical="center"/>
    </xf>
    <xf numFmtId="42" fontId="2" fillId="33" borderId="21" xfId="8" applyNumberFormat="1" applyFont="1" applyFill="1" applyBorder="1" applyAlignment="1">
      <alignment horizontal="center" vertical="center" wrapText="1"/>
    </xf>
    <xf numFmtId="42" fontId="2" fillId="16" borderId="75" xfId="8" applyNumberFormat="1" applyFont="1" applyFill="1" applyBorder="1" applyAlignment="1">
      <alignment horizontal="center" vertical="center" wrapText="1"/>
    </xf>
    <xf numFmtId="170" fontId="3" fillId="0" borderId="72" xfId="0" applyNumberFormat="1" applyFont="1" applyFill="1" applyBorder="1" applyAlignment="1">
      <alignment horizontal="right" vertical="center"/>
    </xf>
    <xf numFmtId="42" fontId="2" fillId="16" borderId="72" xfId="8" applyNumberFormat="1" applyFont="1" applyFill="1" applyBorder="1" applyAlignment="1">
      <alignment horizontal="center" vertical="center" wrapText="1"/>
    </xf>
    <xf numFmtId="170" fontId="2" fillId="0" borderId="72" xfId="7" applyNumberFormat="1" applyFont="1" applyFill="1" applyBorder="1" applyAlignment="1">
      <alignment vertical="center"/>
    </xf>
    <xf numFmtId="170" fontId="2" fillId="0" borderId="85" xfId="7" applyNumberFormat="1" applyFont="1" applyFill="1" applyBorder="1" applyAlignment="1">
      <alignment vertical="center"/>
    </xf>
    <xf numFmtId="42" fontId="2" fillId="0" borderId="85" xfId="8" applyNumberFormat="1" applyFont="1" applyFill="1" applyBorder="1" applyAlignment="1">
      <alignment horizontal="center" vertical="center"/>
    </xf>
    <xf numFmtId="42" fontId="2" fillId="0" borderId="72" xfId="0" applyNumberFormat="1" applyFont="1" applyFill="1" applyBorder="1" applyAlignment="1">
      <alignment horizontal="right" vertical="center"/>
    </xf>
    <xf numFmtId="42" fontId="3" fillId="0" borderId="72" xfId="0" applyNumberFormat="1" applyFont="1" applyFill="1" applyBorder="1" applyAlignment="1">
      <alignment vertical="center"/>
    </xf>
    <xf numFmtId="42" fontId="3" fillId="0" borderId="72" xfId="8" applyNumberFormat="1" applyFont="1" applyFill="1" applyBorder="1" applyAlignment="1">
      <alignment horizontal="center" vertical="center"/>
    </xf>
    <xf numFmtId="170" fontId="3" fillId="0" borderId="72" xfId="0" applyNumberFormat="1" applyFont="1" applyFill="1" applyBorder="1" applyAlignment="1">
      <alignment vertical="center"/>
    </xf>
    <xf numFmtId="170" fontId="3" fillId="0" borderId="72" xfId="7" applyNumberFormat="1" applyFont="1" applyFill="1" applyBorder="1" applyAlignment="1">
      <alignment vertical="center"/>
    </xf>
    <xf numFmtId="44" fontId="3" fillId="0" borderId="72" xfId="0" applyNumberFormat="1" applyFont="1" applyFill="1" applyBorder="1" applyAlignment="1">
      <alignment vertical="center"/>
    </xf>
    <xf numFmtId="42" fontId="2" fillId="33" borderId="85" xfId="8" applyNumberFormat="1" applyFont="1" applyFill="1" applyBorder="1" applyAlignment="1">
      <alignment horizontal="center" vertical="center" wrapText="1"/>
    </xf>
    <xf numFmtId="166" fontId="3" fillId="0" borderId="3" xfId="0" applyNumberFormat="1" applyFont="1" applyFill="1" applyBorder="1" applyAlignment="1">
      <alignment horizontal="right" vertical="center" wrapText="1"/>
    </xf>
    <xf numFmtId="166" fontId="3" fillId="0" borderId="45" xfId="0" applyNumberFormat="1" applyFont="1" applyBorder="1" applyAlignment="1">
      <alignment horizontal="right" vertical="center"/>
    </xf>
    <xf numFmtId="166" fontId="3" fillId="0" borderId="6" xfId="0" applyNumberFormat="1" applyFont="1" applyFill="1" applyBorder="1" applyAlignment="1">
      <alignment horizontal="right" vertical="center" wrapText="1"/>
    </xf>
    <xf numFmtId="166" fontId="3" fillId="0" borderId="85" xfId="0" applyNumberFormat="1" applyFont="1" applyFill="1" applyBorder="1" applyAlignment="1">
      <alignment horizontal="right" vertical="center"/>
    </xf>
    <xf numFmtId="166" fontId="2" fillId="16" borderId="43" xfId="0" applyNumberFormat="1" applyFont="1" applyFill="1" applyBorder="1" applyAlignment="1">
      <alignment horizontal="right" vertical="center" wrapText="1"/>
    </xf>
    <xf numFmtId="166" fontId="2" fillId="16" borderId="75" xfId="0" applyNumberFormat="1" applyFont="1" applyFill="1" applyBorder="1" applyAlignment="1">
      <alignment horizontal="right" vertical="center" wrapText="1"/>
    </xf>
    <xf numFmtId="0" fontId="2" fillId="18" borderId="37" xfId="2" applyFont="1" applyFill="1" applyBorder="1" applyAlignment="1">
      <alignment horizontal="justify" vertical="center"/>
    </xf>
    <xf numFmtId="166" fontId="17" fillId="4" borderId="11" xfId="0" applyNumberFormat="1" applyFont="1" applyFill="1" applyBorder="1" applyAlignment="1">
      <alignment vertical="center"/>
    </xf>
    <xf numFmtId="166" fontId="17" fillId="4" borderId="17" xfId="0" applyNumberFormat="1" applyFont="1" applyFill="1" applyBorder="1" applyAlignment="1">
      <alignment vertical="center"/>
    </xf>
    <xf numFmtId="166" fontId="17" fillId="4" borderId="38" xfId="0" applyNumberFormat="1" applyFont="1" applyFill="1" applyBorder="1" applyAlignment="1">
      <alignment vertical="center"/>
    </xf>
    <xf numFmtId="0" fontId="20" fillId="14" borderId="50" xfId="0" applyFont="1" applyFill="1" applyBorder="1" applyAlignment="1">
      <alignment horizontal="center" vertical="center" wrapText="1"/>
    </xf>
    <xf numFmtId="166" fontId="3" fillId="0" borderId="85" xfId="0" applyNumberFormat="1" applyFont="1" applyBorder="1" applyAlignment="1">
      <alignment horizontal="right" vertical="center"/>
    </xf>
    <xf numFmtId="166" fontId="2" fillId="16" borderId="5" xfId="0" applyNumberFormat="1" applyFont="1" applyFill="1" applyBorder="1" applyAlignment="1">
      <alignment horizontal="center" vertical="center" wrapText="1"/>
    </xf>
    <xf numFmtId="3" fontId="2" fillId="16" borderId="5" xfId="0" applyNumberFormat="1" applyFont="1" applyFill="1" applyBorder="1" applyAlignment="1">
      <alignment horizontal="center" vertical="center" wrapText="1"/>
    </xf>
    <xf numFmtId="166" fontId="2" fillId="19" borderId="11" xfId="0" applyNumberFormat="1" applyFont="1" applyFill="1" applyBorder="1" applyAlignment="1">
      <alignment horizontal="right" vertical="center" wrapText="1"/>
    </xf>
    <xf numFmtId="0" fontId="2" fillId="19" borderId="17" xfId="0" applyFont="1" applyFill="1" applyBorder="1" applyAlignment="1">
      <alignment horizontal="justify" vertical="center" wrapText="1"/>
    </xf>
    <xf numFmtId="0" fontId="2" fillId="19" borderId="37" xfId="0" applyFont="1" applyFill="1" applyBorder="1" applyAlignment="1">
      <alignment horizontal="justify" vertical="center" wrapText="1"/>
    </xf>
    <xf numFmtId="0" fontId="2" fillId="19" borderId="37" xfId="0" applyFont="1" applyFill="1" applyBorder="1" applyAlignment="1">
      <alignment horizontal="center" vertical="center" wrapText="1"/>
    </xf>
    <xf numFmtId="166" fontId="2" fillId="19" borderId="37" xfId="0" applyNumberFormat="1" applyFont="1" applyFill="1" applyBorder="1" applyAlignment="1">
      <alignment horizontal="right" vertical="center" wrapText="1"/>
    </xf>
    <xf numFmtId="166" fontId="2" fillId="19" borderId="38" xfId="0" applyNumberFormat="1" applyFont="1" applyFill="1" applyBorder="1" applyAlignment="1">
      <alignment horizontal="right" vertical="center" wrapText="1"/>
    </xf>
    <xf numFmtId="0" fontId="2" fillId="20" borderId="37" xfId="0" applyFont="1" applyFill="1" applyBorder="1" applyAlignment="1">
      <alignment horizontal="justify" vertical="center" wrapText="1"/>
    </xf>
    <xf numFmtId="0" fontId="2" fillId="20" borderId="37" xfId="0" applyFont="1" applyFill="1" applyBorder="1" applyAlignment="1">
      <alignment horizontal="center" vertical="center" wrapText="1"/>
    </xf>
    <xf numFmtId="166" fontId="2" fillId="20" borderId="37" xfId="0" applyNumberFormat="1" applyFont="1" applyFill="1" applyBorder="1" applyAlignment="1">
      <alignment horizontal="center" vertical="center" wrapText="1"/>
    </xf>
    <xf numFmtId="166" fontId="2" fillId="20" borderId="38" xfId="0" applyNumberFormat="1" applyFont="1" applyFill="1" applyBorder="1" applyAlignment="1">
      <alignment horizontal="right" vertical="center" wrapText="1"/>
    </xf>
    <xf numFmtId="166" fontId="2" fillId="20" borderId="11" xfId="0" applyNumberFormat="1" applyFont="1" applyFill="1" applyBorder="1" applyAlignment="1">
      <alignment horizontal="right" vertical="center" wrapText="1"/>
    </xf>
    <xf numFmtId="1" fontId="17" fillId="14" borderId="50" xfId="0" applyNumberFormat="1" applyFont="1" applyFill="1" applyBorder="1" applyAlignment="1">
      <alignment horizontal="center" vertical="center" wrapText="1"/>
    </xf>
    <xf numFmtId="5" fontId="1" fillId="0" borderId="7" xfId="1" applyNumberFormat="1" applyFont="1" applyFill="1" applyBorder="1" applyAlignment="1">
      <alignment horizontal="right" vertical="center"/>
    </xf>
    <xf numFmtId="166" fontId="0" fillId="0" borderId="7" xfId="0" applyNumberFormat="1" applyFill="1" applyBorder="1" applyAlignment="1">
      <alignment horizontal="right" vertical="center"/>
    </xf>
    <xf numFmtId="166" fontId="0" fillId="15" borderId="17" xfId="0" applyNumberFormat="1" applyFill="1" applyBorder="1" applyAlignment="1">
      <alignment horizontal="right" vertical="center"/>
    </xf>
    <xf numFmtId="166" fontId="0" fillId="15" borderId="37" xfId="0" applyNumberFormat="1" applyFill="1" applyBorder="1" applyAlignment="1">
      <alignment horizontal="right" vertical="center"/>
    </xf>
    <xf numFmtId="166" fontId="0" fillId="21" borderId="17" xfId="0" applyNumberFormat="1" applyFill="1" applyBorder="1" applyAlignment="1">
      <alignment horizontal="right" vertical="center"/>
    </xf>
    <xf numFmtId="166" fontId="0" fillId="21" borderId="37" xfId="0" applyNumberFormat="1" applyFill="1" applyBorder="1" applyAlignment="1">
      <alignment horizontal="right" vertical="center"/>
    </xf>
    <xf numFmtId="166" fontId="3" fillId="33" borderId="45" xfId="0" applyNumberFormat="1" applyFont="1" applyFill="1" applyBorder="1" applyAlignment="1">
      <alignment horizontal="right" vertical="center"/>
    </xf>
    <xf numFmtId="166" fontId="3" fillId="33" borderId="76" xfId="0" applyNumberFormat="1" applyFont="1" applyFill="1" applyBorder="1" applyAlignment="1">
      <alignment horizontal="center" vertical="center" wrapText="1"/>
    </xf>
    <xf numFmtId="0" fontId="3" fillId="33" borderId="3" xfId="0" applyFont="1" applyFill="1" applyBorder="1" applyAlignment="1">
      <alignment vertical="center"/>
    </xf>
    <xf numFmtId="166" fontId="2" fillId="16" borderId="74" xfId="0" applyNumberFormat="1" applyFont="1" applyFill="1" applyBorder="1" applyAlignment="1">
      <alignment horizontal="center" vertical="center" wrapText="1"/>
    </xf>
    <xf numFmtId="167" fontId="2" fillId="16" borderId="43" xfId="6" applyNumberFormat="1" applyFont="1" applyFill="1" applyBorder="1" applyAlignment="1">
      <alignment horizontal="center" vertical="center" wrapText="1"/>
    </xf>
    <xf numFmtId="0" fontId="2" fillId="16" borderId="74" xfId="0" applyFont="1" applyFill="1" applyBorder="1" applyAlignment="1">
      <alignment horizontal="center" vertical="center" wrapText="1"/>
    </xf>
    <xf numFmtId="0" fontId="2" fillId="23" borderId="37" xfId="0" applyFont="1" applyFill="1" applyBorder="1" applyAlignment="1">
      <alignment horizontal="center" vertical="center" wrapText="1"/>
    </xf>
    <xf numFmtId="166" fontId="0" fillId="15" borderId="80" xfId="0" applyNumberFormat="1" applyFill="1" applyBorder="1" applyAlignment="1">
      <alignment horizontal="center" vertical="center"/>
    </xf>
    <xf numFmtId="167" fontId="2" fillId="23" borderId="38" xfId="6" applyNumberFormat="1" applyFont="1" applyFill="1" applyBorder="1" applyAlignment="1">
      <alignment horizontal="center" vertical="center" wrapText="1"/>
    </xf>
    <xf numFmtId="166" fontId="0" fillId="15" borderId="12" xfId="0" applyNumberFormat="1" applyFill="1" applyBorder="1" applyAlignment="1">
      <alignment horizontal="center" vertical="center"/>
    </xf>
    <xf numFmtId="167" fontId="2" fillId="23" borderId="11" xfId="6" applyNumberFormat="1" applyFont="1" applyFill="1" applyBorder="1" applyAlignment="1">
      <alignment horizontal="center" vertical="center" wrapText="1"/>
    </xf>
    <xf numFmtId="166" fontId="2" fillId="23" borderId="12" xfId="0" applyNumberFormat="1" applyFont="1" applyFill="1" applyBorder="1" applyAlignment="1">
      <alignment horizontal="center" vertical="center" wrapText="1"/>
    </xf>
    <xf numFmtId="166" fontId="2" fillId="23" borderId="80" xfId="0" applyNumberFormat="1" applyFont="1" applyFill="1" applyBorder="1" applyAlignment="1">
      <alignment horizontal="center" vertical="center" wrapText="1"/>
    </xf>
    <xf numFmtId="0" fontId="2" fillId="23" borderId="80" xfId="0" applyFont="1" applyFill="1" applyBorder="1" applyAlignment="1">
      <alignment horizontal="center" vertical="center" wrapText="1"/>
    </xf>
    <xf numFmtId="0" fontId="21" fillId="21" borderId="37" xfId="0" applyFont="1" applyFill="1" applyBorder="1" applyAlignment="1">
      <alignment horizontal="center" vertical="center" wrapText="1"/>
    </xf>
    <xf numFmtId="0" fontId="21" fillId="21" borderId="80" xfId="0" applyFont="1" applyFill="1" applyBorder="1" applyAlignment="1">
      <alignment horizontal="center" vertical="center" wrapText="1"/>
    </xf>
    <xf numFmtId="166" fontId="21" fillId="21" borderId="80" xfId="0" applyNumberFormat="1" applyFont="1" applyFill="1" applyBorder="1" applyAlignment="1">
      <alignment horizontal="center" vertical="center" wrapText="1"/>
    </xf>
    <xf numFmtId="167" fontId="21" fillId="21" borderId="38" xfId="6" applyNumberFormat="1" applyFont="1" applyFill="1" applyBorder="1" applyAlignment="1">
      <alignment horizontal="center" vertical="center" wrapText="1"/>
    </xf>
    <xf numFmtId="166" fontId="21" fillId="21" borderId="12" xfId="0" applyNumberFormat="1" applyFont="1" applyFill="1" applyBorder="1" applyAlignment="1">
      <alignment horizontal="center" vertical="center" wrapText="1"/>
    </xf>
    <xf numFmtId="167" fontId="21" fillId="21" borderId="11" xfId="6" applyNumberFormat="1" applyFont="1" applyFill="1" applyBorder="1" applyAlignment="1">
      <alignment horizontal="center" vertical="center" wrapText="1"/>
    </xf>
    <xf numFmtId="166" fontId="2" fillId="16" borderId="90" xfId="0" applyNumberFormat="1" applyFont="1" applyFill="1" applyBorder="1" applyAlignment="1">
      <alignment horizontal="center" vertical="center" wrapText="1"/>
    </xf>
    <xf numFmtId="166" fontId="3" fillId="0" borderId="88" xfId="0" applyNumberFormat="1" applyFont="1" applyFill="1" applyBorder="1" applyAlignment="1">
      <alignment horizontal="center" vertical="center" wrapText="1"/>
    </xf>
    <xf numFmtId="166" fontId="3" fillId="33" borderId="83" xfId="0" applyNumberFormat="1" applyFont="1" applyFill="1" applyBorder="1" applyAlignment="1">
      <alignment horizontal="center" vertical="center" wrapText="1"/>
    </xf>
    <xf numFmtId="166" fontId="3" fillId="0" borderId="88" xfId="0" applyNumberFormat="1" applyFont="1" applyFill="1" applyBorder="1" applyAlignment="1">
      <alignment horizontal="right" vertical="center" wrapText="1"/>
    </xf>
    <xf numFmtId="166" fontId="3" fillId="33" borderId="85" xfId="0" applyNumberFormat="1" applyFont="1" applyFill="1" applyBorder="1" applyAlignment="1">
      <alignment horizontal="right" vertical="center"/>
    </xf>
    <xf numFmtId="166" fontId="3" fillId="0" borderId="45" xfId="0" applyNumberFormat="1" applyFont="1" applyFill="1" applyBorder="1" applyAlignment="1">
      <alignment horizontal="center" vertical="center"/>
    </xf>
    <xf numFmtId="166" fontId="2" fillId="16" borderId="43" xfId="0" applyNumberFormat="1" applyFont="1" applyFill="1" applyBorder="1" applyAlignment="1">
      <alignment horizontal="center" vertical="center" wrapText="1"/>
    </xf>
    <xf numFmtId="0" fontId="2" fillId="17" borderId="37" xfId="2" applyFont="1" applyFill="1" applyBorder="1" applyAlignment="1">
      <alignment horizontal="justify" vertical="center"/>
    </xf>
    <xf numFmtId="0" fontId="2" fillId="17" borderId="37" xfId="2" applyFont="1" applyFill="1" applyBorder="1" applyAlignment="1">
      <alignment horizontal="center" vertical="center"/>
    </xf>
    <xf numFmtId="0" fontId="3" fillId="0" borderId="3" xfId="0" applyFont="1" applyBorder="1" applyAlignment="1">
      <alignment horizontal="center" vertical="center" wrapText="1"/>
    </xf>
    <xf numFmtId="166" fontId="2" fillId="15" borderId="11" xfId="0" applyNumberFormat="1" applyFont="1" applyFill="1" applyBorder="1" applyAlignment="1">
      <alignment horizontal="center" vertical="center" wrapText="1"/>
    </xf>
    <xf numFmtId="166" fontId="2" fillId="15" borderId="17" xfId="0" applyNumberFormat="1" applyFont="1" applyFill="1" applyBorder="1" applyAlignment="1">
      <alignment horizontal="center" vertical="center" wrapText="1"/>
    </xf>
    <xf numFmtId="166" fontId="2" fillId="15" borderId="37" xfId="0" applyNumberFormat="1" applyFont="1" applyFill="1" applyBorder="1" applyAlignment="1">
      <alignment horizontal="center" vertical="center" wrapText="1"/>
    </xf>
    <xf numFmtId="166" fontId="2" fillId="15" borderId="38" xfId="0" applyNumberFormat="1" applyFont="1" applyFill="1" applyBorder="1" applyAlignment="1">
      <alignment horizontal="center" vertical="center" wrapText="1"/>
    </xf>
    <xf numFmtId="166" fontId="2" fillId="16" borderId="5" xfId="0" applyNumberFormat="1" applyFont="1" applyFill="1" applyBorder="1" applyAlignment="1">
      <alignment vertical="center" wrapText="1"/>
    </xf>
    <xf numFmtId="166" fontId="2" fillId="16" borderId="82" xfId="0" applyNumberFormat="1" applyFont="1" applyFill="1" applyBorder="1" applyAlignment="1">
      <alignment vertical="center" wrapText="1"/>
    </xf>
    <xf numFmtId="0" fontId="2" fillId="18" borderId="37" xfId="2" applyFont="1" applyFill="1" applyBorder="1" applyAlignment="1">
      <alignment horizontal="center" vertical="center"/>
    </xf>
    <xf numFmtId="166" fontId="2" fillId="18" borderId="37" xfId="2" applyNumberFormat="1" applyFont="1" applyFill="1" applyBorder="1" applyAlignment="1">
      <alignment vertical="center"/>
    </xf>
    <xf numFmtId="166" fontId="2" fillId="18" borderId="86" xfId="2" applyNumberFormat="1" applyFont="1" applyFill="1" applyBorder="1" applyAlignment="1">
      <alignment vertical="center"/>
    </xf>
    <xf numFmtId="166" fontId="2" fillId="17" borderId="37" xfId="2" applyNumberFormat="1" applyFont="1" applyFill="1" applyBorder="1" applyAlignment="1">
      <alignment vertical="center"/>
    </xf>
    <xf numFmtId="166" fontId="2" fillId="17" borderId="86" xfId="2" applyNumberFormat="1" applyFont="1" applyFill="1" applyBorder="1" applyAlignment="1">
      <alignment vertical="center"/>
    </xf>
    <xf numFmtId="167" fontId="2" fillId="16" borderId="5" xfId="0" applyNumberFormat="1" applyFont="1" applyFill="1" applyBorder="1" applyAlignment="1">
      <alignment horizontal="center" vertical="center" wrapText="1"/>
    </xf>
    <xf numFmtId="3" fontId="2" fillId="15" borderId="37" xfId="0" applyNumberFormat="1" applyFont="1" applyFill="1" applyBorder="1" applyAlignment="1">
      <alignment horizontal="center" vertical="center" wrapText="1"/>
    </xf>
    <xf numFmtId="3" fontId="2" fillId="15" borderId="38" xfId="0" applyNumberFormat="1" applyFont="1" applyFill="1" applyBorder="1" applyAlignment="1">
      <alignment horizontal="center" vertical="center" wrapText="1"/>
    </xf>
    <xf numFmtId="0" fontId="3" fillId="0" borderId="3" xfId="0" applyFont="1" applyFill="1" applyBorder="1" applyAlignment="1">
      <alignment horizontal="center"/>
    </xf>
    <xf numFmtId="167" fontId="2" fillId="16" borderId="5" xfId="6" applyNumberFormat="1" applyFont="1" applyFill="1" applyBorder="1" applyAlignment="1">
      <alignment horizontal="justify" vertical="center" wrapText="1"/>
    </xf>
    <xf numFmtId="167" fontId="2" fillId="16" borderId="43" xfId="6" applyNumberFormat="1" applyFont="1" applyFill="1" applyBorder="1" applyAlignment="1">
      <alignment horizontal="justify" vertical="center" wrapText="1"/>
    </xf>
    <xf numFmtId="167" fontId="2" fillId="5" borderId="37" xfId="6" applyNumberFormat="1" applyFont="1" applyFill="1" applyBorder="1" applyAlignment="1">
      <alignment horizontal="justify" vertical="center" wrapText="1"/>
    </xf>
    <xf numFmtId="167" fontId="2" fillId="5" borderId="38" xfId="6" applyNumberFormat="1" applyFont="1" applyFill="1" applyBorder="1" applyAlignment="1">
      <alignment horizontal="justify" vertical="center" wrapText="1"/>
    </xf>
    <xf numFmtId="166" fontId="3" fillId="0" borderId="76" xfId="0" applyNumberFormat="1" applyFont="1" applyFill="1" applyBorder="1" applyAlignment="1">
      <alignment horizontal="center" vertical="center" wrapText="1"/>
    </xf>
    <xf numFmtId="166" fontId="2" fillId="16" borderId="75" xfId="0" applyNumberFormat="1" applyFont="1" applyFill="1" applyBorder="1" applyAlignment="1">
      <alignment horizontal="center" vertical="center" wrapText="1"/>
    </xf>
    <xf numFmtId="0" fontId="4" fillId="18" borderId="37" xfId="0" applyFont="1" applyFill="1" applyBorder="1" applyAlignment="1">
      <alignment horizontal="justify" vertical="center" wrapText="1"/>
    </xf>
    <xf numFmtId="166" fontId="3" fillId="18" borderId="80" xfId="0" applyNumberFormat="1" applyFont="1" applyFill="1" applyBorder="1" applyAlignment="1">
      <alignment horizontal="center" vertical="center" wrapText="1"/>
    </xf>
    <xf numFmtId="166" fontId="3" fillId="18" borderId="38" xfId="0" applyNumberFormat="1" applyFont="1" applyFill="1" applyBorder="1" applyAlignment="1">
      <alignment horizontal="right" vertical="center" wrapText="1"/>
    </xf>
    <xf numFmtId="166" fontId="2" fillId="16" borderId="5" xfId="7" applyNumberFormat="1" applyFont="1" applyFill="1" applyBorder="1" applyAlignment="1">
      <alignment horizontal="center" vertical="center" wrapText="1"/>
    </xf>
    <xf numFmtId="166" fontId="2" fillId="16" borderId="35" xfId="0" applyNumberFormat="1" applyFont="1" applyFill="1" applyBorder="1" applyAlignment="1">
      <alignment horizontal="center" vertical="center" wrapText="1"/>
    </xf>
    <xf numFmtId="166" fontId="3" fillId="0" borderId="51" xfId="0" applyNumberFormat="1" applyFont="1" applyBorder="1" applyAlignment="1">
      <alignment horizontal="center" vertical="center"/>
    </xf>
    <xf numFmtId="166" fontId="24" fillId="3" borderId="33" xfId="0" applyNumberFormat="1" applyFont="1" applyFill="1" applyBorder="1" applyAlignment="1">
      <alignment horizontal="center" vertical="center" wrapText="1"/>
    </xf>
    <xf numFmtId="166" fontId="3" fillId="3" borderId="34" xfId="0" applyNumberFormat="1" applyFont="1" applyFill="1" applyBorder="1" applyAlignment="1">
      <alignment horizontal="center" vertical="center" wrapText="1"/>
    </xf>
    <xf numFmtId="166" fontId="3" fillId="3" borderId="42" xfId="0" applyNumberFormat="1" applyFont="1" applyFill="1" applyBorder="1" applyAlignment="1">
      <alignment horizontal="center" vertical="center"/>
    </xf>
    <xf numFmtId="0" fontId="3" fillId="3" borderId="34" xfId="0" applyFont="1" applyFill="1" applyBorder="1" applyAlignment="1">
      <alignment horizontal="center" vertical="center"/>
    </xf>
    <xf numFmtId="166" fontId="24" fillId="3" borderId="34" xfId="0" applyNumberFormat="1" applyFont="1" applyFill="1" applyBorder="1" applyAlignment="1">
      <alignment horizontal="center" vertical="center" wrapText="1"/>
    </xf>
    <xf numFmtId="166" fontId="24" fillId="28" borderId="11" xfId="0" applyNumberFormat="1" applyFont="1" applyFill="1" applyBorder="1" applyAlignment="1">
      <alignment horizontal="center" vertical="center" wrapText="1"/>
    </xf>
    <xf numFmtId="166" fontId="24" fillId="28" borderId="17" xfId="0" applyNumberFormat="1" applyFont="1" applyFill="1" applyBorder="1" applyAlignment="1">
      <alignment horizontal="center" vertical="center" wrapText="1"/>
    </xf>
    <xf numFmtId="166" fontId="24" fillId="28" borderId="37" xfId="0" applyNumberFormat="1" applyFont="1" applyFill="1" applyBorder="1" applyAlignment="1">
      <alignment horizontal="center" vertical="center" wrapText="1"/>
    </xf>
    <xf numFmtId="166" fontId="24" fillId="28" borderId="38" xfId="0" applyNumberFormat="1" applyFont="1" applyFill="1" applyBorder="1" applyAlignment="1">
      <alignment horizontal="center" vertical="center" wrapText="1"/>
    </xf>
    <xf numFmtId="0" fontId="24" fillId="28" borderId="17" xfId="0" applyFont="1" applyFill="1" applyBorder="1" applyAlignment="1">
      <alignment horizontal="justify" vertical="center" wrapText="1"/>
    </xf>
    <xf numFmtId="0" fontId="3" fillId="28" borderId="37" xfId="0" applyFont="1" applyFill="1" applyBorder="1" applyAlignment="1">
      <alignment horizontal="center" vertical="center"/>
    </xf>
    <xf numFmtId="0" fontId="24" fillId="28" borderId="37" xfId="0" applyFont="1" applyFill="1" applyBorder="1" applyAlignment="1">
      <alignment horizontal="center" vertical="center" wrapText="1"/>
    </xf>
    <xf numFmtId="42" fontId="3" fillId="0" borderId="45" xfId="8" applyFont="1" applyBorder="1" applyAlignment="1">
      <alignment horizontal="right"/>
    </xf>
    <xf numFmtId="167" fontId="2" fillId="16" borderId="74" xfId="0" applyNumberFormat="1" applyFont="1" applyFill="1" applyBorder="1" applyAlignment="1">
      <alignment horizontal="center" vertical="center" wrapText="1"/>
    </xf>
    <xf numFmtId="42" fontId="2" fillId="16" borderId="43" xfId="8" applyFont="1" applyFill="1" applyBorder="1" applyAlignment="1">
      <alignment horizontal="right" vertical="center" wrapText="1"/>
    </xf>
    <xf numFmtId="42" fontId="2" fillId="16" borderId="74" xfId="0" applyNumberFormat="1" applyFont="1" applyFill="1" applyBorder="1" applyAlignment="1">
      <alignment horizontal="center" vertical="center" wrapText="1"/>
    </xf>
    <xf numFmtId="0" fontId="2" fillId="15" borderId="37" xfId="0" applyFont="1" applyFill="1" applyBorder="1" applyAlignment="1">
      <alignment horizontal="justify" vertical="center"/>
    </xf>
    <xf numFmtId="0" fontId="2" fillId="15" borderId="80" xfId="0" applyFont="1" applyFill="1" applyBorder="1" applyAlignment="1">
      <alignment horizontal="center" vertical="center"/>
    </xf>
    <xf numFmtId="167" fontId="2" fillId="15" borderId="80" xfId="0" applyNumberFormat="1" applyFont="1" applyFill="1" applyBorder="1" applyAlignment="1">
      <alignment horizontal="center" vertical="center"/>
    </xf>
    <xf numFmtId="42" fontId="2" fillId="15" borderId="38" xfId="8" applyFont="1" applyFill="1" applyBorder="1" applyAlignment="1">
      <alignment horizontal="right" vertical="center"/>
    </xf>
    <xf numFmtId="0" fontId="2" fillId="18" borderId="37" xfId="0" applyFont="1" applyFill="1" applyBorder="1" applyAlignment="1">
      <alignment horizontal="justify" vertical="center" wrapText="1"/>
    </xf>
    <xf numFmtId="0" fontId="2" fillId="18" borderId="80" xfId="0" applyFont="1" applyFill="1" applyBorder="1" applyAlignment="1">
      <alignment horizontal="center" vertical="center" wrapText="1"/>
    </xf>
    <xf numFmtId="42" fontId="2" fillId="18" borderId="80" xfId="0" applyNumberFormat="1" applyFont="1" applyFill="1" applyBorder="1" applyAlignment="1">
      <alignment horizontal="center" vertical="center" wrapText="1"/>
    </xf>
    <xf numFmtId="42" fontId="2" fillId="18" borderId="38" xfId="8" applyFont="1" applyFill="1" applyBorder="1" applyAlignment="1">
      <alignment horizontal="right" vertical="center" wrapText="1"/>
    </xf>
    <xf numFmtId="166" fontId="20" fillId="16" borderId="43" xfId="0" applyNumberFormat="1" applyFont="1" applyFill="1" applyBorder="1" applyAlignment="1">
      <alignment horizontal="center" vertical="center" wrapText="1"/>
    </xf>
    <xf numFmtId="166" fontId="2" fillId="15" borderId="80" xfId="0" applyNumberFormat="1" applyFont="1" applyFill="1" applyBorder="1" applyAlignment="1">
      <alignment horizontal="center" vertical="center" wrapText="1"/>
    </xf>
    <xf numFmtId="166" fontId="44" fillId="18" borderId="38" xfId="0" applyNumberFormat="1" applyFont="1" applyFill="1" applyBorder="1" applyAlignment="1">
      <alignment horizontal="center" vertical="center" wrapText="1"/>
    </xf>
    <xf numFmtId="0" fontId="24" fillId="18" borderId="37" xfId="0" applyFont="1" applyFill="1" applyBorder="1" applyAlignment="1">
      <alignment horizontal="justify" vertical="center" wrapText="1"/>
    </xf>
    <xf numFmtId="0" fontId="24" fillId="18" borderId="37" xfId="0" applyFont="1" applyFill="1" applyBorder="1" applyAlignment="1">
      <alignment horizontal="center" vertical="center" wrapText="1"/>
    </xf>
    <xf numFmtId="166" fontId="24" fillId="18" borderId="80" xfId="0" applyNumberFormat="1" applyFont="1" applyFill="1" applyBorder="1" applyAlignment="1">
      <alignment horizontal="center" vertical="center" wrapText="1"/>
    </xf>
    <xf numFmtId="0" fontId="29" fillId="14" borderId="50" xfId="0" applyFont="1" applyFill="1" applyBorder="1" applyAlignment="1">
      <alignment vertical="center" wrapText="1"/>
    </xf>
    <xf numFmtId="0" fontId="3" fillId="0" borderId="3" xfId="0" applyNumberFormat="1" applyFont="1" applyFill="1" applyBorder="1" applyAlignment="1">
      <alignment horizontal="center" vertical="center"/>
    </xf>
    <xf numFmtId="168" fontId="4" fillId="0" borderId="3" xfId="0" applyNumberFormat="1" applyFont="1" applyFill="1" applyBorder="1" applyAlignment="1">
      <alignment vertical="center"/>
    </xf>
    <xf numFmtId="168" fontId="4" fillId="0" borderId="45" xfId="0" applyNumberFormat="1" applyFont="1" applyFill="1" applyBorder="1" applyAlignment="1">
      <alignment vertical="center"/>
    </xf>
    <xf numFmtId="0" fontId="3" fillId="0" borderId="5" xfId="0" applyNumberFormat="1" applyFont="1" applyFill="1" applyBorder="1" applyAlignment="1">
      <alignment horizontal="center" vertical="center"/>
    </xf>
    <xf numFmtId="168" fontId="3" fillId="0" borderId="5" xfId="0" applyNumberFormat="1" applyFont="1" applyFill="1" applyBorder="1" applyAlignment="1">
      <alignment vertical="center"/>
    </xf>
    <xf numFmtId="168" fontId="3" fillId="0" borderId="43" xfId="0" applyNumberFormat="1" applyFont="1" applyFill="1" applyBorder="1" applyAlignment="1">
      <alignment vertical="center"/>
    </xf>
    <xf numFmtId="168" fontId="3" fillId="0" borderId="23" xfId="0" applyNumberFormat="1" applyFont="1" applyFill="1" applyBorder="1" applyAlignment="1">
      <alignment vertical="center"/>
    </xf>
    <xf numFmtId="0" fontId="3" fillId="0" borderId="7" xfId="0" applyNumberFormat="1" applyFont="1" applyFill="1" applyBorder="1" applyAlignment="1">
      <alignment horizontal="center" vertical="center"/>
    </xf>
    <xf numFmtId="168" fontId="3" fillId="0" borderId="7" xfId="0" applyNumberFormat="1" applyFont="1" applyFill="1" applyBorder="1" applyAlignment="1">
      <alignment vertical="center"/>
    </xf>
    <xf numFmtId="168" fontId="4" fillId="0" borderId="5" xfId="0" applyNumberFormat="1" applyFont="1" applyFill="1" applyBorder="1" applyAlignment="1">
      <alignment vertical="center"/>
    </xf>
    <xf numFmtId="168" fontId="4" fillId="0" borderId="43" xfId="0" applyNumberFormat="1" applyFont="1" applyFill="1" applyBorder="1" applyAlignment="1">
      <alignment vertical="center"/>
    </xf>
    <xf numFmtId="168" fontId="4" fillId="0" borderId="7" xfId="0" applyNumberFormat="1" applyFont="1" applyFill="1" applyBorder="1" applyAlignment="1">
      <alignment vertical="center"/>
    </xf>
    <xf numFmtId="168" fontId="4" fillId="0" borderId="23" xfId="0" applyNumberFormat="1" applyFont="1" applyFill="1" applyBorder="1" applyAlignment="1">
      <alignment vertical="center"/>
    </xf>
    <xf numFmtId="0" fontId="3" fillId="18" borderId="37" xfId="0" applyNumberFormat="1" applyFont="1" applyFill="1" applyBorder="1" applyAlignment="1">
      <alignment horizontal="center" vertical="center"/>
    </xf>
    <xf numFmtId="43" fontId="3" fillId="18" borderId="37" xfId="0" applyNumberFormat="1" applyFont="1" applyFill="1" applyBorder="1" applyAlignment="1">
      <alignment horizontal="center" vertical="center"/>
    </xf>
    <xf numFmtId="168" fontId="4" fillId="18" borderId="38" xfId="0" applyNumberFormat="1" applyFont="1" applyFill="1" applyBorder="1" applyAlignment="1">
      <alignment vertical="center"/>
    </xf>
    <xf numFmtId="168" fontId="4" fillId="18" borderId="11" xfId="0" applyNumberFormat="1" applyFont="1" applyFill="1" applyBorder="1" applyAlignment="1">
      <alignment vertical="center"/>
    </xf>
    <xf numFmtId="168" fontId="4" fillId="18" borderId="37" xfId="0" applyNumberFormat="1" applyFont="1" applyFill="1" applyBorder="1" applyAlignment="1">
      <alignment vertical="center"/>
    </xf>
    <xf numFmtId="0" fontId="2" fillId="27" borderId="17" xfId="0" applyFont="1" applyFill="1" applyBorder="1" applyAlignment="1">
      <alignment horizontal="justify" vertical="center"/>
    </xf>
    <xf numFmtId="0" fontId="2" fillId="18" borderId="37" xfId="0" applyFont="1" applyFill="1" applyBorder="1" applyAlignment="1">
      <alignment horizontal="center" vertical="center"/>
    </xf>
    <xf numFmtId="168" fontId="3" fillId="0" borderId="75" xfId="0" applyNumberFormat="1" applyFont="1" applyFill="1" applyBorder="1" applyAlignment="1">
      <alignment vertical="center"/>
    </xf>
    <xf numFmtId="168" fontId="3" fillId="0" borderId="72" xfId="0" applyNumberFormat="1" applyFont="1" applyFill="1" applyBorder="1" applyAlignment="1">
      <alignment vertical="center"/>
    </xf>
    <xf numFmtId="168" fontId="3" fillId="0" borderId="85" xfId="0" applyNumberFormat="1" applyFont="1" applyFill="1" applyBorder="1" applyAlignment="1">
      <alignment vertical="center"/>
    </xf>
    <xf numFmtId="168" fontId="3" fillId="0" borderId="77" xfId="0" applyNumberFormat="1" applyFont="1" applyFill="1" applyBorder="1" applyAlignment="1">
      <alignment vertical="center"/>
    </xf>
    <xf numFmtId="168" fontId="4" fillId="0" borderId="75" xfId="0" applyNumberFormat="1" applyFont="1" applyFill="1" applyBorder="1" applyAlignment="1">
      <alignment vertical="center"/>
    </xf>
    <xf numFmtId="168" fontId="4" fillId="0" borderId="85" xfId="0" applyNumberFormat="1" applyFont="1" applyFill="1" applyBorder="1" applyAlignment="1">
      <alignment vertical="center"/>
    </xf>
    <xf numFmtId="168" fontId="3" fillId="33" borderId="73" xfId="0" applyNumberFormat="1" applyFont="1" applyFill="1" applyBorder="1" applyAlignment="1">
      <alignment vertical="center"/>
    </xf>
    <xf numFmtId="167" fontId="3" fillId="0" borderId="45" xfId="6" applyNumberFormat="1" applyFont="1" applyFill="1" applyBorder="1" applyAlignment="1">
      <alignment horizontal="justify" vertical="center"/>
    </xf>
    <xf numFmtId="167" fontId="3" fillId="0" borderId="3" xfId="6" applyNumberFormat="1" applyFont="1" applyFill="1" applyBorder="1" applyAlignment="1">
      <alignment horizontal="justify" vertical="center"/>
    </xf>
    <xf numFmtId="167" fontId="3" fillId="0" borderId="76" xfId="6" applyNumberFormat="1" applyFont="1" applyFill="1" applyBorder="1" applyAlignment="1">
      <alignment horizontal="justify" vertical="center"/>
    </xf>
    <xf numFmtId="167" fontId="2" fillId="0" borderId="76" xfId="6" applyNumberFormat="1" applyFont="1" applyFill="1" applyBorder="1" applyAlignment="1">
      <alignment horizontal="justify" vertical="center" wrapText="1"/>
    </xf>
    <xf numFmtId="167" fontId="2" fillId="0" borderId="3" xfId="6" applyNumberFormat="1" applyFont="1" applyFill="1" applyBorder="1" applyAlignment="1">
      <alignment horizontal="justify" vertical="center" wrapText="1"/>
    </xf>
    <xf numFmtId="0" fontId="2" fillId="16" borderId="5" xfId="0" applyFont="1" applyFill="1" applyBorder="1" applyAlignment="1">
      <alignment horizontal="right" vertical="center" wrapText="1"/>
    </xf>
    <xf numFmtId="167" fontId="2" fillId="16" borderId="5" xfId="6" applyNumberFormat="1" applyFont="1" applyFill="1" applyBorder="1" applyAlignment="1">
      <alignment horizontal="right" vertical="center" wrapText="1"/>
    </xf>
    <xf numFmtId="0" fontId="2" fillId="18" borderId="37" xfId="2" applyFont="1" applyFill="1" applyBorder="1" applyAlignment="1">
      <alignment horizontal="right" vertical="center"/>
    </xf>
    <xf numFmtId="167" fontId="2" fillId="18" borderId="80" xfId="6" applyNumberFormat="1" applyFont="1" applyFill="1" applyBorder="1" applyAlignment="1">
      <alignment horizontal="center" vertical="center"/>
    </xf>
    <xf numFmtId="167" fontId="2" fillId="18" borderId="80" xfId="6" applyNumberFormat="1" applyFont="1" applyFill="1" applyBorder="1" applyAlignment="1">
      <alignment horizontal="right" vertical="center"/>
    </xf>
    <xf numFmtId="167" fontId="2" fillId="18" borderId="37" xfId="6" applyNumberFormat="1" applyFont="1" applyFill="1" applyBorder="1" applyAlignment="1">
      <alignment horizontal="right" vertical="center"/>
    </xf>
    <xf numFmtId="167" fontId="2" fillId="18" borderId="38" xfId="6" applyNumberFormat="1" applyFont="1" applyFill="1" applyBorder="1" applyAlignment="1">
      <alignment horizontal="right" vertical="center"/>
    </xf>
    <xf numFmtId="167" fontId="2" fillId="18" borderId="11" xfId="6" applyNumberFormat="1" applyFont="1" applyFill="1" applyBorder="1" applyAlignment="1">
      <alignment horizontal="right" vertical="center"/>
    </xf>
    <xf numFmtId="167" fontId="2" fillId="18" borderId="11" xfId="6" applyNumberFormat="1" applyFont="1" applyFill="1" applyBorder="1" applyAlignment="1">
      <alignment horizontal="center" vertical="center"/>
    </xf>
    <xf numFmtId="167" fontId="2" fillId="18" borderId="37" xfId="6" applyNumberFormat="1" applyFont="1" applyFill="1" applyBorder="1" applyAlignment="1">
      <alignment horizontal="center" vertical="center"/>
    </xf>
    <xf numFmtId="167" fontId="2" fillId="18" borderId="38" xfId="6" applyNumberFormat="1" applyFont="1" applyFill="1" applyBorder="1" applyAlignment="1">
      <alignment horizontal="center" vertical="center"/>
    </xf>
    <xf numFmtId="167" fontId="2" fillId="16" borderId="72" xfId="6" applyNumberFormat="1" applyFont="1" applyFill="1" applyBorder="1" applyAlignment="1">
      <alignment horizontal="right" vertical="center" wrapText="1"/>
    </xf>
    <xf numFmtId="167" fontId="3" fillId="0" borderId="72" xfId="6" applyNumberFormat="1" applyFont="1" applyBorder="1" applyAlignment="1">
      <alignment horizontal="right"/>
    </xf>
    <xf numFmtId="167" fontId="3" fillId="0" borderId="72" xfId="6" applyNumberFormat="1" applyFont="1" applyFill="1" applyBorder="1" applyAlignment="1">
      <alignment horizontal="right"/>
    </xf>
    <xf numFmtId="167" fontId="3" fillId="0" borderId="72" xfId="6" applyNumberFormat="1" applyFont="1" applyFill="1" applyBorder="1" applyAlignment="1">
      <alignment horizontal="justify" vertical="center"/>
    </xf>
    <xf numFmtId="167" fontId="2" fillId="16" borderId="75" xfId="6" applyNumberFormat="1" applyFont="1" applyFill="1" applyBorder="1" applyAlignment="1">
      <alignment horizontal="right" vertical="center" wrapText="1"/>
    </xf>
    <xf numFmtId="167" fontId="2" fillId="0" borderId="72" xfId="6" applyNumberFormat="1" applyFont="1" applyFill="1" applyBorder="1" applyAlignment="1">
      <alignment horizontal="right" vertical="center" wrapText="1"/>
    </xf>
    <xf numFmtId="167" fontId="2" fillId="33" borderId="73" xfId="6" applyNumberFormat="1" applyFont="1" applyFill="1" applyBorder="1" applyAlignment="1">
      <alignment horizontal="center" vertical="center" wrapText="1"/>
    </xf>
    <xf numFmtId="0" fontId="2" fillId="16" borderId="75" xfId="0" applyFont="1" applyFill="1" applyBorder="1" applyAlignment="1">
      <alignment horizontal="center" vertical="center" wrapText="1"/>
    </xf>
    <xf numFmtId="167" fontId="3" fillId="0" borderId="72" xfId="6" applyNumberFormat="1" applyFont="1" applyBorder="1" applyAlignment="1">
      <alignment horizontal="right" vertical="center"/>
    </xf>
    <xf numFmtId="167" fontId="2" fillId="0" borderId="72" xfId="6" applyNumberFormat="1" applyFont="1" applyFill="1" applyBorder="1" applyAlignment="1">
      <alignment horizontal="justify" vertical="center" wrapText="1"/>
    </xf>
    <xf numFmtId="167" fontId="2" fillId="0" borderId="85" xfId="6" applyNumberFormat="1" applyFont="1" applyFill="1" applyBorder="1" applyAlignment="1">
      <alignment horizontal="justify" vertical="center" wrapText="1"/>
    </xf>
    <xf numFmtId="167" fontId="2" fillId="0" borderId="18" xfId="6" applyNumberFormat="1" applyFont="1" applyFill="1" applyBorder="1" applyAlignment="1">
      <alignment horizontal="justify" vertical="center"/>
    </xf>
    <xf numFmtId="167" fontId="2" fillId="33" borderId="20" xfId="6" applyNumberFormat="1" applyFont="1" applyFill="1" applyBorder="1" applyAlignment="1">
      <alignment horizontal="center" vertical="center" wrapText="1"/>
    </xf>
    <xf numFmtId="0" fontId="4" fillId="14" borderId="11" xfId="0" applyFont="1" applyFill="1" applyBorder="1" applyAlignment="1">
      <alignment vertical="center" wrapText="1"/>
    </xf>
    <xf numFmtId="3" fontId="29" fillId="14" borderId="17" xfId="1" applyNumberFormat="1" applyFont="1" applyFill="1" applyBorder="1" applyAlignment="1">
      <alignment horizontal="right" vertical="center"/>
    </xf>
    <xf numFmtId="3" fontId="29" fillId="14" borderId="37" xfId="1" applyNumberFormat="1" applyFont="1" applyFill="1" applyBorder="1" applyAlignment="1">
      <alignment horizontal="right" vertical="center"/>
    </xf>
    <xf numFmtId="3" fontId="29" fillId="14" borderId="38" xfId="1" applyNumberFormat="1" applyFont="1" applyFill="1" applyBorder="1" applyAlignment="1">
      <alignment horizontal="right" vertical="center"/>
    </xf>
    <xf numFmtId="3" fontId="29" fillId="14" borderId="11" xfId="1" applyNumberFormat="1" applyFont="1" applyFill="1" applyBorder="1" applyAlignment="1">
      <alignment horizontal="right" vertical="center"/>
    </xf>
    <xf numFmtId="42" fontId="20" fillId="14" borderId="34" xfId="8" applyFont="1" applyFill="1" applyBorder="1" applyAlignment="1">
      <alignment horizontal="right"/>
    </xf>
    <xf numFmtId="42" fontId="20" fillId="14" borderId="42" xfId="8" applyFont="1" applyFill="1" applyBorder="1" applyAlignment="1">
      <alignment horizontal="right"/>
    </xf>
    <xf numFmtId="42" fontId="20" fillId="14" borderId="12" xfId="8" applyFont="1" applyFill="1" applyBorder="1" applyAlignment="1">
      <alignment horizontal="right"/>
    </xf>
    <xf numFmtId="173" fontId="2" fillId="14" borderId="11" xfId="0" applyNumberFormat="1" applyFont="1" applyFill="1" applyBorder="1"/>
    <xf numFmtId="173" fontId="2" fillId="14" borderId="86" xfId="0" applyNumberFormat="1" applyFont="1" applyFill="1" applyBorder="1"/>
    <xf numFmtId="164" fontId="17" fillId="14" borderId="34" xfId="1" applyFont="1" applyFill="1" applyBorder="1" applyAlignment="1">
      <alignment vertical="center"/>
    </xf>
    <xf numFmtId="164" fontId="17" fillId="14" borderId="42" xfId="1" applyFont="1" applyFill="1" applyBorder="1" applyAlignment="1">
      <alignment vertical="center"/>
    </xf>
    <xf numFmtId="164" fontId="17" fillId="14" borderId="51" xfId="1" applyFont="1" applyFill="1" applyBorder="1" applyAlignment="1">
      <alignment vertical="center"/>
    </xf>
    <xf numFmtId="164" fontId="4" fillId="14" borderId="36" xfId="1" applyFont="1" applyFill="1" applyBorder="1" applyAlignment="1">
      <alignment vertical="center"/>
    </xf>
    <xf numFmtId="164" fontId="4" fillId="14" borderId="38" xfId="1" applyFont="1" applyFill="1" applyBorder="1" applyAlignment="1">
      <alignment vertical="center"/>
    </xf>
    <xf numFmtId="164" fontId="4" fillId="14" borderId="11" xfId="1" applyFont="1" applyFill="1" applyBorder="1" applyAlignment="1">
      <alignment vertical="center"/>
    </xf>
    <xf numFmtId="41" fontId="17" fillId="14" borderId="37" xfId="0" applyNumberFormat="1" applyFont="1" applyFill="1" applyBorder="1" applyAlignment="1">
      <alignment vertical="center"/>
    </xf>
    <xf numFmtId="41" fontId="17" fillId="14" borderId="38" xfId="0" applyNumberFormat="1" applyFont="1" applyFill="1" applyBorder="1" applyAlignment="1">
      <alignment vertical="center"/>
    </xf>
    <xf numFmtId="41" fontId="17" fillId="14" borderId="17" xfId="0" applyNumberFormat="1" applyFont="1" applyFill="1" applyBorder="1" applyAlignment="1">
      <alignment vertical="center"/>
    </xf>
    <xf numFmtId="41" fontId="17" fillId="14" borderId="11" xfId="0" applyNumberFormat="1" applyFont="1" applyFill="1" applyBorder="1" applyAlignment="1">
      <alignment vertical="center"/>
    </xf>
    <xf numFmtId="166" fontId="4" fillId="14" borderId="33" xfId="0" applyNumberFormat="1" applyFont="1" applyFill="1" applyBorder="1" applyAlignment="1">
      <alignment horizontal="right" vertical="center"/>
    </xf>
    <xf numFmtId="166" fontId="4" fillId="14" borderId="34" xfId="0" applyNumberFormat="1" applyFont="1" applyFill="1" applyBorder="1" applyAlignment="1">
      <alignment horizontal="right" vertical="center"/>
    </xf>
    <xf numFmtId="166" fontId="4" fillId="14" borderId="42" xfId="0" applyNumberFormat="1" applyFont="1" applyFill="1" applyBorder="1" applyAlignment="1">
      <alignment horizontal="right" vertical="center"/>
    </xf>
    <xf numFmtId="166" fontId="4" fillId="14" borderId="11" xfId="0" applyNumberFormat="1" applyFont="1" applyFill="1" applyBorder="1" applyAlignment="1">
      <alignment horizontal="right" vertical="center"/>
    </xf>
    <xf numFmtId="3" fontId="17" fillId="14" borderId="37" xfId="0" applyNumberFormat="1" applyFont="1" applyFill="1" applyBorder="1" applyAlignment="1">
      <alignment horizontal="right" vertical="center"/>
    </xf>
    <xf numFmtId="3" fontId="17" fillId="14" borderId="38" xfId="0" applyNumberFormat="1" applyFont="1" applyFill="1" applyBorder="1" applyAlignment="1">
      <alignment horizontal="right" vertical="center"/>
    </xf>
    <xf numFmtId="3" fontId="17" fillId="14" borderId="17" xfId="0" applyNumberFormat="1" applyFont="1" applyFill="1" applyBorder="1" applyAlignment="1">
      <alignment horizontal="right" vertical="center"/>
    </xf>
    <xf numFmtId="3" fontId="17" fillId="14" borderId="11" xfId="0" applyNumberFormat="1" applyFont="1" applyFill="1" applyBorder="1" applyAlignment="1">
      <alignment horizontal="right" vertical="center"/>
    </xf>
    <xf numFmtId="3" fontId="2" fillId="0" borderId="81" xfId="0" applyNumberFormat="1" applyFont="1" applyFill="1" applyBorder="1" applyAlignment="1">
      <alignment horizontal="right" vertical="center"/>
    </xf>
    <xf numFmtId="42" fontId="20" fillId="14" borderId="17" xfId="8" applyNumberFormat="1" applyFont="1" applyFill="1" applyBorder="1" applyAlignment="1">
      <alignment horizontal="center" vertical="center" wrapText="1"/>
    </xf>
    <xf numFmtId="42" fontId="20" fillId="14" borderId="37" xfId="8" applyNumberFormat="1" applyFont="1" applyFill="1" applyBorder="1" applyAlignment="1">
      <alignment horizontal="center" vertical="center" wrapText="1"/>
    </xf>
    <xf numFmtId="42" fontId="20" fillId="14" borderId="38" xfId="8" applyNumberFormat="1" applyFont="1" applyFill="1" applyBorder="1" applyAlignment="1">
      <alignment horizontal="center" vertical="center" wrapText="1"/>
    </xf>
    <xf numFmtId="42" fontId="20" fillId="14" borderId="11" xfId="8" applyNumberFormat="1" applyFont="1" applyFill="1" applyBorder="1" applyAlignment="1">
      <alignment horizontal="center" vertical="center" wrapText="1"/>
    </xf>
    <xf numFmtId="3" fontId="17" fillId="14" borderId="34" xfId="0" applyNumberFormat="1" applyFont="1" applyFill="1" applyBorder="1" applyAlignment="1">
      <alignment vertical="center"/>
    </xf>
    <xf numFmtId="3" fontId="17" fillId="14" borderId="42" xfId="0" applyNumberFormat="1" applyFont="1" applyFill="1" applyBorder="1" applyAlignment="1">
      <alignment vertical="center"/>
    </xf>
    <xf numFmtId="3" fontId="17" fillId="14" borderId="33" xfId="0" applyNumberFormat="1" applyFont="1" applyFill="1" applyBorder="1" applyAlignment="1">
      <alignment vertical="center"/>
    </xf>
    <xf numFmtId="3" fontId="17" fillId="14" borderId="51" xfId="0" applyNumberFormat="1" applyFont="1" applyFill="1" applyBorder="1" applyAlignment="1">
      <alignment vertical="center"/>
    </xf>
    <xf numFmtId="166" fontId="17" fillId="14" borderId="34" xfId="0" applyNumberFormat="1" applyFont="1" applyFill="1" applyBorder="1" applyAlignment="1">
      <alignment horizontal="right" vertical="center"/>
    </xf>
    <xf numFmtId="166" fontId="17" fillId="14" borderId="42" xfId="0" applyNumberFormat="1" applyFont="1" applyFill="1" applyBorder="1" applyAlignment="1">
      <alignment horizontal="right" vertical="center"/>
    </xf>
    <xf numFmtId="166" fontId="17" fillId="14" borderId="17" xfId="0" applyNumberFormat="1" applyFont="1" applyFill="1" applyBorder="1" applyAlignment="1">
      <alignment horizontal="right" vertical="center"/>
    </xf>
    <xf numFmtId="166" fontId="17" fillId="14" borderId="37" xfId="0" applyNumberFormat="1" applyFont="1" applyFill="1" applyBorder="1" applyAlignment="1">
      <alignment horizontal="right" vertical="center"/>
    </xf>
    <xf numFmtId="166" fontId="17" fillId="14" borderId="11" xfId="0" applyNumberFormat="1" applyFont="1" applyFill="1" applyBorder="1" applyAlignment="1">
      <alignment horizontal="right" vertical="center"/>
    </xf>
    <xf numFmtId="166" fontId="17" fillId="14" borderId="37" xfId="0" applyNumberFormat="1" applyFont="1" applyFill="1" applyBorder="1" applyAlignment="1">
      <alignment vertical="center"/>
    </xf>
    <xf numFmtId="166" fontId="17" fillId="14" borderId="38" xfId="0" applyNumberFormat="1" applyFont="1" applyFill="1" applyBorder="1" applyAlignment="1">
      <alignment vertical="center"/>
    </xf>
    <xf numFmtId="166" fontId="17" fillId="14" borderId="11" xfId="0" applyNumberFormat="1" applyFont="1" applyFill="1" applyBorder="1" applyAlignment="1">
      <alignment vertical="center"/>
    </xf>
    <xf numFmtId="166" fontId="4" fillId="14" borderId="37" xfId="0" applyNumberFormat="1" applyFont="1" applyFill="1" applyBorder="1" applyAlignment="1">
      <alignment horizontal="right" vertical="center" wrapText="1"/>
    </xf>
    <xf numFmtId="166" fontId="4" fillId="14" borderId="38" xfId="0" applyNumberFormat="1" applyFont="1" applyFill="1" applyBorder="1" applyAlignment="1">
      <alignment horizontal="right" vertical="center" wrapText="1"/>
    </xf>
    <xf numFmtId="166" fontId="4" fillId="14" borderId="51" xfId="0" applyNumberFormat="1" applyFont="1" applyFill="1" applyBorder="1" applyAlignment="1">
      <alignment horizontal="right" vertical="center" wrapText="1"/>
    </xf>
    <xf numFmtId="166" fontId="17" fillId="14" borderId="34" xfId="0" applyNumberFormat="1" applyFont="1" applyFill="1" applyBorder="1" applyAlignment="1">
      <alignment vertical="center"/>
    </xf>
    <xf numFmtId="5" fontId="17" fillId="14" borderId="42" xfId="1" applyNumberFormat="1" applyFont="1" applyFill="1" applyBorder="1" applyAlignment="1">
      <alignment horizontal="right" vertical="center"/>
    </xf>
    <xf numFmtId="5" fontId="17" fillId="14" borderId="51" xfId="1" applyNumberFormat="1" applyFont="1" applyFill="1" applyBorder="1" applyAlignment="1">
      <alignment horizontal="right" vertical="center"/>
    </xf>
    <xf numFmtId="5" fontId="17" fillId="14" borderId="11" xfId="1" applyNumberFormat="1" applyFont="1" applyFill="1" applyBorder="1" applyAlignment="1">
      <alignment horizontal="right" vertical="center"/>
    </xf>
    <xf numFmtId="5" fontId="1" fillId="0" borderId="22" xfId="1" applyNumberFormat="1" applyFont="1" applyFill="1" applyBorder="1" applyAlignment="1">
      <alignment horizontal="right" vertical="center"/>
    </xf>
    <xf numFmtId="166" fontId="0" fillId="0" borderId="22" xfId="0" applyNumberFormat="1" applyFill="1" applyBorder="1" applyAlignment="1">
      <alignment horizontal="right" vertical="center"/>
    </xf>
    <xf numFmtId="166" fontId="0" fillId="0" borderId="33" xfId="0" applyNumberFormat="1" applyFill="1" applyBorder="1" applyAlignment="1">
      <alignment horizontal="right" vertical="center"/>
    </xf>
    <xf numFmtId="166" fontId="0" fillId="0" borderId="34" xfId="0" applyNumberFormat="1" applyFill="1" applyBorder="1" applyAlignment="1">
      <alignment horizontal="right" vertical="center"/>
    </xf>
    <xf numFmtId="167" fontId="17" fillId="14" borderId="37" xfId="0" applyNumberFormat="1" applyFont="1" applyFill="1" applyBorder="1"/>
    <xf numFmtId="167" fontId="17" fillId="14" borderId="38" xfId="0" applyNumberFormat="1" applyFont="1" applyFill="1" applyBorder="1"/>
    <xf numFmtId="167" fontId="17" fillId="14" borderId="17" xfId="0" applyNumberFormat="1" applyFont="1" applyFill="1" applyBorder="1"/>
    <xf numFmtId="167" fontId="17" fillId="14" borderId="11" xfId="0" applyNumberFormat="1" applyFont="1" applyFill="1" applyBorder="1"/>
    <xf numFmtId="41" fontId="17" fillId="14" borderId="34" xfId="0" applyNumberFormat="1" applyFont="1" applyFill="1" applyBorder="1" applyAlignment="1">
      <alignment vertical="center"/>
    </xf>
    <xf numFmtId="41" fontId="17" fillId="14" borderId="42" xfId="0" applyNumberFormat="1" applyFont="1" applyFill="1" applyBorder="1" applyAlignment="1">
      <alignment vertical="center"/>
    </xf>
    <xf numFmtId="41" fontId="17" fillId="14" borderId="33" xfId="0" applyNumberFormat="1" applyFont="1" applyFill="1" applyBorder="1" applyAlignment="1">
      <alignment vertical="center"/>
    </xf>
    <xf numFmtId="41" fontId="17" fillId="14" borderId="51" xfId="0" applyNumberFormat="1" applyFont="1" applyFill="1" applyBorder="1" applyAlignment="1">
      <alignment vertical="center"/>
    </xf>
    <xf numFmtId="166" fontId="17" fillId="14" borderId="37" xfId="0" applyNumberFormat="1" applyFont="1" applyFill="1" applyBorder="1" applyAlignment="1">
      <alignment horizontal="center" vertical="center"/>
    </xf>
    <xf numFmtId="166" fontId="17" fillId="14" borderId="38" xfId="0" applyNumberFormat="1" applyFont="1" applyFill="1" applyBorder="1" applyAlignment="1">
      <alignment horizontal="center" vertical="center"/>
    </xf>
    <xf numFmtId="41" fontId="17" fillId="14" borderId="37" xfId="0" applyNumberFormat="1" applyFont="1" applyFill="1" applyBorder="1"/>
    <xf numFmtId="41" fontId="17" fillId="14" borderId="38" xfId="0" applyNumberFormat="1" applyFont="1" applyFill="1" applyBorder="1"/>
    <xf numFmtId="164" fontId="17" fillId="14" borderId="37" xfId="0" applyNumberFormat="1" applyFont="1" applyFill="1" applyBorder="1"/>
    <xf numFmtId="164" fontId="17" fillId="14" borderId="38" xfId="0" applyNumberFormat="1" applyFont="1" applyFill="1" applyBorder="1"/>
    <xf numFmtId="3" fontId="17" fillId="14" borderId="34" xfId="0" applyNumberFormat="1" applyFont="1" applyFill="1" applyBorder="1" applyAlignment="1">
      <alignment horizontal="center" vertical="center"/>
    </xf>
    <xf numFmtId="41" fontId="4" fillId="14" borderId="34" xfId="0" applyNumberFormat="1" applyFont="1" applyFill="1" applyBorder="1" applyAlignment="1">
      <alignment vertical="center"/>
    </xf>
    <xf numFmtId="41" fontId="4" fillId="14" borderId="42" xfId="0" applyNumberFormat="1" applyFont="1" applyFill="1" applyBorder="1" applyAlignment="1">
      <alignment vertical="center"/>
    </xf>
    <xf numFmtId="166" fontId="17" fillId="14" borderId="37" xfId="0" applyNumberFormat="1" applyFont="1" applyFill="1" applyBorder="1" applyAlignment="1">
      <alignment horizontal="right"/>
    </xf>
    <xf numFmtId="166" fontId="17" fillId="14" borderId="38" xfId="0" applyNumberFormat="1" applyFont="1" applyFill="1" applyBorder="1" applyAlignment="1">
      <alignment horizontal="right"/>
    </xf>
    <xf numFmtId="41" fontId="17" fillId="14" borderId="37" xfId="0" applyNumberFormat="1" applyFont="1" applyFill="1" applyBorder="1" applyAlignment="1">
      <alignment vertical="center" wrapText="1"/>
    </xf>
    <xf numFmtId="41" fontId="17" fillId="14" borderId="38" xfId="0" applyNumberFormat="1" applyFont="1" applyFill="1" applyBorder="1" applyAlignment="1">
      <alignment vertical="center" wrapText="1"/>
    </xf>
    <xf numFmtId="164" fontId="0" fillId="14" borderId="17" xfId="0" applyNumberFormat="1" applyFill="1" applyBorder="1" applyAlignment="1">
      <alignment wrapText="1"/>
    </xf>
    <xf numFmtId="164" fontId="0" fillId="14" borderId="11" xfId="0" applyNumberFormat="1" applyFill="1" applyBorder="1" applyAlignment="1">
      <alignment wrapText="1"/>
    </xf>
    <xf numFmtId="166" fontId="20" fillId="14" borderId="41" xfId="0" applyNumberFormat="1" applyFont="1" applyFill="1" applyBorder="1" applyAlignment="1">
      <alignment horizontal="center" vertical="center" wrapText="1"/>
    </xf>
    <xf numFmtId="166" fontId="20" fillId="14" borderId="42" xfId="0" applyNumberFormat="1" applyFont="1" applyFill="1" applyBorder="1" applyAlignment="1">
      <alignment horizontal="center" vertical="center" wrapText="1"/>
    </xf>
    <xf numFmtId="166" fontId="20" fillId="14" borderId="49" xfId="0" applyNumberFormat="1" applyFont="1" applyFill="1" applyBorder="1" applyAlignment="1">
      <alignment horizontal="center" vertical="center" wrapText="1"/>
    </xf>
    <xf numFmtId="166" fontId="20" fillId="14" borderId="38" xfId="0" applyNumberFormat="1" applyFont="1" applyFill="1" applyBorder="1" applyAlignment="1">
      <alignment horizontal="center" vertical="center" wrapText="1"/>
    </xf>
    <xf numFmtId="42" fontId="17" fillId="14" borderId="37" xfId="0" applyNumberFormat="1" applyFont="1" applyFill="1" applyBorder="1" applyAlignment="1">
      <alignment horizontal="center" vertical="center"/>
    </xf>
    <xf numFmtId="42" fontId="17" fillId="14" borderId="38" xfId="8" applyFont="1" applyFill="1" applyBorder="1" applyAlignment="1">
      <alignment horizontal="right"/>
    </xf>
    <xf numFmtId="166" fontId="2" fillId="3" borderId="45" xfId="0" applyNumberFormat="1" applyFont="1" applyFill="1" applyBorder="1" applyAlignment="1">
      <alignment horizontal="center" vertical="center" wrapText="1"/>
    </xf>
    <xf numFmtId="166" fontId="20" fillId="14" borderId="11" xfId="0" applyNumberFormat="1" applyFont="1" applyFill="1" applyBorder="1" applyAlignment="1">
      <alignment horizontal="center" vertical="center" wrapText="1"/>
    </xf>
    <xf numFmtId="168" fontId="4" fillId="14" borderId="42" xfId="6" applyNumberFormat="1" applyFont="1" applyFill="1" applyBorder="1" applyAlignment="1">
      <alignment horizontal="justify" vertical="center"/>
    </xf>
    <xf numFmtId="168" fontId="4" fillId="14" borderId="51" xfId="6" applyNumberFormat="1" applyFont="1" applyFill="1" applyBorder="1" applyAlignment="1">
      <alignment horizontal="justify" vertical="center"/>
    </xf>
    <xf numFmtId="167" fontId="17" fillId="14" borderId="37" xfId="0" applyNumberFormat="1" applyFont="1" applyFill="1" applyBorder="1" applyAlignment="1">
      <alignment horizontal="right"/>
    </xf>
    <xf numFmtId="167" fontId="17" fillId="14" borderId="38" xfId="0" applyNumberFormat="1" applyFont="1" applyFill="1" applyBorder="1" applyAlignment="1">
      <alignment horizontal="right"/>
    </xf>
    <xf numFmtId="167" fontId="0" fillId="14" borderId="11" xfId="0" applyNumberFormat="1" applyFill="1" applyBorder="1" applyAlignment="1">
      <alignment horizontal="right"/>
    </xf>
    <xf numFmtId="166" fontId="3" fillId="0" borderId="81" xfId="0" applyNumberFormat="1" applyFont="1" applyBorder="1" applyAlignment="1">
      <alignment horizontal="center" vertical="center"/>
    </xf>
    <xf numFmtId="166" fontId="3" fillId="0" borderId="81" xfId="0" applyNumberFormat="1" applyFont="1" applyFill="1" applyBorder="1" applyAlignment="1">
      <alignment horizontal="center" vertical="center"/>
    </xf>
    <xf numFmtId="166" fontId="20" fillId="16" borderId="81" xfId="0" applyNumberFormat="1" applyFont="1" applyFill="1" applyBorder="1" applyAlignment="1">
      <alignment horizontal="center" vertical="center" wrapText="1"/>
    </xf>
    <xf numFmtId="166" fontId="3" fillId="0" borderId="89" xfId="0" applyNumberFormat="1" applyFont="1" applyFill="1" applyBorder="1" applyAlignment="1">
      <alignment horizontal="center" vertical="center"/>
    </xf>
    <xf numFmtId="166" fontId="3" fillId="0" borderId="3" xfId="0" applyNumberFormat="1" applyFont="1" applyFill="1" applyBorder="1" applyAlignment="1">
      <alignment horizontal="center" vertical="center"/>
    </xf>
    <xf numFmtId="0" fontId="2" fillId="14" borderId="34" xfId="0" applyFont="1" applyFill="1" applyBorder="1" applyAlignment="1">
      <alignment horizontal="justify" vertical="center" wrapText="1"/>
    </xf>
    <xf numFmtId="0" fontId="49" fillId="0" borderId="0" xfId="0" applyFont="1" applyFill="1" applyBorder="1"/>
    <xf numFmtId="0" fontId="43" fillId="0" borderId="0" xfId="0" applyFont="1" applyFill="1" applyBorder="1" applyAlignment="1">
      <alignment vertical="center" wrapText="1"/>
    </xf>
    <xf numFmtId="166" fontId="17" fillId="0" borderId="17" xfId="0" applyNumberFormat="1" applyFont="1" applyFill="1" applyBorder="1" applyAlignment="1">
      <alignment vertical="center"/>
    </xf>
    <xf numFmtId="166" fontId="17" fillId="0" borderId="38" xfId="0" applyNumberFormat="1" applyFont="1" applyFill="1" applyBorder="1" applyAlignment="1">
      <alignment vertical="center"/>
    </xf>
    <xf numFmtId="166" fontId="17" fillId="0" borderId="11" xfId="0" applyNumberFormat="1" applyFont="1" applyFill="1" applyBorder="1" applyAlignment="1">
      <alignment vertical="center"/>
    </xf>
    <xf numFmtId="166" fontId="3" fillId="0" borderId="1" xfId="0" applyNumberFormat="1" applyFont="1" applyFill="1" applyBorder="1" applyAlignment="1">
      <alignment horizontal="center" vertical="center" wrapText="1"/>
    </xf>
    <xf numFmtId="166" fontId="3" fillId="0" borderId="6" xfId="0" applyNumberFormat="1" applyFont="1" applyFill="1" applyBorder="1" applyAlignment="1">
      <alignment horizontal="center" vertical="center" wrapText="1"/>
    </xf>
    <xf numFmtId="166" fontId="3" fillId="0" borderId="1" xfId="0" applyNumberFormat="1" applyFont="1" applyBorder="1" applyAlignment="1">
      <alignment horizontal="center" vertical="center" wrapText="1"/>
    </xf>
    <xf numFmtId="166" fontId="17" fillId="14" borderId="17" xfId="0" applyNumberFormat="1" applyFont="1" applyFill="1" applyBorder="1" applyAlignment="1">
      <alignment horizontal="center" vertical="center"/>
    </xf>
    <xf numFmtId="3" fontId="17" fillId="4" borderId="17" xfId="0" applyNumberFormat="1" applyFont="1" applyFill="1" applyBorder="1" applyAlignment="1">
      <alignment horizontal="center" vertical="center"/>
    </xf>
    <xf numFmtId="0" fontId="2" fillId="16" borderId="75" xfId="0" applyFont="1" applyFill="1" applyBorder="1" applyAlignment="1">
      <alignment horizontal="right" vertical="center" wrapText="1"/>
    </xf>
    <xf numFmtId="42" fontId="2" fillId="0" borderId="0" xfId="8" applyFont="1"/>
    <xf numFmtId="173" fontId="4" fillId="40" borderId="11" xfId="0" applyNumberFormat="1" applyFont="1" applyFill="1" applyBorder="1" applyAlignment="1">
      <alignment horizontal="center" vertical="center" wrapText="1"/>
    </xf>
    <xf numFmtId="42" fontId="2" fillId="0" borderId="0" xfId="8" applyFont="1" applyFill="1"/>
    <xf numFmtId="167" fontId="3" fillId="0" borderId="8" xfId="6" applyNumberFormat="1" applyFont="1" applyFill="1" applyBorder="1" applyAlignment="1">
      <alignment horizontal="right"/>
    </xf>
    <xf numFmtId="43" fontId="51" fillId="0" borderId="0" xfId="6" applyFont="1"/>
    <xf numFmtId="9" fontId="51" fillId="0" borderId="0" xfId="5" applyFont="1"/>
    <xf numFmtId="167" fontId="3" fillId="0" borderId="0" xfId="6" applyNumberFormat="1" applyFont="1" applyFill="1"/>
    <xf numFmtId="43" fontId="3" fillId="0" borderId="0" xfId="6" applyFont="1"/>
    <xf numFmtId="3" fontId="4" fillId="0" borderId="0" xfId="0" applyNumberFormat="1" applyFont="1" applyFill="1" applyAlignment="1">
      <alignment vertical="center"/>
    </xf>
    <xf numFmtId="166" fontId="4" fillId="14" borderId="11" xfId="0" applyNumberFormat="1" applyFont="1" applyFill="1" applyBorder="1" applyAlignment="1">
      <alignment horizontal="center" vertical="center" wrapText="1"/>
    </xf>
    <xf numFmtId="166" fontId="3" fillId="0" borderId="8" xfId="0" applyNumberFormat="1" applyFont="1" applyBorder="1" applyAlignment="1">
      <alignment horizontal="center" vertical="center" wrapText="1"/>
    </xf>
    <xf numFmtId="41" fontId="3" fillId="0" borderId="80" xfId="0" applyNumberFormat="1" applyFont="1" applyFill="1" applyBorder="1" applyAlignment="1">
      <alignment horizontal="center" vertical="center" wrapText="1"/>
    </xf>
    <xf numFmtId="41" fontId="3" fillId="0" borderId="39" xfId="0" applyNumberFormat="1" applyFont="1" applyFill="1" applyBorder="1" applyAlignment="1">
      <alignment horizontal="center" vertical="center" wrapText="1"/>
    </xf>
    <xf numFmtId="41" fontId="3" fillId="0" borderId="52" xfId="0" applyNumberFormat="1" applyFont="1" applyFill="1" applyBorder="1" applyAlignment="1">
      <alignment horizontal="center" vertical="center" wrapText="1"/>
    </xf>
    <xf numFmtId="41" fontId="3" fillId="18" borderId="10" xfId="0" applyNumberFormat="1" applyFont="1" applyFill="1" applyBorder="1" applyAlignment="1">
      <alignment horizontal="center" vertical="center"/>
    </xf>
    <xf numFmtId="164" fontId="3" fillId="15" borderId="10" xfId="0" applyNumberFormat="1" applyFont="1" applyFill="1" applyBorder="1" applyAlignment="1">
      <alignment horizontal="center" vertical="center"/>
    </xf>
    <xf numFmtId="166" fontId="3" fillId="0" borderId="2" xfId="6" applyNumberFormat="1" applyFont="1" applyFill="1" applyBorder="1" applyAlignment="1">
      <alignment horizontal="center" vertical="center" wrapText="1"/>
    </xf>
    <xf numFmtId="170" fontId="52" fillId="0" borderId="0" xfId="7" applyNumberFormat="1" applyFont="1" applyFill="1" applyAlignment="1">
      <alignment vertical="center"/>
    </xf>
    <xf numFmtId="166" fontId="0" fillId="0" borderId="0" xfId="0" applyNumberFormat="1" applyFill="1"/>
    <xf numFmtId="0" fontId="20" fillId="17" borderId="93" xfId="0" applyFont="1" applyFill="1" applyBorder="1" applyAlignment="1">
      <alignment horizontal="justify" vertical="center"/>
    </xf>
    <xf numFmtId="167" fontId="20" fillId="17" borderId="94" xfId="6" applyNumberFormat="1" applyFont="1" applyFill="1" applyBorder="1" applyAlignment="1">
      <alignment horizontal="center" vertical="center"/>
    </xf>
    <xf numFmtId="0" fontId="20" fillId="16" borderId="95" xfId="0" applyFont="1" applyFill="1" applyBorder="1" applyAlignment="1">
      <alignment horizontal="justify" vertical="center" wrapText="1"/>
    </xf>
    <xf numFmtId="167" fontId="20" fillId="16" borderId="96" xfId="6" applyNumberFormat="1" applyFont="1" applyFill="1" applyBorder="1" applyAlignment="1">
      <alignment horizontal="center" vertical="center" wrapText="1"/>
    </xf>
    <xf numFmtId="0" fontId="2" fillId="0" borderId="97" xfId="0" applyFont="1" applyFill="1" applyBorder="1" applyAlignment="1">
      <alignment horizontal="justify" vertical="center" wrapText="1"/>
    </xf>
    <xf numFmtId="167" fontId="3" fillId="0" borderId="98" xfId="6" applyNumberFormat="1" applyFont="1" applyFill="1" applyBorder="1" applyAlignment="1">
      <alignment horizontal="center" vertical="center" wrapText="1"/>
    </xf>
    <xf numFmtId="167" fontId="2" fillId="0" borderId="98" xfId="6" applyNumberFormat="1" applyFont="1" applyFill="1" applyBorder="1" applyAlignment="1">
      <alignment horizontal="center" vertical="center" wrapText="1"/>
    </xf>
    <xf numFmtId="166" fontId="3" fillId="0" borderId="98" xfId="0" applyNumberFormat="1" applyFont="1" applyFill="1" applyBorder="1" applyAlignment="1">
      <alignment horizontal="right" vertical="center"/>
    </xf>
    <xf numFmtId="0" fontId="2" fillId="0" borderId="97" xfId="0" applyFont="1" applyBorder="1" applyAlignment="1">
      <alignment horizontal="justify" vertical="center" wrapText="1"/>
    </xf>
    <xf numFmtId="0" fontId="4" fillId="18" borderId="97" xfId="0" applyFont="1" applyFill="1" applyBorder="1" applyAlignment="1">
      <alignment horizontal="justify" vertical="center"/>
    </xf>
    <xf numFmtId="167" fontId="4" fillId="18" borderId="98" xfId="6" applyNumberFormat="1" applyFont="1" applyFill="1" applyBorder="1" applyAlignment="1">
      <alignment horizontal="center" vertical="center" wrapText="1"/>
    </xf>
    <xf numFmtId="0" fontId="20" fillId="16" borderId="97" xfId="0" applyFont="1" applyFill="1" applyBorder="1" applyAlignment="1">
      <alignment horizontal="justify" vertical="center" wrapText="1"/>
    </xf>
    <xf numFmtId="167" fontId="20" fillId="16" borderId="98" xfId="6" applyNumberFormat="1" applyFont="1" applyFill="1" applyBorder="1" applyAlignment="1">
      <alignment horizontal="center" vertical="center" wrapText="1"/>
    </xf>
    <xf numFmtId="0" fontId="2" fillId="0" borderId="99" xfId="0" applyFont="1" applyFill="1" applyBorder="1" applyAlignment="1">
      <alignment horizontal="justify" vertical="center" wrapText="1"/>
    </xf>
    <xf numFmtId="167" fontId="3" fillId="0" borderId="100" xfId="6" applyNumberFormat="1" applyFont="1" applyFill="1" applyBorder="1" applyAlignment="1">
      <alignment horizontal="center" vertical="center" wrapText="1"/>
    </xf>
    <xf numFmtId="0" fontId="20" fillId="17" borderId="93" xfId="2" applyFont="1" applyFill="1" applyBorder="1" applyAlignment="1">
      <alignment horizontal="justify" vertical="center"/>
    </xf>
    <xf numFmtId="167" fontId="4" fillId="17" borderId="94" xfId="6" applyNumberFormat="1" applyFont="1" applyFill="1" applyBorder="1" applyAlignment="1">
      <alignment horizontal="center" vertical="center" wrapText="1"/>
    </xf>
    <xf numFmtId="0" fontId="20" fillId="0" borderId="97" xfId="0" applyFont="1" applyFill="1" applyBorder="1" applyAlignment="1">
      <alignment horizontal="justify" vertical="center" wrapText="1"/>
    </xf>
    <xf numFmtId="166" fontId="2" fillId="0" borderId="98" xfId="0" applyNumberFormat="1" applyFont="1" applyFill="1" applyBorder="1" applyAlignment="1">
      <alignment horizontal="right" vertical="center"/>
    </xf>
    <xf numFmtId="166" fontId="3" fillId="0" borderId="98" xfId="0" applyNumberFormat="1" applyFont="1" applyFill="1" applyBorder="1" applyAlignment="1">
      <alignment horizontal="right" vertical="center" wrapText="1"/>
    </xf>
    <xf numFmtId="0" fontId="2" fillId="17" borderId="93" xfId="2" applyFont="1" applyFill="1" applyBorder="1" applyAlignment="1">
      <alignment horizontal="justify" vertical="center"/>
    </xf>
    <xf numFmtId="167" fontId="2" fillId="17" borderId="94" xfId="6" applyNumberFormat="1" applyFont="1" applyFill="1" applyBorder="1" applyAlignment="1">
      <alignment horizontal="center" vertical="center" wrapText="1"/>
    </xf>
    <xf numFmtId="0" fontId="2" fillId="16" borderId="95" xfId="0" applyFont="1" applyFill="1" applyBorder="1" applyAlignment="1">
      <alignment horizontal="justify" vertical="center" wrapText="1"/>
    </xf>
    <xf numFmtId="167" fontId="2" fillId="16" borderId="96" xfId="6" applyNumberFormat="1" applyFont="1" applyFill="1" applyBorder="1" applyAlignment="1">
      <alignment horizontal="center" vertical="center" wrapText="1"/>
    </xf>
    <xf numFmtId="0" fontId="20" fillId="18" borderId="93" xfId="0" applyFont="1" applyFill="1" applyBorder="1" applyAlignment="1">
      <alignment horizontal="justify" vertical="center"/>
    </xf>
    <xf numFmtId="167" fontId="4" fillId="18" borderId="94" xfId="6" applyNumberFormat="1" applyFont="1" applyFill="1" applyBorder="1" applyAlignment="1">
      <alignment horizontal="center" vertical="center" wrapText="1"/>
    </xf>
    <xf numFmtId="167" fontId="3" fillId="0" borderId="98" xfId="0" applyNumberFormat="1" applyFont="1" applyFill="1" applyBorder="1" applyAlignment="1">
      <alignment horizontal="center" vertical="center" wrapText="1"/>
    </xf>
    <xf numFmtId="0" fontId="2" fillId="0" borderId="97" xfId="0" applyFont="1" applyFill="1" applyBorder="1" applyAlignment="1" applyProtection="1">
      <alignment horizontal="justify" vertical="center" wrapText="1"/>
      <protection locked="0"/>
    </xf>
    <xf numFmtId="166" fontId="3" fillId="0" borderId="98" xfId="0" applyNumberFormat="1" applyFont="1" applyFill="1" applyBorder="1" applyAlignment="1">
      <alignment horizontal="center" vertical="center" wrapText="1"/>
    </xf>
    <xf numFmtId="0" fontId="2" fillId="18" borderId="93" xfId="0" applyFont="1" applyFill="1" applyBorder="1" applyAlignment="1">
      <alignment horizontal="justify" vertical="center"/>
    </xf>
    <xf numFmtId="167" fontId="2" fillId="18" borderId="94" xfId="6" applyNumberFormat="1" applyFont="1" applyFill="1" applyBorder="1" applyAlignment="1">
      <alignment horizontal="center" vertical="center" wrapText="1"/>
    </xf>
    <xf numFmtId="0" fontId="2" fillId="16" borderId="97" xfId="0" applyFont="1" applyFill="1" applyBorder="1" applyAlignment="1">
      <alignment horizontal="justify" vertical="center" wrapText="1"/>
    </xf>
    <xf numFmtId="167" fontId="2" fillId="16" borderId="98" xfId="6" applyNumberFormat="1" applyFont="1" applyFill="1" applyBorder="1" applyAlignment="1">
      <alignment horizontal="center" vertical="center" wrapText="1"/>
    </xf>
    <xf numFmtId="167" fontId="3" fillId="18" borderId="94" xfId="6" applyNumberFormat="1" applyFont="1" applyFill="1" applyBorder="1" applyAlignment="1">
      <alignment horizontal="center" vertical="center" wrapText="1"/>
    </xf>
    <xf numFmtId="0" fontId="20" fillId="18" borderId="93" xfId="2" applyFont="1" applyFill="1" applyBorder="1" applyAlignment="1">
      <alignment horizontal="justify" vertical="center"/>
    </xf>
    <xf numFmtId="167" fontId="4" fillId="18" borderId="94" xfId="6" applyNumberFormat="1" applyFont="1" applyFill="1" applyBorder="1" applyAlignment="1">
      <alignment horizontal="center" vertical="center"/>
    </xf>
    <xf numFmtId="44" fontId="0" fillId="0" borderId="0" xfId="7" applyFont="1" applyFill="1"/>
    <xf numFmtId="166" fontId="3" fillId="0" borderId="0" xfId="0" applyNumberFormat="1" applyFont="1" applyFill="1"/>
    <xf numFmtId="166" fontId="33" fillId="0" borderId="0" xfId="0" applyNumberFormat="1" applyFont="1"/>
    <xf numFmtId="167" fontId="0" fillId="0" borderId="0" xfId="0" applyNumberFormat="1" applyFill="1" applyAlignment="1">
      <alignment horizontal="center" vertical="center"/>
    </xf>
    <xf numFmtId="0" fontId="2" fillId="0" borderId="2" xfId="0" applyFont="1" applyFill="1" applyBorder="1" applyAlignment="1">
      <alignment horizontal="center"/>
    </xf>
    <xf numFmtId="0" fontId="2" fillId="0" borderId="8" xfId="0" applyFont="1" applyFill="1" applyBorder="1" applyAlignment="1">
      <alignment horizontal="center" vertical="center" wrapText="1"/>
    </xf>
    <xf numFmtId="167" fontId="2" fillId="0" borderId="72" xfId="6" applyNumberFormat="1" applyFont="1" applyFill="1" applyBorder="1" applyAlignment="1">
      <alignment horizontal="center" vertical="center" wrapText="1"/>
    </xf>
    <xf numFmtId="3" fontId="36" fillId="0" borderId="20" xfId="0" applyNumberFormat="1" applyFont="1" applyBorder="1" applyAlignment="1">
      <alignment horizontal="center" vertical="center"/>
    </xf>
    <xf numFmtId="3" fontId="36" fillId="0" borderId="21" xfId="0" applyNumberFormat="1" applyFont="1" applyBorder="1" applyAlignment="1">
      <alignment vertical="center"/>
    </xf>
    <xf numFmtId="41" fontId="14" fillId="17" borderId="2" xfId="1" applyNumberFormat="1" applyFont="1" applyFill="1" applyBorder="1" applyAlignment="1">
      <alignment horizontal="center" vertical="center"/>
    </xf>
    <xf numFmtId="173" fontId="4" fillId="40" borderId="11" xfId="0" applyNumberFormat="1" applyFont="1" applyFill="1" applyBorder="1" applyAlignment="1">
      <alignment horizontal="center" vertical="center" wrapText="1"/>
    </xf>
    <xf numFmtId="166" fontId="2" fillId="0" borderId="8" xfId="0" applyNumberFormat="1" applyFont="1" applyFill="1" applyBorder="1" applyAlignment="1">
      <alignment vertical="center" wrapText="1"/>
    </xf>
    <xf numFmtId="166" fontId="3" fillId="0" borderId="8" xfId="0" applyNumberFormat="1" applyFont="1" applyFill="1" applyBorder="1" applyAlignment="1">
      <alignment vertical="center" wrapText="1"/>
    </xf>
    <xf numFmtId="166" fontId="3" fillId="0" borderId="92" xfId="0" applyNumberFormat="1" applyFont="1" applyFill="1" applyBorder="1" applyAlignment="1">
      <alignment horizontal="right" vertical="center" wrapText="1"/>
    </xf>
    <xf numFmtId="1" fontId="3" fillId="0" borderId="2"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16" borderId="2" xfId="0" applyFont="1" applyFill="1" applyBorder="1" applyAlignment="1">
      <alignment horizontal="center" vertical="center"/>
    </xf>
    <xf numFmtId="0" fontId="3" fillId="16" borderId="2" xfId="0" applyFont="1" applyFill="1" applyBorder="1" applyAlignment="1">
      <alignment horizontal="center" vertical="center" wrapText="1"/>
    </xf>
    <xf numFmtId="166" fontId="3" fillId="16" borderId="2" xfId="0" applyNumberFormat="1" applyFont="1" applyFill="1" applyBorder="1" applyAlignment="1">
      <alignment horizontal="center" vertical="center"/>
    </xf>
    <xf numFmtId="166" fontId="20" fillId="16" borderId="75" xfId="0" applyNumberFormat="1" applyFont="1" applyFill="1" applyBorder="1" applyAlignment="1">
      <alignment horizontal="center" vertical="center" wrapText="1"/>
    </xf>
    <xf numFmtId="166" fontId="20" fillId="16" borderId="72" xfId="0" applyNumberFormat="1" applyFont="1" applyFill="1" applyBorder="1" applyAlignment="1">
      <alignment horizontal="center" vertical="center" wrapText="1"/>
    </xf>
    <xf numFmtId="166" fontId="3" fillId="0" borderId="72" xfId="0" applyNumberFormat="1" applyFont="1" applyFill="1" applyBorder="1" applyAlignment="1">
      <alignment horizontal="center" vertical="center"/>
    </xf>
    <xf numFmtId="166" fontId="3" fillId="0" borderId="85" xfId="0" applyNumberFormat="1" applyFont="1" applyFill="1" applyBorder="1" applyAlignment="1">
      <alignment horizontal="center" vertical="center"/>
    </xf>
    <xf numFmtId="166" fontId="2" fillId="3" borderId="85" xfId="0" applyNumberFormat="1" applyFont="1" applyFill="1" applyBorder="1" applyAlignment="1">
      <alignment horizontal="center" vertical="center" wrapText="1"/>
    </xf>
    <xf numFmtId="0" fontId="24" fillId="18" borderId="33" xfId="0" applyFont="1" applyFill="1" applyBorder="1" applyAlignment="1">
      <alignment horizontal="justify" vertical="center" wrapText="1"/>
    </xf>
    <xf numFmtId="0" fontId="2" fillId="16" borderId="24" xfId="0" applyFont="1" applyFill="1" applyBorder="1" applyAlignment="1">
      <alignment horizontal="justify" vertical="center" wrapText="1"/>
    </xf>
    <xf numFmtId="0" fontId="2" fillId="16" borderId="25" xfId="0" applyFont="1" applyFill="1" applyBorder="1" applyAlignment="1">
      <alignment horizontal="center" vertical="center" wrapText="1"/>
    </xf>
    <xf numFmtId="166" fontId="2" fillId="16" borderId="39" xfId="0" applyNumberFormat="1" applyFont="1" applyFill="1" applyBorder="1" applyAlignment="1">
      <alignment horizontal="center" vertical="center" wrapText="1"/>
    </xf>
    <xf numFmtId="166" fontId="20" fillId="16" borderId="26" xfId="0" applyNumberFormat="1" applyFont="1" applyFill="1" applyBorder="1" applyAlignment="1">
      <alignment horizontal="center" vertical="center" wrapText="1"/>
    </xf>
    <xf numFmtId="166" fontId="3" fillId="16" borderId="18" xfId="0" applyNumberFormat="1" applyFont="1" applyFill="1" applyBorder="1" applyAlignment="1">
      <alignment horizontal="center" vertical="center"/>
    </xf>
    <xf numFmtId="0" fontId="2" fillId="15" borderId="46" xfId="0" applyFont="1" applyFill="1" applyBorder="1" applyAlignment="1">
      <alignment horizontal="justify" vertical="center" wrapText="1"/>
    </xf>
    <xf numFmtId="0" fontId="3" fillId="15" borderId="53" xfId="0" applyFont="1" applyFill="1" applyBorder="1" applyAlignment="1">
      <alignment horizontal="center" vertical="center"/>
    </xf>
    <xf numFmtId="164" fontId="3" fillId="15" borderId="53" xfId="1" applyFont="1" applyFill="1" applyBorder="1" applyAlignment="1">
      <alignment horizontal="center" vertical="center"/>
    </xf>
    <xf numFmtId="164" fontId="3" fillId="15" borderId="40" xfId="1" applyFont="1" applyFill="1" applyBorder="1" applyAlignment="1">
      <alignment horizontal="center" vertical="center"/>
    </xf>
    <xf numFmtId="0" fontId="3" fillId="18" borderId="34" xfId="0" applyFont="1" applyFill="1" applyBorder="1" applyAlignment="1">
      <alignment horizontal="center" vertical="center"/>
    </xf>
    <xf numFmtId="164" fontId="3" fillId="18" borderId="34" xfId="0" applyNumberFormat="1" applyFont="1" applyFill="1" applyBorder="1" applyAlignment="1">
      <alignment horizontal="center" vertical="center"/>
    </xf>
    <xf numFmtId="164" fontId="3" fillId="18" borderId="42" xfId="1" applyFont="1" applyFill="1" applyBorder="1" applyAlignment="1">
      <alignment horizontal="center" vertical="center"/>
    </xf>
    <xf numFmtId="164" fontId="3" fillId="0" borderId="2" xfId="1" applyFont="1" applyFill="1" applyBorder="1" applyAlignment="1">
      <alignment horizontal="center" vertical="center"/>
    </xf>
    <xf numFmtId="0" fontId="23" fillId="0" borderId="24" xfId="0" applyFont="1" applyFill="1" applyBorder="1" applyAlignment="1">
      <alignment horizontal="justify" vertical="center" wrapText="1"/>
    </xf>
    <xf numFmtId="41" fontId="0" fillId="0" borderId="25" xfId="0" applyNumberFormat="1" applyFill="1" applyBorder="1" applyAlignment="1">
      <alignment horizontal="center" vertical="center"/>
    </xf>
    <xf numFmtId="164" fontId="3" fillId="0" borderId="26" xfId="1" applyFont="1" applyFill="1" applyBorder="1" applyAlignment="1">
      <alignment horizontal="center" vertical="center"/>
    </xf>
    <xf numFmtId="164" fontId="3" fillId="0" borderId="18" xfId="1" applyFont="1" applyFill="1" applyBorder="1" applyAlignment="1">
      <alignment horizontal="center" vertical="center"/>
    </xf>
    <xf numFmtId="164" fontId="3" fillId="15" borderId="50" xfId="1" applyFont="1" applyFill="1" applyBorder="1" applyAlignment="1">
      <alignment horizontal="center" vertical="center"/>
    </xf>
    <xf numFmtId="164" fontId="3" fillId="18" borderId="51" xfId="1" applyFont="1" applyFill="1" applyBorder="1" applyAlignment="1">
      <alignment horizontal="center" vertical="center"/>
    </xf>
    <xf numFmtId="164" fontId="3" fillId="0" borderId="24" xfId="1" applyFont="1" applyFill="1" applyBorder="1" applyAlignment="1">
      <alignment horizontal="center" vertical="center"/>
    </xf>
    <xf numFmtId="164" fontId="3" fillId="0" borderId="25" xfId="1" applyFont="1" applyFill="1" applyBorder="1" applyAlignment="1">
      <alignment horizontal="center" vertical="center"/>
    </xf>
    <xf numFmtId="164" fontId="3" fillId="0" borderId="1" xfId="1" applyFont="1" applyFill="1" applyBorder="1" applyAlignment="1">
      <alignment horizontal="center" vertical="center"/>
    </xf>
    <xf numFmtId="3" fontId="41" fillId="28" borderId="33" xfId="0" applyNumberFormat="1" applyFont="1" applyFill="1" applyBorder="1"/>
    <xf numFmtId="3" fontId="41" fillId="28" borderId="84" xfId="0" applyNumberFormat="1" applyFont="1" applyFill="1" applyBorder="1"/>
    <xf numFmtId="41" fontId="14" fillId="17" borderId="90" xfId="1" applyNumberFormat="1" applyFont="1" applyFill="1" applyBorder="1" applyAlignment="1">
      <alignment horizontal="center" vertical="center"/>
    </xf>
    <xf numFmtId="41" fontId="14" fillId="17" borderId="88" xfId="1" applyNumberFormat="1" applyFont="1" applyFill="1" applyBorder="1" applyAlignment="1">
      <alignment horizontal="center" vertical="center"/>
    </xf>
    <xf numFmtId="3" fontId="14" fillId="16" borderId="88" xfId="1" applyNumberFormat="1" applyFont="1" applyFill="1" applyBorder="1" applyAlignment="1">
      <alignment horizontal="right" vertical="center"/>
    </xf>
    <xf numFmtId="3" fontId="27" fillId="17" borderId="88" xfId="1" applyNumberFormat="1" applyFont="1" applyFill="1" applyBorder="1" applyAlignment="1">
      <alignment horizontal="right" vertical="center"/>
    </xf>
    <xf numFmtId="3" fontId="14" fillId="17" borderId="88" xfId="1" applyNumberFormat="1" applyFont="1" applyFill="1" applyBorder="1" applyAlignment="1">
      <alignment horizontal="right" vertical="center"/>
    </xf>
    <xf numFmtId="3" fontId="14" fillId="32" borderId="88" xfId="1" applyNumberFormat="1" applyFont="1" applyFill="1" applyBorder="1" applyAlignment="1">
      <alignment horizontal="right" vertical="center"/>
    </xf>
    <xf numFmtId="164" fontId="8" fillId="13" borderId="30" xfId="0" applyNumberFormat="1" applyFont="1" applyFill="1" applyBorder="1" applyAlignment="1">
      <alignment vertical="center"/>
    </xf>
    <xf numFmtId="0" fontId="8" fillId="26" borderId="1" xfId="0" applyFont="1" applyFill="1" applyBorder="1" applyAlignment="1">
      <alignment horizontal="center" vertical="center"/>
    </xf>
    <xf numFmtId="3" fontId="48" fillId="0" borderId="0" xfId="0" applyNumberFormat="1" applyFont="1" applyFill="1"/>
    <xf numFmtId="167" fontId="3" fillId="0" borderId="2" xfId="0" applyNumberFormat="1" applyFont="1" applyFill="1" applyBorder="1" applyAlignment="1">
      <alignment horizontal="right" vertical="center" wrapText="1"/>
    </xf>
    <xf numFmtId="0" fontId="3" fillId="0" borderId="2" xfId="0" applyFont="1" applyFill="1" applyBorder="1" applyAlignment="1">
      <alignment horizontal="right" vertical="center" wrapText="1"/>
    </xf>
    <xf numFmtId="167" fontId="3" fillId="0" borderId="98" xfId="6" applyNumberFormat="1" applyFont="1" applyFill="1" applyBorder="1" applyAlignment="1">
      <alignment horizontal="right" vertical="center" wrapText="1"/>
    </xf>
    <xf numFmtId="166" fontId="3" fillId="0" borderId="18" xfId="0" applyNumberFormat="1" applyFont="1" applyFill="1" applyBorder="1" applyAlignment="1">
      <alignment horizontal="center" vertical="center" wrapText="1"/>
    </xf>
    <xf numFmtId="0" fontId="3" fillId="0" borderId="8" xfId="0" applyFont="1" applyFill="1" applyBorder="1" applyAlignment="1">
      <alignment horizontal="right" vertical="center" wrapText="1"/>
    </xf>
    <xf numFmtId="3" fontId="3" fillId="0" borderId="0" xfId="0" applyNumberFormat="1" applyFont="1" applyFill="1"/>
    <xf numFmtId="166" fontId="3" fillId="0" borderId="18" xfId="0" applyNumberFormat="1" applyFont="1" applyFill="1" applyBorder="1" applyAlignment="1">
      <alignment horizontal="right" vertical="center" wrapText="1"/>
    </xf>
    <xf numFmtId="167" fontId="3" fillId="0" borderId="0" xfId="0" applyNumberFormat="1" applyFont="1" applyFill="1"/>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Fill="1"/>
    <xf numFmtId="0" fontId="0" fillId="0" borderId="0" xfId="0" applyFill="1"/>
    <xf numFmtId="167" fontId="3" fillId="0" borderId="18" xfId="62" applyNumberFormat="1" applyFont="1" applyFill="1" applyBorder="1" applyAlignment="1">
      <alignment horizontal="justify" vertical="center"/>
    </xf>
    <xf numFmtId="0" fontId="3" fillId="0" borderId="2" xfId="0" applyFont="1" applyFill="1" applyBorder="1" applyAlignment="1">
      <alignment horizontal="center"/>
    </xf>
    <xf numFmtId="0" fontId="3" fillId="0" borderId="2" xfId="0" applyFont="1" applyFill="1" applyBorder="1"/>
    <xf numFmtId="167" fontId="3" fillId="0" borderId="2" xfId="62" applyNumberFormat="1" applyFont="1" applyFill="1" applyBorder="1" applyAlignment="1">
      <alignment horizontal="right"/>
    </xf>
    <xf numFmtId="3" fontId="0" fillId="0" borderId="0" xfId="0" applyNumberFormat="1" applyFill="1"/>
    <xf numFmtId="167" fontId="3" fillId="0" borderId="0" xfId="62" applyNumberFormat="1" applyFont="1" applyFill="1"/>
    <xf numFmtId="166" fontId="3" fillId="0" borderId="23" xfId="0" applyNumberFormat="1" applyFont="1" applyFill="1" applyBorder="1" applyAlignment="1">
      <alignment horizontal="center" vertical="center"/>
    </xf>
    <xf numFmtId="166" fontId="2" fillId="0" borderId="5" xfId="0" applyNumberFormat="1" applyFont="1" applyFill="1" applyBorder="1" applyAlignment="1">
      <alignment horizontal="center" vertical="center" wrapText="1"/>
    </xf>
    <xf numFmtId="166" fontId="2" fillId="0" borderId="43" xfId="0" applyNumberFormat="1" applyFont="1" applyFill="1" applyBorder="1" applyAlignment="1">
      <alignment horizontal="center" vertical="center" wrapText="1"/>
    </xf>
    <xf numFmtId="166" fontId="2" fillId="0" borderId="75" xfId="0" applyNumberFormat="1" applyFont="1" applyFill="1" applyBorder="1" applyAlignment="1">
      <alignment horizontal="center" vertical="center" wrapText="1"/>
    </xf>
    <xf numFmtId="42" fontId="0" fillId="0" borderId="0" xfId="0" applyNumberFormat="1"/>
    <xf numFmtId="42" fontId="2" fillId="0" borderId="1" xfId="8" applyNumberFormat="1" applyFont="1" applyFill="1" applyBorder="1" applyAlignment="1">
      <alignment horizontal="center" vertical="center"/>
    </xf>
    <xf numFmtId="42" fontId="2" fillId="5" borderId="34" xfId="8" applyNumberFormat="1" applyFont="1" applyFill="1" applyBorder="1" applyAlignment="1">
      <alignment horizontal="center" vertical="center"/>
    </xf>
    <xf numFmtId="42" fontId="2" fillId="5" borderId="42" xfId="8" applyNumberFormat="1" applyFont="1" applyFill="1" applyBorder="1" applyAlignment="1">
      <alignment horizontal="center" vertical="center"/>
    </xf>
    <xf numFmtId="42" fontId="2" fillId="5" borderId="33" xfId="8" applyNumberFormat="1" applyFont="1" applyFill="1" applyBorder="1" applyAlignment="1">
      <alignment horizontal="center" vertical="center"/>
    </xf>
    <xf numFmtId="42" fontId="2" fillId="16" borderId="22" xfId="8" applyNumberFormat="1" applyFont="1" applyFill="1" applyBorder="1" applyAlignment="1">
      <alignment horizontal="center" vertical="center" wrapText="1"/>
    </xf>
    <xf numFmtId="42" fontId="2" fillId="16" borderId="7" xfId="8" applyNumberFormat="1" applyFont="1" applyFill="1" applyBorder="1" applyAlignment="1">
      <alignment horizontal="center" vertical="center" wrapText="1"/>
    </xf>
    <xf numFmtId="42" fontId="2" fillId="16" borderId="23" xfId="8" applyNumberFormat="1" applyFont="1" applyFill="1" applyBorder="1" applyAlignment="1">
      <alignment horizontal="center" vertical="center" wrapText="1"/>
    </xf>
    <xf numFmtId="170" fontId="2" fillId="0" borderId="2" xfId="7" applyNumberFormat="1" applyFont="1" applyFill="1" applyBorder="1" applyAlignment="1">
      <alignment vertical="center"/>
    </xf>
    <xf numFmtId="0" fontId="2"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167" fontId="2" fillId="0" borderId="85" xfId="6" applyNumberFormat="1" applyFont="1" applyFill="1" applyBorder="1" applyAlignment="1">
      <alignment horizontal="center" vertical="center" wrapText="1"/>
    </xf>
    <xf numFmtId="167" fontId="3" fillId="0" borderId="72" xfId="62" applyNumberFormat="1" applyFont="1" applyFill="1" applyBorder="1" applyAlignment="1">
      <alignment horizontal="right"/>
    </xf>
    <xf numFmtId="164" fontId="3" fillId="0" borderId="0" xfId="0" applyNumberFormat="1" applyFont="1"/>
    <xf numFmtId="164" fontId="2" fillId="0" borderId="0" xfId="1" applyFont="1" applyFill="1" applyBorder="1" applyAlignment="1">
      <alignment horizontal="right" vertical="center"/>
    </xf>
    <xf numFmtId="0" fontId="3" fillId="0" borderId="8" xfId="0" applyFont="1" applyFill="1" applyBorder="1" applyAlignment="1">
      <alignment horizontal="center" vertical="center"/>
    </xf>
    <xf numFmtId="0" fontId="2" fillId="0" borderId="8" xfId="0" applyFont="1" applyFill="1" applyBorder="1" applyAlignment="1">
      <alignment horizontal="center" vertical="center"/>
    </xf>
    <xf numFmtId="164" fontId="2" fillId="0" borderId="18" xfId="1" applyFont="1" applyFill="1" applyBorder="1" applyAlignment="1">
      <alignment horizontal="right" vertical="center"/>
    </xf>
    <xf numFmtId="164" fontId="2" fillId="0" borderId="51" xfId="0" applyNumberFormat="1" applyFont="1" applyFill="1" applyBorder="1" applyAlignment="1">
      <alignment horizontal="right" vertical="center"/>
    </xf>
    <xf numFmtId="164" fontId="2" fillId="0" borderId="85" xfId="1" applyFont="1" applyFill="1" applyBorder="1" applyAlignment="1">
      <alignment horizontal="right" vertical="center" wrapText="1"/>
    </xf>
    <xf numFmtId="0" fontId="2" fillId="0" borderId="32" xfId="0" applyFont="1" applyFill="1" applyBorder="1" applyAlignment="1">
      <alignment horizontal="justify" vertical="center" wrapText="1"/>
    </xf>
    <xf numFmtId="173" fontId="3" fillId="0" borderId="2" xfId="0" applyNumberFormat="1" applyFont="1" applyFill="1" applyBorder="1" applyAlignment="1">
      <alignment vertical="center" wrapText="1"/>
    </xf>
    <xf numFmtId="42" fontId="2" fillId="0" borderId="0" xfId="0" applyNumberFormat="1" applyFont="1" applyFill="1"/>
    <xf numFmtId="0" fontId="3" fillId="0" borderId="0" xfId="0" applyFont="1" applyBorder="1"/>
    <xf numFmtId="0" fontId="2" fillId="0" borderId="0" xfId="0" applyFont="1" applyBorder="1"/>
    <xf numFmtId="173" fontId="3" fillId="0" borderId="0" xfId="0" applyNumberFormat="1" applyFont="1" applyFill="1" applyBorder="1" applyAlignment="1">
      <alignment horizontal="right" vertical="center" wrapText="1"/>
    </xf>
    <xf numFmtId="0" fontId="2" fillId="16" borderId="25" xfId="0" applyFont="1" applyFill="1" applyBorder="1" applyAlignment="1">
      <alignment horizontal="justify" vertical="center" wrapText="1"/>
    </xf>
    <xf numFmtId="0" fontId="2" fillId="16" borderId="25" xfId="0" applyFont="1" applyFill="1" applyBorder="1" applyAlignment="1">
      <alignment horizontal="center" vertical="center"/>
    </xf>
    <xf numFmtId="173" fontId="3" fillId="37" borderId="25" xfId="0" applyNumberFormat="1" applyFont="1" applyFill="1" applyBorder="1" applyAlignment="1">
      <alignment horizontal="right" vertical="center" wrapText="1"/>
    </xf>
    <xf numFmtId="173" fontId="3" fillId="37" borderId="26" xfId="0" applyNumberFormat="1" applyFont="1" applyFill="1" applyBorder="1" applyAlignment="1">
      <alignment horizontal="right" vertical="center" wrapText="1"/>
    </xf>
    <xf numFmtId="173" fontId="3" fillId="0" borderId="18" xfId="0" applyNumberFormat="1" applyFont="1" applyBorder="1" applyAlignment="1">
      <alignment horizontal="right" vertical="center" wrapText="1"/>
    </xf>
    <xf numFmtId="173" fontId="3" fillId="37" borderId="18" xfId="0" applyNumberFormat="1" applyFont="1" applyFill="1" applyBorder="1" applyAlignment="1">
      <alignment horizontal="right" vertical="center" wrapText="1"/>
    </xf>
    <xf numFmtId="173" fontId="3" fillId="0" borderId="18" xfId="0" applyNumberFormat="1" applyFont="1" applyFill="1" applyBorder="1" applyAlignment="1">
      <alignment horizontal="right" vertical="center" wrapText="1"/>
    </xf>
    <xf numFmtId="173" fontId="3" fillId="0" borderId="18" xfId="0" applyNumberFormat="1" applyFont="1" applyFill="1" applyBorder="1" applyAlignment="1">
      <alignment vertical="center" wrapText="1"/>
    </xf>
    <xf numFmtId="42" fontId="2" fillId="0" borderId="0" xfId="0" applyNumberFormat="1" applyFont="1" applyBorder="1"/>
    <xf numFmtId="173" fontId="3" fillId="0" borderId="45" xfId="0" applyNumberFormat="1" applyFont="1" applyBorder="1" applyAlignment="1">
      <alignment horizontal="right" vertical="center" wrapText="1"/>
    </xf>
    <xf numFmtId="173" fontId="3" fillId="37" borderId="43" xfId="0" applyNumberFormat="1" applyFont="1" applyFill="1" applyBorder="1" applyAlignment="1">
      <alignment horizontal="right" vertical="center" wrapText="1"/>
    </xf>
    <xf numFmtId="166"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right" vertical="center" wrapText="1"/>
    </xf>
    <xf numFmtId="3" fontId="3" fillId="0" borderId="18" xfId="0" applyNumberFormat="1" applyFont="1" applyFill="1" applyBorder="1" applyAlignment="1">
      <alignment horizontal="right" vertical="center" wrapText="1"/>
    </xf>
    <xf numFmtId="0" fontId="3" fillId="0" borderId="0" xfId="0" applyFont="1" applyFill="1" applyAlignment="1">
      <alignment horizontal="left"/>
    </xf>
    <xf numFmtId="167" fontId="3" fillId="0" borderId="72" xfId="6"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0" fontId="3" fillId="0" borderId="0" xfId="0" applyFont="1" applyFill="1" applyAlignment="1">
      <alignment horizontal="right"/>
    </xf>
    <xf numFmtId="3" fontId="20" fillId="17" borderId="94" xfId="6" applyNumberFormat="1" applyFont="1" applyFill="1" applyBorder="1" applyAlignment="1">
      <alignment horizontal="right" vertical="center"/>
    </xf>
    <xf numFmtId="3" fontId="3" fillId="0" borderId="18" xfId="6" applyNumberFormat="1" applyFont="1" applyFill="1" applyBorder="1" applyAlignment="1">
      <alignment horizontal="right" vertical="center" wrapText="1"/>
    </xf>
    <xf numFmtId="1" fontId="3" fillId="0" borderId="45" xfId="0" applyNumberFormat="1" applyFont="1" applyFill="1" applyBorder="1" applyAlignment="1">
      <alignment horizontal="center" vertical="center" wrapText="1"/>
    </xf>
    <xf numFmtId="3" fontId="3" fillId="0" borderId="3" xfId="0" applyNumberFormat="1" applyFont="1" applyFill="1" applyBorder="1" applyAlignment="1">
      <alignment horizontal="right" vertical="center" wrapText="1"/>
    </xf>
    <xf numFmtId="3" fontId="39" fillId="0" borderId="2" xfId="0" applyNumberFormat="1" applyFont="1" applyFill="1" applyBorder="1" applyAlignment="1">
      <alignment horizontal="right" vertical="center" wrapText="1"/>
    </xf>
    <xf numFmtId="3" fontId="3" fillId="0" borderId="1" xfId="6" applyNumberFormat="1" applyFont="1" applyFill="1" applyBorder="1" applyAlignment="1">
      <alignment horizontal="right" vertical="center" wrapText="1"/>
    </xf>
    <xf numFmtId="3" fontId="3" fillId="0" borderId="2" xfId="6"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3" fillId="0" borderId="6"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3" fontId="3" fillId="0" borderId="18" xfId="0" applyNumberFormat="1" applyFont="1" applyFill="1" applyBorder="1" applyAlignment="1">
      <alignment horizontal="center" vertical="center" wrapText="1"/>
    </xf>
    <xf numFmtId="166" fontId="3" fillId="0" borderId="72"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166" fontId="0" fillId="0" borderId="0" xfId="0" applyNumberFormat="1" applyFont="1" applyAlignment="1">
      <alignment horizontal="right" vertical="center"/>
    </xf>
    <xf numFmtId="0" fontId="3" fillId="18" borderId="37" xfId="0" applyFont="1" applyFill="1" applyBorder="1" applyAlignment="1">
      <alignment horizontal="justify" vertical="center"/>
    </xf>
    <xf numFmtId="166" fontId="0" fillId="18" borderId="37" xfId="0" applyNumberFormat="1" applyFont="1" applyFill="1" applyBorder="1" applyAlignment="1">
      <alignment horizontal="right" vertical="center"/>
    </xf>
    <xf numFmtId="166" fontId="0" fillId="18" borderId="38" xfId="0" applyNumberFormat="1" applyFont="1" applyFill="1" applyBorder="1" applyAlignment="1">
      <alignment horizontal="right" vertical="center"/>
    </xf>
    <xf numFmtId="166" fontId="0" fillId="18" borderId="17" xfId="0" applyNumberFormat="1" applyFont="1" applyFill="1" applyBorder="1" applyAlignment="1">
      <alignment horizontal="right" vertical="center"/>
    </xf>
    <xf numFmtId="166" fontId="0" fillId="18" borderId="11" xfId="0" applyNumberFormat="1" applyFont="1" applyFill="1" applyBorder="1" applyAlignment="1">
      <alignment horizontal="right" vertical="center"/>
    </xf>
    <xf numFmtId="0" fontId="3" fillId="16" borderId="35" xfId="0" applyFont="1" applyFill="1" applyBorder="1" applyAlignment="1">
      <alignment horizontal="justify" vertical="center" wrapText="1"/>
    </xf>
    <xf numFmtId="0" fontId="3" fillId="16" borderId="5" xfId="0" applyFont="1" applyFill="1" applyBorder="1" applyAlignment="1">
      <alignment horizontal="justify" vertical="center" wrapText="1"/>
    </xf>
    <xf numFmtId="0" fontId="3" fillId="16" borderId="5" xfId="0" applyFont="1" applyFill="1" applyBorder="1" applyAlignment="1">
      <alignment horizontal="center" vertical="center" wrapText="1"/>
    </xf>
    <xf numFmtId="166" fontId="3" fillId="16" borderId="5" xfId="0" applyNumberFormat="1" applyFont="1" applyFill="1" applyBorder="1" applyAlignment="1">
      <alignment horizontal="right" vertical="center" wrapText="1"/>
    </xf>
    <xf numFmtId="166" fontId="3" fillId="16" borderId="43" xfId="0" applyNumberFormat="1" applyFont="1" applyFill="1" applyBorder="1" applyAlignment="1">
      <alignment horizontal="right" vertical="center" wrapText="1"/>
    </xf>
    <xf numFmtId="166" fontId="3" fillId="16" borderId="35" xfId="0" applyNumberFormat="1" applyFont="1" applyFill="1" applyBorder="1" applyAlignment="1">
      <alignment horizontal="right" vertical="center" wrapText="1"/>
    </xf>
    <xf numFmtId="166" fontId="3" fillId="16" borderId="75" xfId="0" applyNumberFormat="1" applyFont="1" applyFill="1" applyBorder="1" applyAlignment="1">
      <alignment horizontal="right"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0" fillId="0" borderId="2" xfId="0" applyFont="1" applyFill="1" applyBorder="1"/>
    <xf numFmtId="0" fontId="0" fillId="0" borderId="1" xfId="0" applyFont="1" applyFill="1" applyBorder="1"/>
    <xf numFmtId="0" fontId="3" fillId="16" borderId="1" xfId="0" applyFont="1" applyFill="1" applyBorder="1" applyAlignment="1">
      <alignment horizontal="justify" vertical="center" wrapText="1"/>
    </xf>
    <xf numFmtId="0" fontId="3" fillId="16" borderId="2" xfId="0" applyFont="1" applyFill="1" applyBorder="1" applyAlignment="1">
      <alignment horizontal="justify" vertical="center" wrapText="1"/>
    </xf>
    <xf numFmtId="166" fontId="3" fillId="16" borderId="2" xfId="0" applyNumberFormat="1" applyFont="1" applyFill="1" applyBorder="1" applyAlignment="1">
      <alignment horizontal="right" vertical="center" wrapText="1"/>
    </xf>
    <xf numFmtId="166" fontId="3" fillId="16" borderId="18" xfId="0" applyNumberFormat="1" applyFont="1" applyFill="1" applyBorder="1" applyAlignment="1">
      <alignment horizontal="right" vertical="center" wrapText="1"/>
    </xf>
    <xf numFmtId="166" fontId="3" fillId="16" borderId="1" xfId="0" applyNumberFormat="1" applyFont="1" applyFill="1" applyBorder="1" applyAlignment="1">
      <alignment horizontal="justify" vertical="center" wrapText="1"/>
    </xf>
    <xf numFmtId="166" fontId="3" fillId="16" borderId="2" xfId="0" applyNumberFormat="1" applyFont="1" applyFill="1" applyBorder="1" applyAlignment="1">
      <alignment horizontal="justify" vertical="center" wrapText="1"/>
    </xf>
    <xf numFmtId="166" fontId="3" fillId="16" borderId="72" xfId="0" applyNumberFormat="1" applyFont="1" applyFill="1" applyBorder="1" applyAlignment="1">
      <alignment horizontal="right" vertical="center" wrapText="1"/>
    </xf>
    <xf numFmtId="0" fontId="3" fillId="0" borderId="3" xfId="0" applyFont="1" applyFill="1" applyBorder="1" applyAlignment="1">
      <alignment horizontal="justify" vertical="center" wrapText="1"/>
    </xf>
    <xf numFmtId="0" fontId="3" fillId="18" borderId="17" xfId="2" applyFont="1" applyFill="1" applyBorder="1" applyAlignment="1">
      <alignment horizontal="justify" vertical="center"/>
    </xf>
    <xf numFmtId="0" fontId="3" fillId="18" borderId="37" xfId="2" applyFont="1" applyFill="1" applyBorder="1" applyAlignment="1">
      <alignment horizontal="justify" vertical="center"/>
    </xf>
    <xf numFmtId="0" fontId="3"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166" fontId="3" fillId="16" borderId="1" xfId="0" applyNumberFormat="1" applyFont="1" applyFill="1" applyBorder="1" applyAlignment="1">
      <alignment horizontal="right" vertical="center" wrapText="1"/>
    </xf>
    <xf numFmtId="0" fontId="3" fillId="0" borderId="6" xfId="0" applyFont="1" applyFill="1" applyBorder="1" applyAlignment="1" applyProtection="1">
      <alignment horizontal="justify" vertical="center" wrapText="1"/>
      <protection locked="0"/>
    </xf>
    <xf numFmtId="0" fontId="3" fillId="0" borderId="19" xfId="0" applyFont="1" applyFill="1" applyBorder="1" applyAlignment="1">
      <alignment horizontal="justify" vertical="center" wrapText="1"/>
    </xf>
    <xf numFmtId="0" fontId="3" fillId="0" borderId="20" xfId="0" applyFont="1" applyFill="1" applyBorder="1" applyAlignment="1">
      <alignment horizontal="justify" vertical="center" wrapText="1"/>
    </xf>
    <xf numFmtId="43" fontId="3" fillId="0" borderId="0" xfId="6"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xf numFmtId="0" fontId="3" fillId="17" borderId="37" xfId="2" applyFont="1" applyFill="1" applyBorder="1" applyAlignment="1">
      <alignment horizontal="justify" vertical="center"/>
    </xf>
    <xf numFmtId="0" fontId="3" fillId="17" borderId="37" xfId="2" applyFont="1" applyFill="1" applyBorder="1" applyAlignment="1">
      <alignment horizontal="center" vertical="center"/>
    </xf>
    <xf numFmtId="166" fontId="3" fillId="17" borderId="37" xfId="2" applyNumberFormat="1" applyFont="1" applyFill="1" applyBorder="1" applyAlignment="1">
      <alignment horizontal="center" vertical="center"/>
    </xf>
    <xf numFmtId="166" fontId="3" fillId="17" borderId="38" xfId="2" applyNumberFormat="1" applyFont="1" applyFill="1" applyBorder="1" applyAlignment="1">
      <alignment horizontal="center" vertical="center"/>
    </xf>
    <xf numFmtId="0" fontId="3" fillId="0" borderId="0" xfId="2" applyFont="1" applyFill="1" applyBorder="1" applyAlignment="1">
      <alignment horizontal="left" vertical="center"/>
    </xf>
    <xf numFmtId="166" fontId="3" fillId="17" borderId="17" xfId="2" applyNumberFormat="1" applyFont="1" applyFill="1" applyBorder="1" applyAlignment="1">
      <alignment horizontal="center" vertical="center"/>
    </xf>
    <xf numFmtId="166" fontId="3" fillId="17" borderId="80" xfId="2" applyNumberFormat="1" applyFont="1" applyFill="1" applyBorder="1" applyAlignment="1">
      <alignment horizontal="center" vertical="center"/>
    </xf>
    <xf numFmtId="166" fontId="3" fillId="17" borderId="11" xfId="2" applyNumberFormat="1" applyFont="1" applyFill="1" applyBorder="1" applyAlignment="1">
      <alignment horizontal="center" vertical="center"/>
    </xf>
    <xf numFmtId="166" fontId="3" fillId="16" borderId="5" xfId="0" applyNumberFormat="1" applyFont="1" applyFill="1" applyBorder="1" applyAlignment="1">
      <alignment horizontal="center" vertical="center" wrapText="1"/>
    </xf>
    <xf numFmtId="166" fontId="3" fillId="16" borderId="43" xfId="0" applyNumberFormat="1" applyFont="1" applyFill="1" applyBorder="1" applyAlignment="1">
      <alignment horizontal="center" vertical="center" wrapText="1"/>
    </xf>
    <xf numFmtId="166" fontId="3" fillId="16" borderId="35" xfId="0" applyNumberFormat="1" applyFont="1" applyFill="1" applyBorder="1" applyAlignment="1">
      <alignment horizontal="center" vertical="center" wrapText="1"/>
    </xf>
    <xf numFmtId="166" fontId="3" fillId="16" borderId="74" xfId="0" applyNumberFormat="1" applyFont="1" applyFill="1" applyBorder="1" applyAlignment="1">
      <alignment horizontal="center" vertical="center" wrapText="1"/>
    </xf>
    <xf numFmtId="0" fontId="3" fillId="17" borderId="17" xfId="0" applyFont="1" applyFill="1" applyBorder="1" applyAlignment="1">
      <alignment horizontal="justify" vertical="center"/>
    </xf>
    <xf numFmtId="0" fontId="3" fillId="0" borderId="1" xfId="0" applyFont="1" applyBorder="1" applyAlignment="1">
      <alignment horizontal="justify" vertical="center" wrapText="1"/>
    </xf>
    <xf numFmtId="0" fontId="3" fillId="0" borderId="6" xfId="0" applyFont="1" applyBorder="1" applyAlignment="1">
      <alignment horizontal="justify" vertical="center" wrapText="1"/>
    </xf>
    <xf numFmtId="0" fontId="3" fillId="24" borderId="17" xfId="0" applyFont="1" applyFill="1" applyBorder="1" applyAlignment="1">
      <alignment horizontal="justify" vertical="center"/>
    </xf>
    <xf numFmtId="166" fontId="3" fillId="16" borderId="2" xfId="0" applyNumberFormat="1" applyFont="1" applyFill="1" applyBorder="1" applyAlignment="1">
      <alignment horizontal="center" vertical="center" wrapText="1"/>
    </xf>
    <xf numFmtId="166" fontId="3" fillId="16" borderId="18" xfId="0" applyNumberFormat="1" applyFont="1" applyFill="1" applyBorder="1" applyAlignment="1">
      <alignment horizontal="center" vertical="center" wrapText="1"/>
    </xf>
    <xf numFmtId="166" fontId="3" fillId="16" borderId="1" xfId="0" applyNumberFormat="1" applyFont="1" applyFill="1" applyBorder="1" applyAlignment="1">
      <alignment horizontal="center" vertical="center" wrapText="1"/>
    </xf>
    <xf numFmtId="166" fontId="3" fillId="16" borderId="8"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6" fontId="3" fillId="18" borderId="37" xfId="0" applyNumberFormat="1" applyFont="1" applyFill="1" applyBorder="1" applyAlignment="1">
      <alignment horizontal="center" vertical="center"/>
    </xf>
    <xf numFmtId="166" fontId="3" fillId="18" borderId="38" xfId="0" applyNumberFormat="1" applyFont="1" applyFill="1" applyBorder="1" applyAlignment="1">
      <alignment horizontal="center" vertical="center"/>
    </xf>
    <xf numFmtId="166" fontId="3" fillId="18" borderId="17" xfId="0" applyNumberFormat="1" applyFont="1" applyFill="1" applyBorder="1" applyAlignment="1">
      <alignment horizontal="center" vertical="center"/>
    </xf>
    <xf numFmtId="166" fontId="3" fillId="18" borderId="11" xfId="0" applyNumberFormat="1" applyFont="1" applyFill="1" applyBorder="1" applyAlignment="1">
      <alignment horizontal="center" vertical="center"/>
    </xf>
    <xf numFmtId="41" fontId="3" fillId="0" borderId="1" xfId="0" applyNumberFormat="1" applyFont="1" applyFill="1" applyBorder="1" applyAlignment="1">
      <alignment horizontal="justify" vertical="center"/>
    </xf>
    <xf numFmtId="0" fontId="4" fillId="0" borderId="1" xfId="0" applyFont="1" applyFill="1" applyBorder="1" applyAlignment="1">
      <alignment horizontal="justify" vertical="center"/>
    </xf>
    <xf numFmtId="0" fontId="3" fillId="0" borderId="91" xfId="0" applyFont="1" applyBorder="1" applyAlignment="1">
      <alignment horizontal="justify" vertical="center" wrapText="1"/>
    </xf>
    <xf numFmtId="0" fontId="3" fillId="15" borderId="17" xfId="0" applyFont="1" applyFill="1" applyBorder="1" applyAlignment="1">
      <alignment horizontal="justify" vertical="center" wrapText="1"/>
    </xf>
    <xf numFmtId="0" fontId="3" fillId="15" borderId="37" xfId="0" applyFont="1" applyFill="1" applyBorder="1" applyAlignment="1">
      <alignment horizontal="justify" vertical="center" wrapText="1"/>
    </xf>
    <xf numFmtId="166" fontId="3" fillId="15" borderId="37" xfId="0" applyNumberFormat="1" applyFont="1" applyFill="1" applyBorder="1" applyAlignment="1">
      <alignment horizontal="center" vertical="center" wrapText="1"/>
    </xf>
    <xf numFmtId="166" fontId="3" fillId="15" borderId="38" xfId="0" applyNumberFormat="1" applyFont="1" applyFill="1" applyBorder="1" applyAlignment="1">
      <alignment horizontal="center" vertical="center" wrapText="1"/>
    </xf>
    <xf numFmtId="166" fontId="3" fillId="15" borderId="17" xfId="0" applyNumberFormat="1" applyFont="1" applyFill="1" applyBorder="1" applyAlignment="1">
      <alignment horizontal="center" vertical="center" wrapText="1"/>
    </xf>
    <xf numFmtId="166" fontId="3" fillId="15" borderId="11" xfId="0"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166" fontId="0"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horizontal="center"/>
    </xf>
    <xf numFmtId="166" fontId="0" fillId="0" borderId="0" xfId="0" applyNumberFormat="1" applyFont="1" applyAlignment="1">
      <alignment horizontal="center"/>
    </xf>
    <xf numFmtId="170" fontId="0" fillId="0" borderId="0" xfId="0" applyNumberFormat="1" applyFont="1" applyAlignment="1">
      <alignment horizontal="center"/>
    </xf>
    <xf numFmtId="43" fontId="0" fillId="0" borderId="0" xfId="6" applyFont="1" applyFill="1" applyAlignment="1">
      <alignment vertical="center"/>
    </xf>
    <xf numFmtId="0" fontId="2" fillId="0" borderId="2" xfId="0" applyFont="1" applyFill="1" applyBorder="1" applyAlignment="1">
      <alignment horizontal="center" wrapText="1"/>
    </xf>
    <xf numFmtId="3" fontId="2" fillId="0" borderId="2" xfId="0" applyNumberFormat="1" applyFont="1" applyFill="1" applyBorder="1" applyAlignment="1">
      <alignment horizontal="center"/>
    </xf>
    <xf numFmtId="3" fontId="2" fillId="0" borderId="1" xfId="0" applyNumberFormat="1" applyFont="1" applyFill="1" applyBorder="1" applyAlignment="1">
      <alignment horizontal="center"/>
    </xf>
    <xf numFmtId="0" fontId="2" fillId="0" borderId="0" xfId="0" applyFont="1" applyFill="1" applyAlignment="1">
      <alignment horizontal="center"/>
    </xf>
    <xf numFmtId="0" fontId="2" fillId="0" borderId="44" xfId="0" applyFont="1" applyFill="1" applyBorder="1" applyAlignment="1">
      <alignment horizontal="left" vertical="center" wrapText="1"/>
    </xf>
    <xf numFmtId="42" fontId="2" fillId="0" borderId="5" xfId="8" applyNumberFormat="1" applyFont="1" applyFill="1" applyBorder="1" applyAlignment="1">
      <alignment horizontal="center" vertical="center" wrapText="1"/>
    </xf>
    <xf numFmtId="42" fontId="2" fillId="0" borderId="2" xfId="8" applyNumberFormat="1" applyFont="1" applyFill="1" applyBorder="1" applyAlignment="1">
      <alignment horizontal="center" vertical="center" wrapText="1"/>
    </xf>
    <xf numFmtId="42" fontId="3" fillId="0" borderId="18" xfId="0" applyNumberFormat="1" applyFont="1" applyFill="1" applyBorder="1" applyAlignment="1">
      <alignment horizontal="right" vertical="center"/>
    </xf>
    <xf numFmtId="42" fontId="2" fillId="0" borderId="35" xfId="8" applyNumberFormat="1" applyFont="1" applyFill="1" applyBorder="1" applyAlignment="1">
      <alignment horizontal="center" vertical="center" wrapText="1"/>
    </xf>
    <xf numFmtId="42" fontId="2" fillId="0" borderId="43" xfId="8" applyNumberFormat="1" applyFont="1" applyFill="1" applyBorder="1" applyAlignment="1">
      <alignment horizontal="center" vertical="center" wrapText="1"/>
    </xf>
    <xf numFmtId="42" fontId="3" fillId="0" borderId="72" xfId="0" applyNumberFormat="1" applyFont="1" applyFill="1" applyBorder="1" applyAlignment="1">
      <alignment horizontal="right" vertical="center"/>
    </xf>
    <xf numFmtId="42" fontId="2" fillId="0" borderId="1" xfId="8" applyNumberFormat="1" applyFont="1" applyFill="1" applyBorder="1" applyAlignment="1">
      <alignment horizontal="center" vertical="center" wrapText="1"/>
    </xf>
    <xf numFmtId="42" fontId="3" fillId="0" borderId="2" xfId="0" applyNumberFormat="1" applyFont="1" applyFill="1" applyBorder="1" applyAlignment="1">
      <alignment vertical="center"/>
    </xf>
    <xf numFmtId="0" fontId="3" fillId="0" borderId="4" xfId="0" applyFont="1" applyFill="1" applyBorder="1" applyAlignment="1">
      <alignment vertical="center" wrapText="1"/>
    </xf>
    <xf numFmtId="170" fontId="3" fillId="0" borderId="89" xfId="7" applyNumberFormat="1" applyFont="1" applyFill="1" applyBorder="1" applyAlignment="1">
      <alignment vertical="center"/>
    </xf>
    <xf numFmtId="42" fontId="3" fillId="0" borderId="6" xfId="8" applyNumberFormat="1" applyFont="1" applyFill="1" applyBorder="1" applyAlignment="1">
      <alignment horizontal="center" vertical="center"/>
    </xf>
    <xf numFmtId="42" fontId="3" fillId="0" borderId="3" xfId="8" applyNumberFormat="1" applyFont="1" applyFill="1" applyBorder="1" applyAlignment="1">
      <alignment horizontal="center" vertical="center"/>
    </xf>
    <xf numFmtId="170" fontId="3" fillId="0" borderId="85" xfId="7" applyNumberFormat="1" applyFont="1" applyFill="1" applyBorder="1" applyAlignment="1">
      <alignment vertical="center"/>
    </xf>
    <xf numFmtId="0" fontId="3" fillId="0" borderId="118" xfId="0" applyFont="1" applyFill="1" applyBorder="1" applyAlignment="1">
      <alignment horizontal="justify" vertical="center" wrapText="1"/>
    </xf>
    <xf numFmtId="0" fontId="3" fillId="0" borderId="97" xfId="0" applyFont="1" applyFill="1" applyBorder="1" applyAlignment="1">
      <alignment horizontal="justify" vertical="center" wrapText="1"/>
    </xf>
    <xf numFmtId="41" fontId="3" fillId="18" borderId="33" xfId="0" applyNumberFormat="1" applyFont="1" applyFill="1" applyBorder="1" applyAlignment="1">
      <alignment horizontal="center" vertical="center" wrapText="1"/>
    </xf>
    <xf numFmtId="41" fontId="3" fillId="18" borderId="34" xfId="0" applyNumberFormat="1" applyFont="1" applyFill="1" applyBorder="1" applyAlignment="1">
      <alignment horizontal="center" vertical="center" wrapText="1"/>
    </xf>
    <xf numFmtId="41" fontId="3" fillId="18" borderId="42" xfId="0" applyNumberFormat="1" applyFont="1" applyFill="1" applyBorder="1" applyAlignment="1">
      <alignment horizontal="center" vertical="center" wrapText="1"/>
    </xf>
    <xf numFmtId="0" fontId="35" fillId="0" borderId="0" xfId="0" applyFont="1" applyFill="1" applyAlignment="1">
      <alignment vertical="center"/>
    </xf>
    <xf numFmtId="166" fontId="35" fillId="0" borderId="0" xfId="0" applyNumberFormat="1" applyFont="1" applyFill="1" applyAlignment="1">
      <alignment vertical="center"/>
    </xf>
    <xf numFmtId="166" fontId="2" fillId="0" borderId="2" xfId="0" applyNumberFormat="1" applyFont="1" applyFill="1" applyBorder="1" applyAlignment="1">
      <alignment horizontal="right" vertical="center" wrapText="1"/>
    </xf>
    <xf numFmtId="0" fontId="2" fillId="0" borderId="0" xfId="0" applyFont="1" applyFill="1" applyAlignment="1">
      <alignment vertical="center"/>
    </xf>
    <xf numFmtId="166" fontId="2" fillId="0" borderId="1" xfId="0" applyNumberFormat="1" applyFont="1" applyFill="1" applyBorder="1" applyAlignment="1">
      <alignment horizontal="right" vertical="center" wrapText="1"/>
    </xf>
    <xf numFmtId="173" fontId="3" fillId="0" borderId="72" xfId="0" applyNumberFormat="1" applyFont="1" applyFill="1" applyBorder="1" applyAlignment="1">
      <alignment horizontal="right" vertical="center" wrapText="1"/>
    </xf>
    <xf numFmtId="0" fontId="49" fillId="0" borderId="0" xfId="0" applyFont="1" applyFill="1"/>
    <xf numFmtId="173" fontId="4" fillId="40" borderId="11"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6" fontId="2" fillId="0" borderId="2" xfId="0" applyNumberFormat="1" applyFont="1" applyFill="1" applyBorder="1" applyAlignment="1">
      <alignment horizontal="center" vertical="center" wrapText="1"/>
    </xf>
    <xf numFmtId="44" fontId="2" fillId="0" borderId="18" xfId="7" applyFont="1" applyFill="1" applyBorder="1" applyAlignment="1">
      <alignment vertical="center"/>
    </xf>
    <xf numFmtId="44" fontId="2" fillId="0" borderId="72" xfId="7" applyFont="1" applyFill="1" applyBorder="1" applyAlignment="1">
      <alignment vertical="center"/>
    </xf>
    <xf numFmtId="0" fontId="3" fillId="0" borderId="12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21" xfId="0" applyFont="1" applyFill="1" applyBorder="1" applyAlignment="1">
      <alignment horizontal="center" vertical="center"/>
    </xf>
    <xf numFmtId="166" fontId="3" fillId="0" borderId="122" xfId="0" applyNumberFormat="1" applyFont="1" applyFill="1" applyBorder="1" applyAlignment="1">
      <alignment horizontal="center" vertical="center" wrapText="1"/>
    </xf>
    <xf numFmtId="173" fontId="3" fillId="37" borderId="71" xfId="0" applyNumberFormat="1" applyFont="1" applyFill="1" applyBorder="1" applyAlignment="1">
      <alignment horizontal="right" vertical="center" wrapText="1"/>
    </xf>
    <xf numFmtId="173" fontId="3" fillId="0" borderId="72" xfId="0" applyNumberFormat="1" applyFont="1" applyBorder="1" applyAlignment="1">
      <alignment horizontal="right" vertical="center" wrapText="1"/>
    </xf>
    <xf numFmtId="173" fontId="3" fillId="37" borderId="72" xfId="0" applyNumberFormat="1" applyFont="1" applyFill="1" applyBorder="1" applyAlignment="1">
      <alignment horizontal="right" vertical="center" wrapText="1"/>
    </xf>
    <xf numFmtId="173" fontId="3" fillId="0" borderId="72" xfId="0" applyNumberFormat="1" applyFont="1" applyFill="1" applyBorder="1" applyAlignment="1">
      <alignment vertical="center" wrapText="1"/>
    </xf>
    <xf numFmtId="173" fontId="3" fillId="0" borderId="85" xfId="0" applyNumberFormat="1" applyFont="1" applyBorder="1" applyAlignment="1">
      <alignment horizontal="right" vertical="center" wrapText="1"/>
    </xf>
    <xf numFmtId="173" fontId="3" fillId="37" borderId="75" xfId="0" applyNumberFormat="1" applyFont="1" applyFill="1" applyBorder="1" applyAlignment="1">
      <alignment horizontal="right" vertical="center" wrapText="1"/>
    </xf>
    <xf numFmtId="173" fontId="3" fillId="39" borderId="85" xfId="0" applyNumberFormat="1" applyFont="1" applyFill="1" applyBorder="1" applyAlignment="1">
      <alignment horizontal="right" vertical="center" wrapText="1"/>
    </xf>
    <xf numFmtId="0" fontId="2" fillId="0" borderId="77" xfId="0" applyFont="1" applyBorder="1"/>
    <xf numFmtId="3" fontId="24" fillId="0" borderId="2" xfId="0" applyNumberFormat="1" applyFont="1" applyFill="1" applyBorder="1" applyAlignment="1">
      <alignment horizontal="right" vertical="center" wrapText="1"/>
    </xf>
    <xf numFmtId="3" fontId="24" fillId="0" borderId="1" xfId="0" applyNumberFormat="1" applyFont="1" applyFill="1" applyBorder="1" applyAlignment="1">
      <alignment horizontal="right" vertical="center" wrapText="1"/>
    </xf>
    <xf numFmtId="42" fontId="2" fillId="0" borderId="18" xfId="8" applyFont="1" applyFill="1" applyBorder="1" applyAlignment="1">
      <alignment horizontal="right" vertical="center" wrapText="1"/>
    </xf>
    <xf numFmtId="0" fontId="2" fillId="33" borderId="20" xfId="0" applyFont="1" applyFill="1" applyBorder="1" applyAlignment="1">
      <alignment horizontal="center" vertical="center"/>
    </xf>
    <xf numFmtId="173" fontId="3" fillId="37" borderId="24" xfId="0" applyNumberFormat="1" applyFont="1" applyFill="1" applyBorder="1" applyAlignment="1">
      <alignment horizontal="right" vertical="center" wrapText="1"/>
    </xf>
    <xf numFmtId="173" fontId="3" fillId="0" borderId="1" xfId="0" applyNumberFormat="1" applyFont="1" applyBorder="1" applyAlignment="1">
      <alignment horizontal="right" vertical="center" wrapText="1"/>
    </xf>
    <xf numFmtId="173" fontId="3" fillId="0" borderId="1" xfId="0" applyNumberFormat="1" applyFont="1" applyFill="1" applyBorder="1" applyAlignment="1">
      <alignment horizontal="right" vertical="center" wrapText="1"/>
    </xf>
    <xf numFmtId="173" fontId="3" fillId="37" borderId="1" xfId="0" applyNumberFormat="1" applyFont="1" applyFill="1" applyBorder="1" applyAlignment="1">
      <alignment horizontal="right" vertical="center" wrapText="1"/>
    </xf>
    <xf numFmtId="173" fontId="3" fillId="0" borderId="1" xfId="0" applyNumberFormat="1" applyFont="1" applyFill="1" applyBorder="1" applyAlignment="1">
      <alignment vertical="center" wrapText="1"/>
    </xf>
    <xf numFmtId="173" fontId="3" fillId="0" borderId="6" xfId="0" applyNumberFormat="1" applyFont="1" applyBorder="1" applyAlignment="1">
      <alignment horizontal="right" vertical="center" wrapText="1"/>
    </xf>
    <xf numFmtId="173" fontId="3" fillId="37" borderId="35" xfId="0" applyNumberFormat="1" applyFont="1" applyFill="1" applyBorder="1" applyAlignment="1">
      <alignment horizontal="right" vertical="center" wrapText="1"/>
    </xf>
    <xf numFmtId="173" fontId="3" fillId="39" borderId="19" xfId="0" applyNumberFormat="1" applyFont="1" applyFill="1" applyBorder="1" applyAlignment="1">
      <alignment horizontal="right" vertical="center" wrapText="1"/>
    </xf>
    <xf numFmtId="173" fontId="3" fillId="39" borderId="20" xfId="0" applyNumberFormat="1" applyFont="1" applyFill="1" applyBorder="1" applyAlignment="1">
      <alignment horizontal="right" vertical="center" wrapText="1"/>
    </xf>
    <xf numFmtId="173" fontId="3" fillId="39" borderId="21" xfId="0" applyNumberFormat="1" applyFont="1" applyFill="1" applyBorder="1" applyAlignment="1">
      <alignment horizontal="right" vertical="center" wrapText="1"/>
    </xf>
    <xf numFmtId="164" fontId="2" fillId="16" borderId="85" xfId="1" applyFont="1" applyFill="1" applyBorder="1" applyAlignment="1">
      <alignment horizontal="right" vertical="center" wrapText="1"/>
    </xf>
    <xf numFmtId="0" fontId="3" fillId="5" borderId="33" xfId="0" applyFont="1" applyFill="1" applyBorder="1" applyAlignment="1">
      <alignment horizontal="left" vertical="center" wrapText="1"/>
    </xf>
    <xf numFmtId="164" fontId="3" fillId="0" borderId="45" xfId="1" applyFont="1" applyFill="1" applyBorder="1" applyAlignment="1">
      <alignment horizontal="right" vertical="center"/>
    </xf>
    <xf numFmtId="164" fontId="3" fillId="0" borderId="127" xfId="0" applyNumberFormat="1" applyFont="1" applyFill="1" applyBorder="1" applyAlignment="1">
      <alignment horizontal="right" vertical="center"/>
    </xf>
    <xf numFmtId="164" fontId="3" fillId="0" borderId="85" xfId="1" applyFont="1" applyFill="1" applyBorder="1" applyAlignment="1">
      <alignment horizontal="right" vertical="center"/>
    </xf>
    <xf numFmtId="164" fontId="2" fillId="0" borderId="72" xfId="1" applyFont="1" applyFill="1" applyBorder="1" applyAlignment="1">
      <alignment horizontal="right" vertical="center"/>
    </xf>
    <xf numFmtId="3" fontId="0" fillId="5" borderId="51" xfId="0" applyNumberFormat="1" applyFill="1" applyBorder="1" applyAlignment="1">
      <alignment vertical="center"/>
    </xf>
    <xf numFmtId="0" fontId="3" fillId="5" borderId="34" xfId="0" applyFont="1" applyFill="1" applyBorder="1" applyAlignment="1">
      <alignment horizontal="center" vertical="center"/>
    </xf>
    <xf numFmtId="164" fontId="0" fillId="5" borderId="34" xfId="0" applyNumberFormat="1" applyFill="1" applyBorder="1" applyAlignment="1">
      <alignment vertical="center"/>
    </xf>
    <xf numFmtId="3" fontId="0" fillId="5" borderId="42" xfId="0" applyNumberFormat="1" applyFill="1" applyBorder="1" applyAlignment="1">
      <alignment vertical="center"/>
    </xf>
    <xf numFmtId="164" fontId="0" fillId="15" borderId="40" xfId="0" applyNumberFormat="1" applyFill="1" applyBorder="1" applyAlignment="1">
      <alignment vertical="center"/>
    </xf>
    <xf numFmtId="164" fontId="0" fillId="15" borderId="50" xfId="0" applyNumberFormat="1" applyFill="1" applyBorder="1" applyAlignment="1">
      <alignment vertical="center"/>
    </xf>
    <xf numFmtId="3" fontId="0" fillId="0" borderId="71" xfId="0" applyNumberFormat="1" applyFill="1" applyBorder="1" applyAlignment="1">
      <alignment vertical="center"/>
    </xf>
    <xf numFmtId="3" fontId="0" fillId="0" borderId="25" xfId="0" applyNumberFormat="1" applyFill="1" applyBorder="1" applyAlignment="1">
      <alignment vertical="center"/>
    </xf>
    <xf numFmtId="3" fontId="0" fillId="0" borderId="26" xfId="0" applyNumberFormat="1" applyFill="1" applyBorder="1" applyAlignment="1">
      <alignment vertical="center"/>
    </xf>
    <xf numFmtId="164" fontId="0" fillId="0" borderId="0" xfId="0" applyNumberFormat="1" applyFill="1"/>
    <xf numFmtId="42" fontId="2" fillId="16" borderId="0" xfId="8" applyFont="1" applyFill="1" applyBorder="1" applyAlignment="1">
      <alignment horizontal="right" vertical="center" wrapText="1"/>
    </xf>
    <xf numFmtId="0" fontId="2" fillId="16" borderId="0" xfId="0" applyFont="1" applyFill="1" applyBorder="1"/>
    <xf numFmtId="173" fontId="3" fillId="16" borderId="72" xfId="0" applyNumberFormat="1" applyFont="1" applyFill="1" applyBorder="1" applyAlignment="1">
      <alignment horizontal="right" vertical="center" wrapText="1"/>
    </xf>
    <xf numFmtId="167" fontId="3" fillId="0" borderId="8" xfId="6" applyNumberFormat="1" applyFont="1" applyFill="1" applyBorder="1" applyAlignment="1">
      <alignment horizontal="right" vertical="center"/>
    </xf>
    <xf numFmtId="167" fontId="3" fillId="0" borderId="2" xfId="6" applyNumberFormat="1" applyFont="1" applyFill="1" applyBorder="1" applyAlignment="1">
      <alignment horizontal="right" vertical="center"/>
    </xf>
    <xf numFmtId="167" fontId="3" fillId="0" borderId="72" xfId="6" applyNumberFormat="1" applyFont="1" applyFill="1" applyBorder="1" applyAlignment="1">
      <alignment horizontal="right" vertical="center"/>
    </xf>
    <xf numFmtId="0" fontId="0" fillId="0" borderId="0" xfId="0" applyFont="1" applyFill="1" applyAlignment="1">
      <alignment horizontal="right" vertical="center"/>
    </xf>
    <xf numFmtId="0" fontId="3" fillId="0" borderId="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0" xfId="0" applyFont="1" applyFill="1" applyBorder="1" applyAlignment="1">
      <alignment horizontal="center" vertical="center" wrapText="1"/>
    </xf>
    <xf numFmtId="166" fontId="3" fillId="16" borderId="76" xfId="0" applyNumberFormat="1" applyFont="1" applyFill="1" applyBorder="1" applyAlignment="1">
      <alignment horizontal="right" vertical="center" wrapText="1"/>
    </xf>
    <xf numFmtId="166" fontId="3" fillId="0" borderId="45" xfId="0" applyNumberFormat="1" applyFont="1" applyFill="1" applyBorder="1" applyAlignment="1">
      <alignment horizontal="right"/>
    </xf>
    <xf numFmtId="0" fontId="2" fillId="0" borderId="128" xfId="0" applyFont="1" applyFill="1" applyBorder="1" applyAlignment="1">
      <alignment horizontal="justify" vertical="center" wrapText="1"/>
    </xf>
    <xf numFmtId="166" fontId="3" fillId="0" borderId="23" xfId="0" applyNumberFormat="1" applyFont="1" applyFill="1" applyBorder="1" applyAlignment="1">
      <alignment horizontal="right"/>
    </xf>
    <xf numFmtId="166" fontId="0" fillId="0" borderId="0" xfId="0" applyNumberFormat="1" applyFill="1" applyAlignment="1">
      <alignment vertical="center"/>
    </xf>
    <xf numFmtId="166" fontId="0" fillId="0" borderId="0" xfId="0" applyNumberFormat="1" applyFont="1" applyFill="1"/>
    <xf numFmtId="0" fontId="3" fillId="0" borderId="0" xfId="0" applyFont="1" applyFill="1" applyBorder="1" applyAlignment="1">
      <alignment horizontal="right" vertical="center" wrapText="1"/>
    </xf>
    <xf numFmtId="0" fontId="0" fillId="0" borderId="0" xfId="0" applyFont="1" applyFill="1" applyAlignment="1">
      <alignment horizontal="right"/>
    </xf>
    <xf numFmtId="0" fontId="0" fillId="0" borderId="2" xfId="0" applyFont="1" applyFill="1" applyBorder="1" applyAlignment="1">
      <alignment horizontal="right"/>
    </xf>
    <xf numFmtId="166" fontId="0" fillId="0" borderId="0" xfId="0" applyNumberFormat="1" applyFont="1" applyFill="1" applyAlignment="1">
      <alignment vertical="center"/>
    </xf>
    <xf numFmtId="0" fontId="2" fillId="0" borderId="97" xfId="0" applyFont="1" applyFill="1" applyBorder="1" applyAlignment="1">
      <alignment horizontal="left" vertical="center" wrapText="1"/>
    </xf>
    <xf numFmtId="0" fontId="3" fillId="0" borderId="0" xfId="0" applyFont="1" applyFill="1" applyAlignment="1">
      <alignment horizontal="right" vertical="center"/>
    </xf>
    <xf numFmtId="49" fontId="3" fillId="0" borderId="2" xfId="0" applyNumberFormat="1" applyFont="1" applyFill="1" applyBorder="1" applyAlignment="1">
      <alignment horizontal="center" vertical="center" wrapText="1"/>
    </xf>
    <xf numFmtId="1" fontId="0" fillId="0" borderId="0" xfId="0" applyNumberFormat="1" applyFont="1" applyFill="1" applyAlignment="1">
      <alignment vertical="center"/>
    </xf>
    <xf numFmtId="167" fontId="46" fillId="0" borderId="0" xfId="0" applyNumberFormat="1" applyFont="1" applyFill="1" applyAlignment="1">
      <alignment horizontal="left" vertical="center"/>
    </xf>
    <xf numFmtId="0" fontId="3" fillId="0" borderId="2" xfId="0" applyFont="1" applyFill="1" applyBorder="1" applyAlignment="1" applyProtection="1">
      <alignment horizontal="justify" vertical="center" wrapText="1"/>
      <protection locked="0"/>
    </xf>
    <xf numFmtId="3" fontId="3" fillId="0" borderId="8" xfId="0" applyNumberFormat="1" applyFont="1" applyFill="1" applyBorder="1" applyAlignment="1">
      <alignment horizontal="right" vertical="center" wrapText="1"/>
    </xf>
    <xf numFmtId="0" fontId="2" fillId="0" borderId="18" xfId="0" applyFont="1" applyFill="1" applyBorder="1" applyAlignment="1">
      <alignment horizontal="center" vertical="center" wrapText="1"/>
    </xf>
    <xf numFmtId="167" fontId="3" fillId="0" borderId="2" xfId="6" applyNumberFormat="1" applyFont="1" applyFill="1" applyBorder="1" applyAlignment="1">
      <alignment horizontal="right" vertical="center" wrapText="1"/>
    </xf>
    <xf numFmtId="0" fontId="3" fillId="0" borderId="5" xfId="0" applyFont="1" applyFill="1" applyBorder="1" applyAlignment="1">
      <alignment horizontal="center"/>
    </xf>
    <xf numFmtId="0" fontId="2" fillId="0" borderId="101" xfId="0" applyFont="1" applyFill="1" applyBorder="1" applyAlignment="1">
      <alignment horizontal="justify" vertical="center" wrapText="1"/>
    </xf>
    <xf numFmtId="0" fontId="3" fillId="0" borderId="102"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102" xfId="0" applyFont="1" applyFill="1" applyBorder="1" applyAlignment="1">
      <alignment horizontal="center" vertical="center" wrapText="1"/>
    </xf>
    <xf numFmtId="41" fontId="3" fillId="0" borderId="102" xfId="0" applyNumberFormat="1" applyFont="1" applyFill="1" applyBorder="1" applyAlignment="1">
      <alignment horizontal="center" vertical="center"/>
    </xf>
    <xf numFmtId="167" fontId="2" fillId="0" borderId="106" xfId="6"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4" fillId="0" borderId="19" xfId="0" applyFont="1" applyFill="1" applyBorder="1" applyAlignment="1">
      <alignment horizontal="justify" vertical="center" wrapText="1"/>
    </xf>
    <xf numFmtId="41" fontId="0" fillId="0" borderId="20" xfId="0" applyNumberFormat="1" applyFill="1" applyBorder="1" applyAlignment="1">
      <alignment horizontal="center" vertical="center"/>
    </xf>
    <xf numFmtId="164" fontId="3" fillId="0" borderId="21" xfId="1" applyFont="1" applyFill="1" applyBorder="1" applyAlignment="1">
      <alignment horizontal="center" vertical="center"/>
    </xf>
    <xf numFmtId="164" fontId="3" fillId="0" borderId="19" xfId="1" applyFont="1" applyFill="1" applyBorder="1" applyAlignment="1">
      <alignment horizontal="center" vertical="center"/>
    </xf>
    <xf numFmtId="164" fontId="3" fillId="0" borderId="20" xfId="1" applyFont="1" applyFill="1" applyBorder="1" applyAlignment="1">
      <alignment horizontal="center" vertical="center"/>
    </xf>
    <xf numFmtId="44" fontId="35" fillId="0" borderId="0" xfId="7" applyFont="1" applyFill="1"/>
    <xf numFmtId="44" fontId="35" fillId="0" borderId="0" xfId="0" applyNumberFormat="1" applyFont="1" applyFill="1"/>
    <xf numFmtId="1" fontId="0" fillId="0" borderId="0" xfId="0" applyNumberFormat="1"/>
    <xf numFmtId="166" fontId="3" fillId="0" borderId="87" xfId="0" applyNumberFormat="1" applyFont="1" applyFill="1" applyBorder="1" applyAlignment="1">
      <alignment horizontal="center" vertical="center"/>
    </xf>
    <xf numFmtId="44" fontId="0" fillId="0" borderId="0" xfId="7" applyFont="1" applyAlignment="1">
      <alignment horizontal="center" vertical="center"/>
    </xf>
    <xf numFmtId="43" fontId="0" fillId="0" borderId="0" xfId="6" applyFont="1" applyAlignment="1">
      <alignment horizontal="center" vertical="center"/>
    </xf>
    <xf numFmtId="44" fontId="0" fillId="0" borderId="0" xfId="7" applyFont="1" applyAlignment="1">
      <alignment horizontal="center" vertical="center" wrapText="1"/>
    </xf>
    <xf numFmtId="44" fontId="0" fillId="0" borderId="0" xfId="0" applyNumberFormat="1" applyAlignment="1">
      <alignment horizontal="center" vertical="center"/>
    </xf>
    <xf numFmtId="0" fontId="0" fillId="0" borderId="0" xfId="0" applyFill="1" applyAlignment="1">
      <alignment horizontal="center" vertical="center"/>
    </xf>
    <xf numFmtId="44" fontId="0" fillId="0" borderId="0" xfId="7" applyFont="1" applyFill="1" applyAlignment="1">
      <alignment horizontal="center" vertical="center"/>
    </xf>
    <xf numFmtId="0" fontId="2" fillId="0" borderId="7" xfId="0" applyFont="1" applyFill="1" applyBorder="1" applyAlignment="1">
      <alignment horizontal="center" vertical="center" wrapText="1"/>
    </xf>
    <xf numFmtId="42" fontId="20" fillId="14" borderId="11" xfId="8" applyFont="1" applyFill="1" applyBorder="1" applyAlignment="1">
      <alignment horizontal="center" vertical="center" wrapText="1"/>
    </xf>
    <xf numFmtId="166" fontId="3" fillId="0" borderId="7" xfId="0" applyNumberFormat="1" applyFont="1" applyFill="1" applyBorder="1" applyAlignment="1">
      <alignment horizontal="center" vertical="center"/>
    </xf>
    <xf numFmtId="166" fontId="3" fillId="0" borderId="22" xfId="0" applyNumberFormat="1" applyFont="1" applyFill="1" applyBorder="1" applyAlignment="1">
      <alignment horizontal="center" vertical="center"/>
    </xf>
    <xf numFmtId="0" fontId="56" fillId="0" borderId="0" xfId="0" applyFont="1" applyAlignment="1">
      <alignment horizontal="center" vertical="center"/>
    </xf>
    <xf numFmtId="0" fontId="35" fillId="0" borderId="0" xfId="0" applyFont="1" applyAlignment="1">
      <alignment horizontal="left" vertical="center"/>
    </xf>
    <xf numFmtId="166" fontId="35" fillId="0" borderId="0" xfId="0" applyNumberFormat="1" applyFont="1" applyAlignment="1">
      <alignment horizontal="center" vertical="center"/>
    </xf>
    <xf numFmtId="0" fontId="35" fillId="0" borderId="0" xfId="0" applyFont="1" applyFill="1" applyAlignment="1">
      <alignment horizontal="center" vertical="center"/>
    </xf>
    <xf numFmtId="170" fontId="35" fillId="0" borderId="0" xfId="7" applyNumberFormat="1" applyFont="1" applyFill="1" applyAlignment="1">
      <alignment horizontal="center" vertical="center"/>
    </xf>
    <xf numFmtId="42" fontId="35" fillId="0" borderId="0" xfId="0" applyNumberFormat="1" applyFont="1" applyFill="1" applyAlignment="1">
      <alignment horizontal="center" vertical="center"/>
    </xf>
    <xf numFmtId="0" fontId="21" fillId="0" borderId="33" xfId="0" applyFont="1" applyFill="1" applyBorder="1" applyAlignment="1">
      <alignment horizontal="justify" vertical="center" wrapText="1"/>
    </xf>
    <xf numFmtId="0" fontId="21" fillId="0" borderId="34" xfId="0" applyFont="1" applyFill="1" applyBorder="1" applyAlignment="1">
      <alignment horizontal="center" vertical="center" wrapText="1"/>
    </xf>
    <xf numFmtId="166" fontId="21" fillId="0" borderId="34" xfId="0" applyNumberFormat="1" applyFont="1" applyFill="1" applyBorder="1" applyAlignment="1">
      <alignment horizontal="center" vertical="center" wrapText="1"/>
    </xf>
    <xf numFmtId="167" fontId="21" fillId="0" borderId="42" xfId="6" applyNumberFormat="1" applyFont="1" applyFill="1" applyBorder="1" applyAlignment="1">
      <alignment horizontal="center" vertical="center" wrapText="1"/>
    </xf>
    <xf numFmtId="166" fontId="21" fillId="0" borderId="33" xfId="0" applyNumberFormat="1" applyFont="1" applyFill="1" applyBorder="1" applyAlignment="1">
      <alignment horizontal="center" vertical="center" wrapText="1"/>
    </xf>
    <xf numFmtId="166" fontId="21" fillId="0" borderId="41" xfId="0" applyNumberFormat="1" applyFont="1" applyFill="1" applyBorder="1" applyAlignment="1">
      <alignment horizontal="center" vertical="center" wrapText="1"/>
    </xf>
    <xf numFmtId="167" fontId="21" fillId="0" borderId="51" xfId="6" applyNumberFormat="1" applyFont="1" applyFill="1" applyBorder="1" applyAlignment="1">
      <alignment horizontal="center" vertical="center" wrapText="1"/>
    </xf>
    <xf numFmtId="170" fontId="0" fillId="0" borderId="0" xfId="7" applyNumberFormat="1" applyFont="1" applyFill="1"/>
    <xf numFmtId="0" fontId="3" fillId="0" borderId="0" xfId="0" applyFont="1" applyFill="1" applyAlignment="1">
      <alignment horizontal="right" vertical="center" wrapText="1"/>
    </xf>
    <xf numFmtId="166" fontId="2" fillId="0" borderId="18" xfId="0" applyNumberFormat="1" applyFont="1" applyFill="1" applyBorder="1" applyAlignment="1">
      <alignment horizontal="right"/>
    </xf>
    <xf numFmtId="0" fontId="2" fillId="0" borderId="6" xfId="0" applyFont="1" applyFill="1" applyBorder="1" applyAlignment="1">
      <alignment horizontal="left" vertical="center" wrapText="1"/>
    </xf>
    <xf numFmtId="0" fontId="2" fillId="0" borderId="1" xfId="0" applyFont="1" applyFill="1" applyBorder="1" applyAlignment="1">
      <alignment vertical="center" wrapText="1"/>
    </xf>
    <xf numFmtId="170" fontId="2" fillId="0" borderId="2" xfId="7" applyNumberFormat="1" applyFont="1" applyFill="1" applyBorder="1" applyAlignment="1">
      <alignment horizontal="center" vertical="center" wrapText="1"/>
    </xf>
    <xf numFmtId="42" fontId="2" fillId="0" borderId="3" xfId="8" applyNumberFormat="1" applyFont="1" applyFill="1" applyBorder="1" applyAlignment="1">
      <alignment horizontal="center" vertical="center"/>
    </xf>
    <xf numFmtId="42" fontId="2" fillId="0" borderId="45" xfId="0" applyNumberFormat="1" applyFont="1" applyFill="1" applyBorder="1" applyAlignment="1">
      <alignment horizontal="right" vertical="center"/>
    </xf>
    <xf numFmtId="42" fontId="2" fillId="0" borderId="85" xfId="0" applyNumberFormat="1" applyFont="1" applyFill="1" applyBorder="1" applyAlignment="1">
      <alignment horizontal="right" vertical="center"/>
    </xf>
    <xf numFmtId="42" fontId="2" fillId="0" borderId="2" xfId="0" applyNumberFormat="1" applyFont="1" applyFill="1" applyBorder="1" applyAlignment="1">
      <alignment horizontal="right" vertical="center"/>
    </xf>
    <xf numFmtId="3" fontId="2" fillId="0" borderId="24" xfId="0" applyNumberFormat="1" applyFont="1" applyFill="1" applyBorder="1" applyAlignment="1">
      <alignment horizontal="center" vertical="center" wrapText="1"/>
    </xf>
    <xf numFmtId="3" fontId="2" fillId="0" borderId="25" xfId="0" applyNumberFormat="1" applyFont="1" applyFill="1" applyBorder="1" applyAlignment="1">
      <alignment horizontal="center" vertical="center" wrapText="1"/>
    </xf>
    <xf numFmtId="42" fontId="2" fillId="0" borderId="26" xfId="8" applyNumberFormat="1" applyFont="1" applyFill="1" applyBorder="1" applyAlignment="1">
      <alignment horizontal="center" vertical="center"/>
    </xf>
    <xf numFmtId="42" fontId="2" fillId="0" borderId="72" xfId="8" applyNumberFormat="1" applyFont="1" applyFill="1" applyBorder="1" applyAlignment="1">
      <alignment horizontal="center" vertical="center"/>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2" applyFont="1" applyFill="1" applyBorder="1" applyAlignment="1">
      <alignment horizontal="left" vertical="center" wrapText="1"/>
    </xf>
    <xf numFmtId="42" fontId="2" fillId="0" borderId="18" xfId="0" applyNumberFormat="1" applyFont="1" applyFill="1" applyBorder="1" applyAlignment="1">
      <alignment vertical="center"/>
    </xf>
    <xf numFmtId="42" fontId="2" fillId="0" borderId="72" xfId="0" applyNumberFormat="1" applyFont="1" applyFill="1" applyBorder="1" applyAlignment="1">
      <alignment vertical="center"/>
    </xf>
    <xf numFmtId="0" fontId="2" fillId="0" borderId="2" xfId="2" applyFont="1" applyFill="1" applyBorder="1" applyAlignment="1">
      <alignment horizontal="left" vertical="center" wrapText="1"/>
    </xf>
    <xf numFmtId="0" fontId="0" fillId="0" borderId="2" xfId="0" applyFont="1" applyFill="1" applyBorder="1" applyAlignment="1">
      <alignment horizontal="center" vertical="center"/>
    </xf>
    <xf numFmtId="0" fontId="3" fillId="0" borderId="1" xfId="0" applyFont="1" applyFill="1" applyBorder="1" applyAlignment="1">
      <alignment vertical="center"/>
    </xf>
    <xf numFmtId="0" fontId="2" fillId="0" borderId="4" xfId="0" applyFont="1" applyFill="1" applyBorder="1" applyAlignment="1">
      <alignment vertical="center" wrapText="1"/>
    </xf>
    <xf numFmtId="0" fontId="2" fillId="0" borderId="2" xfId="2" applyFont="1" applyFill="1" applyBorder="1" applyAlignment="1">
      <alignment horizontal="center" vertical="center" wrapText="1"/>
    </xf>
    <xf numFmtId="42" fontId="2" fillId="0" borderId="2" xfId="0" applyNumberFormat="1" applyFont="1" applyFill="1" applyBorder="1" applyAlignment="1">
      <alignment vertical="center"/>
    </xf>
    <xf numFmtId="170" fontId="2" fillId="0" borderId="81" xfId="7" applyNumberFormat="1" applyFont="1" applyFill="1" applyBorder="1" applyAlignment="1">
      <alignment vertical="center"/>
    </xf>
    <xf numFmtId="0" fontId="27" fillId="16" borderId="2" xfId="0" applyFont="1" applyFill="1" applyBorder="1" applyAlignment="1">
      <alignment horizontal="center" vertical="center" wrapText="1"/>
    </xf>
    <xf numFmtId="0" fontId="27" fillId="16" borderId="18" xfId="0" applyFont="1" applyFill="1" applyBorder="1" applyAlignment="1">
      <alignment horizontal="left" vertical="center" wrapText="1"/>
    </xf>
    <xf numFmtId="169" fontId="27" fillId="16" borderId="4" xfId="5" applyNumberFormat="1" applyFont="1" applyFill="1" applyBorder="1" applyAlignment="1">
      <alignment horizontal="center" vertical="center" wrapText="1"/>
    </xf>
    <xf numFmtId="10" fontId="27" fillId="16" borderId="2" xfId="5" applyNumberFormat="1" applyFont="1" applyFill="1" applyBorder="1" applyAlignment="1">
      <alignment horizontal="center" vertical="center" wrapText="1"/>
    </xf>
    <xf numFmtId="3" fontId="27" fillId="16" borderId="2" xfId="0" applyNumberFormat="1" applyFont="1" applyFill="1" applyBorder="1" applyAlignment="1">
      <alignment horizontal="right" vertical="center" wrapText="1"/>
    </xf>
    <xf numFmtId="167" fontId="27" fillId="16" borderId="8" xfId="10" applyNumberFormat="1" applyFont="1" applyFill="1" applyBorder="1" applyAlignment="1">
      <alignment horizontal="center" vertical="center" wrapText="1"/>
    </xf>
    <xf numFmtId="3" fontId="27" fillId="16" borderId="1" xfId="1" applyNumberFormat="1" applyFont="1" applyFill="1" applyBorder="1" applyAlignment="1">
      <alignment horizontal="right" vertical="center"/>
    </xf>
    <xf numFmtId="3" fontId="27" fillId="16" borderId="2" xfId="1" applyNumberFormat="1" applyFont="1" applyFill="1" applyBorder="1" applyAlignment="1">
      <alignment horizontal="right" vertical="center"/>
    </xf>
    <xf numFmtId="3" fontId="27" fillId="16" borderId="18" xfId="1" applyNumberFormat="1" applyFont="1" applyFill="1" applyBorder="1" applyAlignment="1">
      <alignment horizontal="right" vertical="center"/>
    </xf>
    <xf numFmtId="3" fontId="27" fillId="16" borderId="88" xfId="1" applyNumberFormat="1" applyFont="1" applyFill="1" applyBorder="1" applyAlignment="1">
      <alignment horizontal="right" vertical="center"/>
    </xf>
    <xf numFmtId="166" fontId="2" fillId="0" borderId="3" xfId="0" applyNumberFormat="1" applyFont="1" applyFill="1" applyBorder="1" applyAlignment="1">
      <alignment horizontal="right" vertical="center" wrapText="1"/>
    </xf>
    <xf numFmtId="166" fontId="2" fillId="0" borderId="45" xfId="0" applyNumberFormat="1" applyFont="1" applyFill="1" applyBorder="1" applyAlignment="1">
      <alignment horizontal="right" vertical="center"/>
    </xf>
    <xf numFmtId="166" fontId="2" fillId="0" borderId="6" xfId="0" applyNumberFormat="1" applyFont="1" applyFill="1" applyBorder="1" applyAlignment="1">
      <alignment horizontal="right" vertical="center" wrapText="1"/>
    </xf>
    <xf numFmtId="167" fontId="3" fillId="0" borderId="0" xfId="6" applyNumberFormat="1" applyFont="1" applyFill="1" applyBorder="1" applyAlignment="1">
      <alignment horizontal="right"/>
    </xf>
    <xf numFmtId="3" fontId="3" fillId="0" borderId="0" xfId="0" applyNumberFormat="1" applyFont="1"/>
    <xf numFmtId="43" fontId="3" fillId="0" borderId="0" xfId="6" applyFont="1" applyAlignment="1">
      <alignment vertical="center"/>
    </xf>
    <xf numFmtId="167" fontId="0" fillId="0" borderId="0" xfId="6" applyNumberFormat="1" applyFont="1" applyFill="1"/>
    <xf numFmtId="167" fontId="4" fillId="0" borderId="0" xfId="6" applyNumberFormat="1" applyFont="1"/>
    <xf numFmtId="166" fontId="3" fillId="0" borderId="10" xfId="0" applyNumberFormat="1" applyFont="1" applyFill="1" applyBorder="1" applyAlignment="1">
      <alignment horizontal="right" vertical="center" wrapText="1"/>
    </xf>
    <xf numFmtId="166" fontId="3" fillId="0" borderId="128" xfId="0" applyNumberFormat="1" applyFont="1" applyFill="1" applyBorder="1" applyAlignment="1">
      <alignment horizontal="right" vertical="center" wrapText="1"/>
    </xf>
    <xf numFmtId="166" fontId="3" fillId="0" borderId="5" xfId="0" applyNumberFormat="1" applyFont="1" applyFill="1" applyBorder="1" applyAlignment="1">
      <alignment horizontal="right" vertical="center"/>
    </xf>
    <xf numFmtId="0" fontId="33" fillId="0" borderId="0" xfId="0" applyFont="1" applyFill="1"/>
    <xf numFmtId="0" fontId="4" fillId="0" borderId="0" xfId="0" applyFont="1" applyBorder="1"/>
    <xf numFmtId="0" fontId="20" fillId="0" borderId="0" xfId="0" applyFont="1" applyBorder="1"/>
    <xf numFmtId="0" fontId="20" fillId="0" borderId="0" xfId="0" applyFont="1"/>
    <xf numFmtId="0" fontId="2" fillId="0" borderId="2" xfId="0" applyNumberFormat="1" applyFont="1" applyFill="1" applyBorder="1" applyAlignment="1">
      <alignment horizontal="center" vertical="center" wrapText="1"/>
    </xf>
    <xf numFmtId="43" fontId="0" fillId="0" borderId="0" xfId="6" applyFont="1" applyFill="1"/>
    <xf numFmtId="167" fontId="35" fillId="0" borderId="0" xfId="6" applyNumberFormat="1" applyFont="1" applyFill="1"/>
    <xf numFmtId="0" fontId="55" fillId="0" borderId="0" xfId="0" applyFont="1" applyFill="1"/>
    <xf numFmtId="0" fontId="0" fillId="0" borderId="0" xfId="0" applyFill="1" applyAlignment="1">
      <alignment horizontal="right" vertical="center"/>
    </xf>
    <xf numFmtId="172" fontId="3" fillId="0" borderId="45" xfId="0" applyNumberFormat="1" applyFont="1" applyFill="1" applyBorder="1" applyAlignment="1">
      <alignment horizontal="right" vertical="center"/>
    </xf>
    <xf numFmtId="166" fontId="3" fillId="0" borderId="21" xfId="0" applyNumberFormat="1" applyFont="1" applyFill="1" applyBorder="1" applyAlignment="1">
      <alignment horizontal="right" vertical="center"/>
    </xf>
    <xf numFmtId="166" fontId="3" fillId="0" borderId="73" xfId="0" applyNumberFormat="1" applyFont="1" applyFill="1" applyBorder="1" applyAlignment="1">
      <alignment horizontal="right" vertical="center"/>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2" fillId="4" borderId="1" xfId="0" applyFont="1" applyFill="1" applyBorder="1" applyAlignment="1">
      <alignment horizontal="justify" vertical="center" wrapText="1"/>
    </xf>
    <xf numFmtId="43" fontId="0" fillId="0" borderId="0" xfId="0" applyNumberFormat="1" applyBorder="1"/>
    <xf numFmtId="3" fontId="2" fillId="0" borderId="7" xfId="0" applyNumberFormat="1" applyFont="1" applyFill="1" applyBorder="1" applyAlignment="1">
      <alignment horizontal="center" vertical="center" wrapText="1"/>
    </xf>
    <xf numFmtId="44" fontId="3" fillId="0" borderId="0" xfId="7" applyFont="1" applyFill="1"/>
    <xf numFmtId="0" fontId="2" fillId="0" borderId="6" xfId="0" applyFont="1" applyFill="1" applyBorder="1" applyAlignment="1">
      <alignment horizontal="left" vertical="center" wrapText="1"/>
    </xf>
    <xf numFmtId="0" fontId="20" fillId="14" borderId="11" xfId="0" applyFont="1" applyFill="1" applyBorder="1" applyAlignment="1">
      <alignment horizontal="center" vertical="center" wrapText="1"/>
    </xf>
    <xf numFmtId="42" fontId="35" fillId="0" borderId="0" xfId="0" applyNumberFormat="1" applyFont="1"/>
    <xf numFmtId="166" fontId="3" fillId="4" borderId="8" xfId="0" applyNumberFormat="1" applyFont="1" applyFill="1" applyBorder="1" applyAlignment="1">
      <alignment horizontal="right" vertical="center" wrapText="1"/>
    </xf>
    <xf numFmtId="166" fontId="3" fillId="41" borderId="8" xfId="0" applyNumberFormat="1" applyFont="1" applyFill="1" applyBorder="1" applyAlignment="1">
      <alignment horizontal="right" vertical="center" wrapText="1"/>
    </xf>
    <xf numFmtId="0" fontId="0" fillId="0" borderId="0" xfId="0" applyAlignment="1">
      <alignment horizontal="left" vertical="center"/>
    </xf>
    <xf numFmtId="167" fontId="2" fillId="5" borderId="80" xfId="6" applyNumberFormat="1" applyFont="1" applyFill="1" applyBorder="1" applyAlignment="1">
      <alignment horizontal="justify" vertical="center" wrapText="1"/>
    </xf>
    <xf numFmtId="167" fontId="2" fillId="16" borderId="74" xfId="6" applyNumberFormat="1" applyFont="1" applyFill="1" applyBorder="1" applyAlignment="1">
      <alignment horizontal="justify" vertical="center" wrapText="1"/>
    </xf>
    <xf numFmtId="167" fontId="2" fillId="33" borderId="52" xfId="6" applyNumberFormat="1" applyFont="1" applyFill="1" applyBorder="1" applyAlignment="1">
      <alignment horizontal="right" vertical="center" wrapText="1"/>
    </xf>
    <xf numFmtId="3" fontId="17" fillId="14" borderId="41" xfId="0" applyNumberFormat="1" applyFont="1" applyFill="1" applyBorder="1" applyAlignment="1">
      <alignment horizontal="center" vertical="center"/>
    </xf>
    <xf numFmtId="166" fontId="17" fillId="4" borderId="13" xfId="0" applyNumberFormat="1" applyFont="1" applyFill="1" applyBorder="1" applyAlignment="1">
      <alignment horizontal="center" vertical="center"/>
    </xf>
    <xf numFmtId="167" fontId="3" fillId="33" borderId="45" xfId="6" applyNumberFormat="1" applyFont="1" applyFill="1" applyBorder="1" applyAlignment="1">
      <alignment horizontal="right"/>
    </xf>
    <xf numFmtId="166" fontId="20" fillId="4" borderId="38" xfId="8" applyNumberFormat="1" applyFont="1" applyFill="1" applyBorder="1" applyAlignment="1">
      <alignment horizontal="right"/>
    </xf>
    <xf numFmtId="166" fontId="20" fillId="4" borderId="11" xfId="8" applyNumberFormat="1" applyFont="1" applyFill="1" applyBorder="1" applyAlignment="1">
      <alignment horizontal="right"/>
    </xf>
    <xf numFmtId="166" fontId="17" fillId="4" borderId="37" xfId="0" applyNumberFormat="1" applyFont="1" applyFill="1" applyBorder="1"/>
    <xf numFmtId="166" fontId="17" fillId="4" borderId="38" xfId="0" applyNumberFormat="1" applyFont="1" applyFill="1" applyBorder="1" applyAlignment="1">
      <alignment horizontal="center" vertical="center"/>
    </xf>
    <xf numFmtId="166" fontId="0" fillId="4" borderId="11" xfId="0" applyNumberFormat="1" applyFill="1" applyBorder="1" applyAlignment="1">
      <alignment horizontal="right"/>
    </xf>
    <xf numFmtId="166" fontId="3" fillId="0" borderId="6" xfId="0" applyNumberFormat="1" applyFont="1" applyFill="1" applyBorder="1" applyAlignment="1">
      <alignment horizontal="center" vertical="center"/>
    </xf>
    <xf numFmtId="170" fontId="3" fillId="0" borderId="0" xfId="7" applyNumberFormat="1" applyFont="1" applyFill="1"/>
    <xf numFmtId="166" fontId="44" fillId="18" borderId="51" xfId="0" applyNumberFormat="1" applyFont="1" applyFill="1" applyBorder="1" applyAlignment="1">
      <alignment horizontal="center" vertical="center" wrapText="1"/>
    </xf>
    <xf numFmtId="166" fontId="44" fillId="18" borderId="42" xfId="0" applyNumberFormat="1" applyFont="1" applyFill="1" applyBorder="1" applyAlignment="1">
      <alignment horizontal="center" vertical="center" wrapText="1"/>
    </xf>
    <xf numFmtId="166" fontId="3" fillId="16" borderId="3" xfId="0" applyNumberFormat="1" applyFont="1" applyFill="1" applyBorder="1" applyAlignment="1">
      <alignment horizontal="center" vertical="center"/>
    </xf>
    <xf numFmtId="166" fontId="3" fillId="0" borderId="19" xfId="0" applyNumberFormat="1" applyFont="1" applyFill="1" applyBorder="1" applyAlignment="1">
      <alignment horizontal="center" vertical="center"/>
    </xf>
    <xf numFmtId="166" fontId="3" fillId="0" borderId="20" xfId="0" applyNumberFormat="1" applyFont="1" applyFill="1" applyBorder="1" applyAlignment="1">
      <alignment horizontal="center" vertical="center"/>
    </xf>
    <xf numFmtId="166" fontId="3" fillId="0" borderId="21" xfId="0" applyNumberFormat="1" applyFont="1" applyFill="1" applyBorder="1" applyAlignment="1">
      <alignment horizontal="center" vertical="center"/>
    </xf>
    <xf numFmtId="166" fontId="3" fillId="16" borderId="85" xfId="0" applyNumberFormat="1" applyFont="1" applyFill="1" applyBorder="1" applyAlignment="1">
      <alignment horizontal="center" vertical="center"/>
    </xf>
    <xf numFmtId="166" fontId="4" fillId="16" borderId="85" xfId="0" applyNumberFormat="1" applyFont="1" applyFill="1" applyBorder="1" applyAlignment="1">
      <alignment horizontal="center" vertical="center"/>
    </xf>
    <xf numFmtId="0" fontId="0" fillId="0" borderId="2" xfId="0" applyFill="1" applyBorder="1"/>
    <xf numFmtId="0" fontId="0" fillId="0" borderId="20" xfId="0" applyFill="1" applyBorder="1"/>
    <xf numFmtId="170" fontId="0" fillId="0" borderId="0" xfId="0" applyNumberFormat="1"/>
    <xf numFmtId="166" fontId="0" fillId="0" borderId="2"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42" fontId="2" fillId="0" borderId="0" xfId="8" applyFont="1" applyFill="1" applyBorder="1"/>
    <xf numFmtId="0" fontId="7" fillId="0" borderId="2" xfId="0" applyFont="1" applyFill="1" applyBorder="1" applyAlignment="1">
      <alignment horizontal="left" vertical="center" wrapText="1"/>
    </xf>
    <xf numFmtId="0" fontId="7" fillId="0" borderId="2" xfId="0" applyFont="1" applyFill="1" applyBorder="1" applyAlignment="1">
      <alignment vertical="center" wrapText="1"/>
    </xf>
    <xf numFmtId="0" fontId="16" fillId="0" borderId="2" xfId="0" applyFont="1" applyFill="1" applyBorder="1"/>
    <xf numFmtId="0" fontId="16" fillId="0" borderId="2" xfId="0" applyFont="1" applyFill="1" applyBorder="1" applyAlignment="1">
      <alignment wrapText="1"/>
    </xf>
    <xf numFmtId="0" fontId="2" fillId="0" borderId="6" xfId="0" applyFont="1" applyFill="1" applyBorder="1" applyAlignment="1">
      <alignment horizontal="left" vertical="center" wrapText="1"/>
    </xf>
    <xf numFmtId="0" fontId="2" fillId="0" borderId="22" xfId="0" applyFont="1" applyFill="1" applyBorder="1" applyAlignment="1">
      <alignment horizontal="left" vertical="center" wrapText="1"/>
    </xf>
    <xf numFmtId="42" fontId="3" fillId="0" borderId="7" xfId="8" applyNumberFormat="1" applyFont="1" applyFill="1" applyBorder="1" applyAlignment="1">
      <alignment horizontal="center" vertical="center"/>
    </xf>
    <xf numFmtId="42" fontId="3" fillId="0" borderId="45" xfId="8" applyNumberFormat="1" applyFont="1" applyFill="1" applyBorder="1" applyAlignment="1">
      <alignment horizontal="center" vertical="center"/>
    </xf>
    <xf numFmtId="3" fontId="2" fillId="0" borderId="22" xfId="0" applyNumberFormat="1" applyFont="1" applyFill="1" applyBorder="1" applyAlignment="1">
      <alignment horizontal="center" vertical="center" wrapText="1"/>
    </xf>
    <xf numFmtId="3" fontId="2" fillId="0" borderId="0" xfId="0" applyNumberFormat="1" applyFont="1" applyFill="1" applyBorder="1" applyAlignment="1">
      <alignment horizontal="center"/>
    </xf>
    <xf numFmtId="42" fontId="3" fillId="0" borderId="2" xfId="0" applyNumberFormat="1" applyFont="1" applyFill="1" applyBorder="1" applyAlignment="1">
      <alignment horizontal="center" vertical="center" wrapText="1"/>
    </xf>
    <xf numFmtId="0" fontId="2" fillId="0" borderId="129" xfId="0" applyFont="1" applyFill="1" applyBorder="1"/>
    <xf numFmtId="41" fontId="14" fillId="17" borderId="2" xfId="1" applyNumberFormat="1" applyFont="1" applyFill="1" applyBorder="1" applyAlignment="1">
      <alignment horizontal="center" vertical="center"/>
    </xf>
    <xf numFmtId="0" fontId="2" fillId="16" borderId="22" xfId="0" applyFont="1" applyFill="1" applyBorder="1" applyAlignment="1">
      <alignment horizontal="justify" vertical="center" wrapText="1"/>
    </xf>
    <xf numFmtId="0" fontId="3" fillId="16" borderId="7" xfId="0" applyFont="1" applyFill="1" applyBorder="1" applyAlignment="1">
      <alignment horizontal="center"/>
    </xf>
    <xf numFmtId="167" fontId="3" fillId="16" borderId="7" xfId="6" applyNumberFormat="1" applyFont="1" applyFill="1" applyBorder="1" applyAlignment="1">
      <alignment horizontal="center" vertical="center" wrapText="1"/>
    </xf>
    <xf numFmtId="170" fontId="3" fillId="16" borderId="10" xfId="7" applyNumberFormat="1" applyFont="1" applyFill="1" applyBorder="1" applyAlignment="1">
      <alignment horizontal="center" vertical="center" wrapText="1"/>
    </xf>
    <xf numFmtId="170" fontId="3" fillId="16" borderId="10" xfId="6" applyNumberFormat="1" applyFont="1" applyFill="1" applyBorder="1" applyAlignment="1">
      <alignment horizontal="center" vertical="center" wrapText="1"/>
    </xf>
    <xf numFmtId="167" fontId="3" fillId="16" borderId="18" xfId="6" applyNumberFormat="1" applyFont="1" applyFill="1" applyBorder="1" applyAlignment="1">
      <alignment horizontal="right"/>
    </xf>
    <xf numFmtId="41" fontId="14" fillId="17" borderId="9" xfId="1" applyNumberFormat="1" applyFont="1" applyFill="1" applyBorder="1" applyAlignment="1">
      <alignment horizontal="center" vertical="center"/>
    </xf>
    <xf numFmtId="3" fontId="27" fillId="16" borderId="9" xfId="1" applyNumberFormat="1" applyFont="1" applyFill="1" applyBorder="1" applyAlignment="1">
      <alignment horizontal="right" vertical="center"/>
    </xf>
    <xf numFmtId="3" fontId="14" fillId="16" borderId="9" xfId="1" applyNumberFormat="1" applyFont="1" applyFill="1" applyBorder="1" applyAlignment="1">
      <alignment horizontal="right" vertical="center"/>
    </xf>
    <xf numFmtId="3" fontId="27" fillId="17" borderId="9" xfId="1" applyNumberFormat="1" applyFont="1" applyFill="1" applyBorder="1" applyAlignment="1">
      <alignment horizontal="right" vertical="center"/>
    </xf>
    <xf numFmtId="3" fontId="14" fillId="17" borderId="9" xfId="1" applyNumberFormat="1" applyFont="1" applyFill="1" applyBorder="1" applyAlignment="1">
      <alignment horizontal="right" vertical="center"/>
    </xf>
    <xf numFmtId="3" fontId="14" fillId="32" borderId="9" xfId="1" applyNumberFormat="1" applyFont="1" applyFill="1" applyBorder="1" applyAlignment="1">
      <alignment horizontal="right" vertical="center"/>
    </xf>
    <xf numFmtId="3" fontId="40" fillId="28" borderId="84" xfId="0" applyNumberFormat="1" applyFont="1" applyFill="1" applyBorder="1"/>
    <xf numFmtId="41" fontId="14" fillId="17" borderId="82" xfId="1" applyNumberFormat="1" applyFont="1" applyFill="1" applyBorder="1" applyAlignment="1">
      <alignment horizontal="center" vertical="center"/>
    </xf>
    <xf numFmtId="41" fontId="14" fillId="17" borderId="81" xfId="1" applyNumberFormat="1" applyFont="1" applyFill="1" applyBorder="1" applyAlignment="1">
      <alignment horizontal="center" vertical="center"/>
    </xf>
    <xf numFmtId="3" fontId="27" fillId="16" borderId="81" xfId="1" applyNumberFormat="1" applyFont="1" applyFill="1" applyBorder="1" applyAlignment="1">
      <alignment horizontal="center" vertical="center"/>
    </xf>
    <xf numFmtId="3" fontId="14" fillId="16" borderId="81" xfId="1" applyNumberFormat="1" applyFont="1" applyFill="1" applyBorder="1" applyAlignment="1">
      <alignment horizontal="center" vertical="center"/>
    </xf>
    <xf numFmtId="41" fontId="27" fillId="17" borderId="81" xfId="1" applyNumberFormat="1" applyFont="1" applyFill="1" applyBorder="1" applyAlignment="1">
      <alignment horizontal="center" vertical="center"/>
    </xf>
    <xf numFmtId="41" fontId="14" fillId="17" borderId="81" xfId="1" applyNumberFormat="1" applyFont="1" applyFill="1" applyBorder="1" applyAlignment="1">
      <alignment horizontal="center" vertical="center" wrapText="1"/>
    </xf>
    <xf numFmtId="41" fontId="14" fillId="32" borderId="81" xfId="1" applyNumberFormat="1" applyFont="1" applyFill="1" applyBorder="1" applyAlignment="1">
      <alignment horizontal="center" vertical="center"/>
    </xf>
    <xf numFmtId="3" fontId="14" fillId="16" borderId="81" xfId="1" applyNumberFormat="1" applyFont="1" applyFill="1" applyBorder="1" applyAlignment="1">
      <alignment horizontal="center" vertical="center" wrapText="1"/>
    </xf>
    <xf numFmtId="164" fontId="8" fillId="13" borderId="130" xfId="0" applyNumberFormat="1" applyFont="1" applyFill="1" applyBorder="1" applyAlignment="1">
      <alignment vertical="center"/>
    </xf>
    <xf numFmtId="41" fontId="14" fillId="17" borderId="72" xfId="1" applyNumberFormat="1" applyFont="1" applyFill="1" applyBorder="1" applyAlignment="1">
      <alignment horizontal="center" vertical="center"/>
    </xf>
    <xf numFmtId="3" fontId="27" fillId="16" borderId="72" xfId="1" applyNumberFormat="1" applyFont="1" applyFill="1" applyBorder="1" applyAlignment="1">
      <alignment horizontal="center" vertical="center"/>
    </xf>
    <xf numFmtId="3" fontId="14" fillId="16" borderId="72" xfId="1" applyNumberFormat="1" applyFont="1" applyFill="1" applyBorder="1" applyAlignment="1">
      <alignment horizontal="center" vertical="center"/>
    </xf>
    <xf numFmtId="41" fontId="27" fillId="17" borderId="72" xfId="1" applyNumberFormat="1" applyFont="1" applyFill="1" applyBorder="1" applyAlignment="1">
      <alignment horizontal="center" vertical="center"/>
    </xf>
    <xf numFmtId="41" fontId="14" fillId="32" borderId="72" xfId="1" applyNumberFormat="1" applyFont="1" applyFill="1" applyBorder="1" applyAlignment="1">
      <alignment horizontal="center" vertical="center"/>
    </xf>
    <xf numFmtId="164" fontId="8" fillId="13" borderId="73" xfId="0" applyNumberFormat="1" applyFont="1" applyFill="1" applyBorder="1" applyAlignment="1">
      <alignment vertical="center"/>
    </xf>
    <xf numFmtId="0" fontId="4" fillId="4" borderId="2" xfId="0" applyFont="1" applyFill="1" applyBorder="1" applyAlignment="1">
      <alignment horizontal="left" vertical="center" wrapText="1"/>
    </xf>
    <xf numFmtId="167" fontId="3" fillId="0" borderId="8" xfId="58" applyNumberFormat="1" applyFont="1" applyFill="1" applyBorder="1" applyAlignment="1">
      <alignment horizontal="center" vertical="center" wrapText="1"/>
    </xf>
    <xf numFmtId="167" fontId="3" fillId="0" borderId="2" xfId="58" applyNumberFormat="1" applyFont="1" applyFill="1" applyBorder="1" applyAlignment="1">
      <alignment horizontal="center" vertical="center" wrapText="1"/>
    </xf>
    <xf numFmtId="167" fontId="3" fillId="0" borderId="18" xfId="58" applyNumberFormat="1" applyFont="1" applyFill="1" applyBorder="1" applyAlignment="1">
      <alignment horizontal="justify" vertical="center"/>
    </xf>
    <xf numFmtId="167" fontId="3" fillId="0" borderId="72" xfId="58" applyNumberFormat="1" applyFont="1" applyFill="1" applyBorder="1" applyAlignment="1">
      <alignment horizontal="center" vertical="center" wrapText="1"/>
    </xf>
    <xf numFmtId="167" fontId="2" fillId="0" borderId="8" xfId="6" applyNumberFormat="1" applyFont="1" applyFill="1" applyBorder="1" applyAlignment="1">
      <alignment horizontal="right" vertical="center"/>
    </xf>
    <xf numFmtId="167" fontId="2" fillId="0" borderId="2" xfId="6" applyNumberFormat="1" applyFont="1" applyFill="1" applyBorder="1" applyAlignment="1">
      <alignment horizontal="right" vertical="center"/>
    </xf>
    <xf numFmtId="167" fontId="2" fillId="0" borderId="85" xfId="6" applyNumberFormat="1" applyFont="1" applyFill="1" applyBorder="1" applyAlignment="1">
      <alignment horizontal="right" vertical="center"/>
    </xf>
    <xf numFmtId="167" fontId="2" fillId="0" borderId="2" xfId="6" applyNumberFormat="1" applyFont="1" applyFill="1" applyBorder="1" applyAlignment="1">
      <alignment horizontal="right"/>
    </xf>
    <xf numFmtId="167" fontId="2" fillId="0" borderId="2" xfId="6" applyNumberFormat="1" applyFont="1" applyFill="1" applyBorder="1" applyAlignment="1">
      <alignment horizontal="justify" vertical="center"/>
    </xf>
    <xf numFmtId="0" fontId="2" fillId="0" borderId="7" xfId="0" applyFont="1" applyFill="1" applyBorder="1"/>
    <xf numFmtId="167" fontId="2" fillId="0" borderId="10" xfId="6" applyNumberFormat="1" applyFont="1" applyFill="1" applyBorder="1" applyAlignment="1">
      <alignment horizontal="center" vertical="center" wrapText="1"/>
    </xf>
    <xf numFmtId="167" fontId="2" fillId="0" borderId="7" xfId="6" applyNumberFormat="1" applyFont="1" applyFill="1" applyBorder="1" applyAlignment="1">
      <alignment horizontal="center" vertical="center" wrapText="1"/>
    </xf>
    <xf numFmtId="167" fontId="2" fillId="0" borderId="23" xfId="6" applyNumberFormat="1" applyFont="1" applyFill="1" applyBorder="1" applyAlignment="1">
      <alignment horizontal="justify" vertical="center"/>
    </xf>
    <xf numFmtId="0" fontId="3" fillId="3" borderId="0" xfId="0" applyFont="1" applyFill="1" applyAlignment="1">
      <alignment horizontal="center" vertical="center"/>
    </xf>
    <xf numFmtId="0" fontId="3" fillId="0" borderId="2" xfId="0" applyFont="1" applyFill="1" applyBorder="1" applyAlignment="1">
      <alignment horizontal="left" vertical="center" wrapText="1"/>
    </xf>
    <xf numFmtId="0" fontId="3" fillId="0" borderId="0" xfId="0" applyFont="1" applyFill="1" applyAlignment="1">
      <alignment horizontal="center" vertical="center"/>
    </xf>
    <xf numFmtId="0" fontId="16" fillId="3" borderId="0" xfId="0" applyFont="1" applyFill="1" applyAlignment="1">
      <alignment horizontal="center" vertical="center"/>
    </xf>
    <xf numFmtId="0" fontId="3" fillId="4" borderId="0" xfId="0" applyFont="1" applyFill="1" applyAlignment="1">
      <alignment horizontal="center" vertical="center"/>
    </xf>
    <xf numFmtId="0" fontId="3" fillId="4" borderId="2" xfId="0" applyFont="1" applyFill="1" applyBorder="1" applyAlignment="1">
      <alignment horizontal="left" vertical="center" wrapText="1"/>
    </xf>
    <xf numFmtId="0" fontId="0" fillId="0" borderId="0" xfId="0" applyBorder="1" applyAlignment="1">
      <alignment horizontal="center"/>
    </xf>
    <xf numFmtId="174" fontId="0" fillId="13" borderId="2" xfId="6" applyNumberFormat="1" applyFont="1" applyFill="1" applyBorder="1"/>
    <xf numFmtId="174" fontId="0" fillId="0" borderId="2" xfId="6" applyNumberFormat="1" applyFont="1" applyBorder="1"/>
    <xf numFmtId="174" fontId="0" fillId="0" borderId="0" xfId="0" applyNumberFormat="1"/>
    <xf numFmtId="174" fontId="0" fillId="0" borderId="0" xfId="6" applyNumberFormat="1" applyFont="1"/>
    <xf numFmtId="174" fontId="0" fillId="0" borderId="0" xfId="5" applyNumberFormat="1" applyFont="1"/>
    <xf numFmtId="44" fontId="3" fillId="0" borderId="0" xfId="7" applyFont="1"/>
    <xf numFmtId="167" fontId="3" fillId="0" borderId="72" xfId="6" applyNumberFormat="1" applyFont="1" applyFill="1" applyBorder="1" applyAlignment="1">
      <alignment horizontal="center" wrapText="1"/>
    </xf>
    <xf numFmtId="0" fontId="3" fillId="0" borderId="0" xfId="0" applyFont="1" applyFill="1" applyAlignment="1">
      <alignment wrapText="1"/>
    </xf>
    <xf numFmtId="166" fontId="0" fillId="0" borderId="0" xfId="7" applyNumberFormat="1" applyFont="1" applyFill="1"/>
    <xf numFmtId="0" fontId="2" fillId="0" borderId="3" xfId="0" applyFont="1" applyFill="1" applyBorder="1"/>
    <xf numFmtId="0" fontId="2" fillId="0" borderId="3" xfId="0" applyFont="1" applyFill="1" applyBorder="1" applyAlignment="1">
      <alignment horizontal="center"/>
    </xf>
    <xf numFmtId="167" fontId="2" fillId="0" borderId="3" xfId="6" applyNumberFormat="1" applyFont="1" applyFill="1" applyBorder="1" applyAlignment="1">
      <alignment horizontal="center" vertical="center" wrapText="1"/>
    </xf>
    <xf numFmtId="167" fontId="2" fillId="0" borderId="45" xfId="6" applyNumberFormat="1" applyFont="1" applyFill="1" applyBorder="1" applyAlignment="1">
      <alignment horizontal="justify" vertical="center"/>
    </xf>
    <xf numFmtId="0" fontId="2" fillId="0" borderId="0" xfId="0" applyFont="1" applyFill="1" applyAlignment="1">
      <alignment wrapText="1"/>
    </xf>
    <xf numFmtId="167" fontId="2" fillId="0" borderId="85" xfId="6" applyNumberFormat="1" applyFont="1" applyFill="1" applyBorder="1" applyAlignment="1">
      <alignment horizontal="center" wrapText="1"/>
    </xf>
    <xf numFmtId="167" fontId="2" fillId="0" borderId="0" xfId="0" applyNumberFormat="1" applyFont="1" applyFill="1"/>
    <xf numFmtId="167" fontId="3" fillId="0" borderId="0" xfId="61" applyNumberFormat="1" applyFont="1" applyFill="1" applyBorder="1" applyAlignment="1">
      <alignment horizontal="center" vertical="center" wrapText="1"/>
    </xf>
    <xf numFmtId="167" fontId="3" fillId="0" borderId="76" xfId="6" applyNumberFormat="1" applyFont="1" applyFill="1" applyBorder="1" applyAlignment="1">
      <alignment horizontal="right" vertical="center"/>
    </xf>
    <xf numFmtId="167" fontId="3" fillId="0" borderId="3" xfId="6" applyNumberFormat="1" applyFont="1" applyFill="1" applyBorder="1" applyAlignment="1">
      <alignment horizontal="right" vertical="center"/>
    </xf>
    <xf numFmtId="167" fontId="3" fillId="0" borderId="85" xfId="6" applyNumberFormat="1" applyFont="1" applyFill="1" applyBorder="1" applyAlignment="1">
      <alignment horizontal="right" vertical="center"/>
    </xf>
    <xf numFmtId="167" fontId="3" fillId="0" borderId="8" xfId="61" applyNumberFormat="1" applyFont="1" applyFill="1" applyBorder="1" applyAlignment="1">
      <alignment horizontal="center" vertical="center" wrapText="1"/>
    </xf>
    <xf numFmtId="167" fontId="3" fillId="0" borderId="18" xfId="61" applyNumberFormat="1" applyFont="1" applyFill="1" applyBorder="1" applyAlignment="1">
      <alignment horizontal="justify" vertical="center"/>
    </xf>
    <xf numFmtId="167" fontId="3" fillId="0" borderId="0" xfId="0" applyNumberFormat="1" applyFont="1" applyFill="1" applyBorder="1" applyAlignment="1">
      <alignment horizontal="right" vertical="center" wrapText="1"/>
    </xf>
    <xf numFmtId="166" fontId="2" fillId="0" borderId="8" xfId="0" applyNumberFormat="1" applyFont="1" applyFill="1" applyBorder="1" applyAlignment="1">
      <alignment horizontal="center" vertical="center" wrapText="1"/>
    </xf>
    <xf numFmtId="170" fontId="2" fillId="0" borderId="8" xfId="7" applyNumberFormat="1" applyFont="1" applyFill="1" applyBorder="1" applyAlignment="1">
      <alignment horizontal="center" vertical="center" wrapText="1"/>
    </xf>
    <xf numFmtId="167" fontId="2" fillId="0" borderId="0" xfId="6" applyNumberFormat="1" applyFont="1" applyFill="1"/>
    <xf numFmtId="3" fontId="3" fillId="41" borderId="2" xfId="0" applyNumberFormat="1" applyFont="1" applyFill="1" applyBorder="1" applyAlignment="1">
      <alignment horizontal="right" vertical="center" wrapText="1"/>
    </xf>
    <xf numFmtId="44" fontId="17" fillId="0" borderId="0" xfId="7" applyFont="1" applyFill="1"/>
    <xf numFmtId="0" fontId="4" fillId="0" borderId="0" xfId="0" applyFont="1" applyFill="1"/>
    <xf numFmtId="167" fontId="3" fillId="0" borderId="2" xfId="61" applyNumberFormat="1" applyFont="1" applyFill="1" applyBorder="1" applyAlignment="1">
      <alignment horizontal="center" vertical="center" wrapText="1"/>
    </xf>
    <xf numFmtId="167" fontId="2" fillId="3" borderId="85" xfId="6" applyNumberFormat="1" applyFont="1" applyFill="1" applyBorder="1" applyAlignment="1">
      <alignment horizontal="right" vertical="center"/>
    </xf>
    <xf numFmtId="167" fontId="3" fillId="3" borderId="85" xfId="6" applyNumberFormat="1" applyFont="1" applyFill="1" applyBorder="1" applyAlignment="1">
      <alignment horizontal="right" vertical="center"/>
    </xf>
    <xf numFmtId="44" fontId="3" fillId="0" borderId="0" xfId="0" applyNumberFormat="1" applyFont="1"/>
    <xf numFmtId="167" fontId="3" fillId="0" borderId="0" xfId="0" applyNumberFormat="1" applyFont="1"/>
    <xf numFmtId="44" fontId="3" fillId="0" borderId="0" xfId="0" applyNumberFormat="1" applyFont="1" applyFill="1"/>
    <xf numFmtId="167" fontId="2" fillId="0" borderId="72" xfId="6" applyNumberFormat="1" applyFont="1" applyBorder="1" applyAlignment="1">
      <alignment horizontal="right"/>
    </xf>
    <xf numFmtId="167" fontId="2" fillId="0" borderId="72" xfId="6" applyNumberFormat="1" applyFont="1" applyBorder="1" applyAlignment="1">
      <alignment horizontal="right" vertical="center"/>
    </xf>
    <xf numFmtId="167" fontId="2" fillId="0" borderId="72" xfId="6" applyNumberFormat="1" applyFont="1" applyFill="1" applyBorder="1" applyAlignment="1">
      <alignment horizontal="right"/>
    </xf>
    <xf numFmtId="167" fontId="2" fillId="0" borderId="72" xfId="6" applyNumberFormat="1" applyFont="1" applyFill="1" applyBorder="1" applyAlignment="1">
      <alignment horizontal="justify" vertical="center"/>
    </xf>
    <xf numFmtId="170" fontId="35" fillId="0" borderId="0" xfId="7" applyNumberFormat="1" applyFont="1" applyFill="1"/>
    <xf numFmtId="170" fontId="3" fillId="0" borderId="0" xfId="0" applyNumberFormat="1" applyFont="1"/>
    <xf numFmtId="167" fontId="3" fillId="0" borderId="72" xfId="61" applyNumberFormat="1" applyFont="1" applyFill="1" applyBorder="1" applyAlignment="1">
      <alignment horizontal="center" vertical="center" wrapText="1"/>
    </xf>
    <xf numFmtId="167" fontId="4" fillId="0" borderId="0" xfId="0" applyNumberFormat="1" applyFont="1" applyFill="1"/>
    <xf numFmtId="170" fontId="2" fillId="18" borderId="37" xfId="7" applyNumberFormat="1" applyFont="1" applyFill="1" applyBorder="1" applyAlignment="1">
      <alignment horizontal="center" vertical="center" wrapText="1"/>
    </xf>
    <xf numFmtId="170" fontId="2" fillId="18" borderId="38" xfId="7" applyNumberFormat="1" applyFont="1" applyFill="1" applyBorder="1" applyAlignment="1">
      <alignment horizontal="center" vertical="center" wrapText="1"/>
    </xf>
    <xf numFmtId="170" fontId="3" fillId="0" borderId="0" xfId="7" applyNumberFormat="1" applyFont="1"/>
    <xf numFmtId="170" fontId="2" fillId="18" borderId="11" xfId="7" applyNumberFormat="1" applyFont="1" applyFill="1" applyBorder="1" applyAlignment="1">
      <alignment horizontal="center" vertical="center" wrapText="1"/>
    </xf>
    <xf numFmtId="170" fontId="2" fillId="16" borderId="5" xfId="7" applyNumberFormat="1" applyFont="1" applyFill="1" applyBorder="1" applyAlignment="1">
      <alignment horizontal="center" vertical="center" wrapText="1"/>
    </xf>
    <xf numFmtId="170" fontId="2" fillId="16" borderId="43" xfId="7" applyNumberFormat="1" applyFont="1" applyFill="1" applyBorder="1" applyAlignment="1">
      <alignment horizontal="center" vertical="center" wrapText="1"/>
    </xf>
    <xf numFmtId="170" fontId="2" fillId="16" borderId="75" xfId="7" applyNumberFormat="1" applyFont="1" applyFill="1" applyBorder="1" applyAlignment="1">
      <alignment horizontal="center" vertical="center" wrapText="1"/>
    </xf>
    <xf numFmtId="170" fontId="3" fillId="0" borderId="2" xfId="7" applyNumberFormat="1" applyFont="1" applyFill="1" applyBorder="1" applyAlignment="1">
      <alignment horizontal="right" vertical="center" wrapText="1"/>
    </xf>
    <xf numFmtId="170" fontId="3" fillId="0" borderId="18" xfId="7" applyNumberFormat="1" applyFont="1" applyFill="1" applyBorder="1" applyAlignment="1">
      <alignment horizontal="center" vertical="center" wrapText="1"/>
    </xf>
    <xf numFmtId="170" fontId="3" fillId="0" borderId="72" xfId="7" applyNumberFormat="1" applyFont="1" applyFill="1" applyBorder="1" applyAlignment="1">
      <alignment horizontal="center" vertical="center" wrapText="1"/>
    </xf>
    <xf numFmtId="170" fontId="3" fillId="0" borderId="2" xfId="7" applyNumberFormat="1" applyFont="1" applyFill="1" applyBorder="1" applyAlignment="1">
      <alignment horizontal="center" vertical="center" wrapText="1"/>
    </xf>
    <xf numFmtId="170" fontId="3" fillId="18" borderId="37" xfId="7" applyNumberFormat="1" applyFont="1" applyFill="1" applyBorder="1" applyAlignment="1">
      <alignment horizontal="center" vertical="center" wrapText="1"/>
    </xf>
    <xf numFmtId="170" fontId="3" fillId="18" borderId="38" xfId="7" applyNumberFormat="1" applyFont="1" applyFill="1" applyBorder="1" applyAlignment="1">
      <alignment horizontal="center" vertical="center" wrapText="1"/>
    </xf>
    <xf numFmtId="170" fontId="3" fillId="18" borderId="11" xfId="7" applyNumberFormat="1" applyFont="1" applyFill="1" applyBorder="1" applyAlignment="1">
      <alignment horizontal="center" vertical="center" wrapText="1"/>
    </xf>
    <xf numFmtId="0" fontId="3" fillId="4" borderId="0" xfId="0" applyFont="1" applyFill="1"/>
    <xf numFmtId="42" fontId="0" fillId="0" borderId="0" xfId="0" applyNumberFormat="1" applyAlignment="1"/>
    <xf numFmtId="3" fontId="4" fillId="0" borderId="0" xfId="0" applyNumberFormat="1" applyFont="1" applyFill="1"/>
    <xf numFmtId="44" fontId="0" fillId="0" borderId="0" xfId="7" applyFont="1" applyAlignment="1">
      <alignment horizontal="right" vertical="center"/>
    </xf>
    <xf numFmtId="44" fontId="0" fillId="0" borderId="0" xfId="7" applyFont="1" applyAlignment="1">
      <alignment vertical="center"/>
    </xf>
    <xf numFmtId="44" fontId="0" fillId="0" borderId="0" xfId="7" applyFont="1" applyFill="1" applyBorder="1" applyAlignment="1">
      <alignment vertical="center"/>
    </xf>
    <xf numFmtId="3" fontId="0" fillId="42" borderId="0" xfId="0" applyNumberFormat="1" applyFill="1"/>
    <xf numFmtId="173" fontId="3" fillId="0" borderId="0" xfId="0" applyNumberFormat="1" applyFont="1"/>
    <xf numFmtId="42" fontId="2" fillId="15" borderId="37" xfId="8" applyNumberFormat="1" applyFont="1" applyFill="1" applyBorder="1" applyAlignment="1">
      <alignment horizontal="right" vertical="center" wrapText="1"/>
    </xf>
    <xf numFmtId="42" fontId="2" fillId="15" borderId="38" xfId="8" applyNumberFormat="1" applyFont="1" applyFill="1" applyBorder="1" applyAlignment="1">
      <alignment horizontal="right" vertical="center" wrapText="1"/>
    </xf>
    <xf numFmtId="42" fontId="2" fillId="16" borderId="25" xfId="8" applyNumberFormat="1" applyFont="1" applyFill="1" applyBorder="1" applyAlignment="1">
      <alignment horizontal="right" vertical="center" wrapText="1"/>
    </xf>
    <xf numFmtId="42" fontId="2" fillId="16" borderId="26" xfId="8" applyNumberFormat="1" applyFont="1" applyFill="1" applyBorder="1" applyAlignment="1">
      <alignment horizontal="right" vertical="center" wrapText="1"/>
    </xf>
    <xf numFmtId="42" fontId="2" fillId="0" borderId="2" xfId="8" applyNumberFormat="1" applyFont="1" applyFill="1" applyBorder="1" applyAlignment="1">
      <alignment horizontal="right" vertical="center" wrapText="1"/>
    </xf>
    <xf numFmtId="42" fontId="2" fillId="0" borderId="18" xfId="8" applyNumberFormat="1" applyFont="1" applyFill="1" applyBorder="1" applyAlignment="1">
      <alignment horizontal="right" vertical="center" wrapText="1"/>
    </xf>
    <xf numFmtId="42" fontId="2" fillId="16" borderId="2" xfId="8" applyNumberFormat="1" applyFont="1" applyFill="1" applyBorder="1" applyAlignment="1">
      <alignment horizontal="right" vertical="center" wrapText="1"/>
    </xf>
    <xf numFmtId="42" fontId="2" fillId="16" borderId="18" xfId="8" applyNumberFormat="1" applyFont="1" applyFill="1" applyBorder="1" applyAlignment="1">
      <alignment horizontal="right" vertical="center" wrapText="1"/>
    </xf>
    <xf numFmtId="42" fontId="16" fillId="0" borderId="0" xfId="0" applyNumberFormat="1" applyFont="1" applyFill="1" applyBorder="1" applyAlignment="1">
      <alignment horizontal="right" vertical="center"/>
    </xf>
    <xf numFmtId="42" fontId="3" fillId="0" borderId="18" xfId="0" applyNumberFormat="1" applyFont="1" applyFill="1" applyBorder="1" applyAlignment="1">
      <alignment horizontal="right" vertical="center" wrapText="1"/>
    </xf>
    <xf numFmtId="42" fontId="2" fillId="0" borderId="3" xfId="8" applyNumberFormat="1" applyFont="1" applyFill="1" applyBorder="1" applyAlignment="1">
      <alignment horizontal="right" vertical="center" wrapText="1"/>
    </xf>
    <xf numFmtId="42" fontId="2" fillId="0" borderId="45" xfId="8" applyNumberFormat="1" applyFont="1" applyFill="1" applyBorder="1" applyAlignment="1">
      <alignment horizontal="right" vertical="center" wrapText="1"/>
    </xf>
    <xf numFmtId="42" fontId="2" fillId="5" borderId="37" xfId="8" applyNumberFormat="1" applyFont="1" applyFill="1" applyBorder="1" applyAlignment="1">
      <alignment horizontal="right" vertical="center" wrapText="1"/>
    </xf>
    <xf numFmtId="42" fontId="2" fillId="5" borderId="38" xfId="8" applyNumberFormat="1" applyFont="1" applyFill="1" applyBorder="1" applyAlignment="1">
      <alignment horizontal="right" vertical="center" wrapText="1"/>
    </xf>
    <xf numFmtId="42" fontId="2" fillId="16" borderId="5" xfId="8" applyNumberFormat="1" applyFont="1" applyFill="1" applyBorder="1" applyAlignment="1">
      <alignment horizontal="right" vertical="center" wrapText="1"/>
    </xf>
    <xf numFmtId="42" fontId="2" fillId="16" borderId="43" xfId="8" applyNumberFormat="1" applyFont="1" applyFill="1" applyBorder="1" applyAlignment="1">
      <alignment horizontal="right" vertical="center" wrapText="1"/>
    </xf>
    <xf numFmtId="42" fontId="2" fillId="33" borderId="20" xfId="8" applyNumberFormat="1" applyFont="1" applyFill="1" applyBorder="1" applyAlignment="1">
      <alignment horizontal="right" vertical="center" wrapText="1"/>
    </xf>
    <xf numFmtId="42" fontId="2" fillId="33" borderId="21" xfId="8" applyNumberFormat="1" applyFont="1" applyFill="1" applyBorder="1" applyAlignment="1">
      <alignment horizontal="right" vertical="center" wrapText="1"/>
    </xf>
    <xf numFmtId="173" fontId="2" fillId="16" borderId="1" xfId="8" applyNumberFormat="1" applyFont="1" applyFill="1" applyBorder="1" applyAlignment="1">
      <alignment horizontal="right" vertical="center" wrapText="1"/>
    </xf>
    <xf numFmtId="173" fontId="2" fillId="16" borderId="2" xfId="8" applyNumberFormat="1" applyFont="1" applyFill="1" applyBorder="1" applyAlignment="1">
      <alignment horizontal="right" vertical="center" wrapText="1"/>
    </xf>
    <xf numFmtId="173" fontId="2" fillId="16" borderId="18" xfId="8" applyNumberFormat="1" applyFont="1" applyFill="1" applyBorder="1" applyAlignment="1">
      <alignment horizontal="right" vertical="center" wrapText="1"/>
    </xf>
    <xf numFmtId="173" fontId="2" fillId="0" borderId="0" xfId="0" applyNumberFormat="1" applyFont="1" applyBorder="1"/>
    <xf numFmtId="173" fontId="20" fillId="4" borderId="11" xfId="8" applyNumberFormat="1" applyFont="1" applyFill="1" applyBorder="1" applyAlignment="1">
      <alignment horizontal="right"/>
    </xf>
    <xf numFmtId="173" fontId="2" fillId="0" borderId="0" xfId="0" applyNumberFormat="1" applyFont="1"/>
    <xf numFmtId="173" fontId="2" fillId="0" borderId="0" xfId="0" applyNumberFormat="1" applyFont="1" applyAlignment="1">
      <alignment horizontal="right"/>
    </xf>
    <xf numFmtId="0" fontId="10" fillId="16" borderId="6"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10" fillId="16" borderId="35" xfId="0" applyFont="1" applyFill="1" applyBorder="1" applyAlignment="1">
      <alignment horizontal="center" vertical="center" wrapText="1"/>
    </xf>
    <xf numFmtId="0" fontId="10" fillId="30" borderId="6" xfId="0" applyFont="1" applyFill="1" applyBorder="1" applyAlignment="1">
      <alignment horizontal="center" vertical="center" wrapText="1"/>
    </xf>
    <xf numFmtId="0" fontId="10" fillId="30" borderId="22" xfId="0" applyFont="1" applyFill="1" applyBorder="1" applyAlignment="1">
      <alignment horizontal="center" vertical="center" wrapText="1"/>
    </xf>
    <xf numFmtId="0" fontId="10" fillId="30" borderId="35" xfId="0" applyFont="1" applyFill="1" applyBorder="1" applyAlignment="1">
      <alignment horizontal="center" vertical="center" wrapText="1"/>
    </xf>
    <xf numFmtId="0" fontId="26" fillId="0" borderId="0" xfId="0" applyFont="1" applyAlignment="1">
      <alignment horizontal="center" vertical="center"/>
    </xf>
    <xf numFmtId="0" fontId="26" fillId="25" borderId="15" xfId="0" applyFont="1" applyFill="1" applyBorder="1" applyAlignment="1">
      <alignment horizontal="center" vertical="center"/>
    </xf>
    <xf numFmtId="0" fontId="26" fillId="25" borderId="16" xfId="0" applyFont="1" applyFill="1" applyBorder="1" applyAlignment="1">
      <alignment horizontal="center" vertical="center"/>
    </xf>
    <xf numFmtId="0" fontId="26" fillId="25" borderId="47" xfId="0" applyFont="1" applyFill="1" applyBorder="1" applyAlignment="1">
      <alignment horizontal="center" vertical="center"/>
    </xf>
    <xf numFmtId="0" fontId="10" fillId="16" borderId="3" xfId="0" applyFont="1" applyFill="1" applyBorder="1" applyAlignment="1">
      <alignment horizontal="left" vertical="center" wrapText="1"/>
    </xf>
    <xf numFmtId="0" fontId="10" fillId="16" borderId="7" xfId="0" applyFont="1" applyFill="1" applyBorder="1" applyAlignment="1">
      <alignment horizontal="left" vertical="center" wrapText="1"/>
    </xf>
    <xf numFmtId="0" fontId="10" fillId="16" borderId="5" xfId="0" applyFont="1" applyFill="1" applyBorder="1" applyAlignment="1">
      <alignment horizontal="left" vertical="center" wrapText="1"/>
    </xf>
    <xf numFmtId="0" fontId="10" fillId="30" borderId="3" xfId="0" applyFont="1" applyFill="1" applyBorder="1" applyAlignment="1">
      <alignment horizontal="left" vertical="center" wrapText="1"/>
    </xf>
    <xf numFmtId="0" fontId="10" fillId="30" borderId="7" xfId="0" applyFont="1" applyFill="1" applyBorder="1" applyAlignment="1">
      <alignment horizontal="left" vertical="center" wrapText="1"/>
    </xf>
    <xf numFmtId="0" fontId="10" fillId="30" borderId="5" xfId="0" applyFont="1" applyFill="1" applyBorder="1" applyAlignment="1">
      <alignment horizontal="left" vertical="center" wrapText="1"/>
    </xf>
    <xf numFmtId="0" fontId="0" fillId="13" borderId="30" xfId="0" applyFill="1" applyBorder="1" applyAlignment="1">
      <alignment horizontal="center"/>
    </xf>
    <xf numFmtId="0" fontId="0" fillId="13" borderId="31" xfId="0" applyFill="1" applyBorder="1" applyAlignment="1">
      <alignment horizontal="center"/>
    </xf>
    <xf numFmtId="0" fontId="0" fillId="13" borderId="27" xfId="0" applyFill="1" applyBorder="1" applyAlignment="1">
      <alignment horizontal="center"/>
    </xf>
    <xf numFmtId="0" fontId="10" fillId="16" borderId="2" xfId="0" applyFont="1" applyFill="1" applyBorder="1" applyAlignment="1">
      <alignment horizontal="left" vertical="center" wrapText="1"/>
    </xf>
    <xf numFmtId="0" fontId="10" fillId="16" borderId="2" xfId="0" applyFont="1" applyFill="1" applyBorder="1" applyAlignment="1">
      <alignment horizontal="center" vertical="center" wrapText="1"/>
    </xf>
    <xf numFmtId="167" fontId="10" fillId="16" borderId="2" xfId="6" applyNumberFormat="1" applyFont="1" applyFill="1" applyBorder="1" applyAlignment="1">
      <alignment horizontal="center" vertical="center" wrapText="1"/>
    </xf>
    <xf numFmtId="0" fontId="10" fillId="26"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26" borderId="2" xfId="0" applyFont="1" applyFill="1" applyBorder="1" applyAlignment="1">
      <alignment horizontal="left" vertical="center" wrapText="1"/>
    </xf>
    <xf numFmtId="0" fontId="10" fillId="26" borderId="2" xfId="0" applyFont="1" applyFill="1" applyBorder="1" applyAlignment="1">
      <alignment horizontal="center" vertical="center" wrapText="1"/>
    </xf>
    <xf numFmtId="167" fontId="10" fillId="26" borderId="2" xfId="6" applyNumberFormat="1" applyFont="1" applyFill="1" applyBorder="1" applyAlignment="1">
      <alignment horizontal="center" vertical="center" wrapText="1"/>
    </xf>
    <xf numFmtId="0" fontId="10" fillId="26" borderId="18" xfId="0" applyFont="1" applyFill="1" applyBorder="1" applyAlignment="1">
      <alignment horizontal="center" vertical="center" wrapText="1"/>
    </xf>
    <xf numFmtId="0" fontId="10" fillId="16" borderId="18" xfId="0" applyFont="1" applyFill="1" applyBorder="1" applyAlignment="1">
      <alignment horizontal="center" vertical="center" wrapText="1"/>
    </xf>
    <xf numFmtId="0" fontId="8" fillId="13" borderId="8" xfId="0" applyFont="1" applyFill="1" applyBorder="1" applyAlignment="1">
      <alignment horizontal="center" vertical="center"/>
    </xf>
    <xf numFmtId="0" fontId="8" fillId="13" borderId="4" xfId="0" applyFont="1" applyFill="1" applyBorder="1" applyAlignment="1">
      <alignment horizontal="center" vertical="center"/>
    </xf>
    <xf numFmtId="0" fontId="8" fillId="26" borderId="3" xfId="0" applyFont="1" applyFill="1" applyBorder="1" applyAlignment="1">
      <alignment horizontal="center" vertical="center"/>
    </xf>
    <xf numFmtId="0" fontId="8" fillId="26" borderId="5" xfId="0" applyFont="1" applyFill="1" applyBorder="1" applyAlignment="1">
      <alignment horizontal="center" vertical="center"/>
    </xf>
    <xf numFmtId="0" fontId="10" fillId="17" borderId="2" xfId="0" applyFont="1" applyFill="1" applyBorder="1" applyAlignment="1">
      <alignment horizontal="center" vertical="center" wrapText="1"/>
    </xf>
    <xf numFmtId="0" fontId="34" fillId="17" borderId="2" xfId="0" applyFont="1" applyFill="1" applyBorder="1" applyAlignment="1">
      <alignment horizontal="left" vertical="center" wrapText="1"/>
    </xf>
    <xf numFmtId="0" fontId="10" fillId="17" borderId="3"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0" fillId="17" borderId="5" xfId="0" applyFont="1" applyFill="1" applyBorder="1" applyAlignment="1">
      <alignment horizontal="center" vertical="center" wrapText="1"/>
    </xf>
    <xf numFmtId="0" fontId="34" fillId="17" borderId="3" xfId="0" applyFont="1" applyFill="1" applyBorder="1" applyAlignment="1">
      <alignment horizontal="left" vertical="center" wrapText="1"/>
    </xf>
    <xf numFmtId="0" fontId="34" fillId="17" borderId="7" xfId="0" applyFont="1" applyFill="1" applyBorder="1" applyAlignment="1">
      <alignment horizontal="left" vertical="center" wrapText="1"/>
    </xf>
    <xf numFmtId="0" fontId="34" fillId="17" borderId="5" xfId="0" applyFont="1" applyFill="1" applyBorder="1" applyAlignment="1">
      <alignment horizontal="left" vertical="center" wrapText="1"/>
    </xf>
    <xf numFmtId="0" fontId="14" fillId="17" borderId="2" xfId="0" applyFont="1" applyFill="1" applyBorder="1" applyAlignment="1">
      <alignment horizontal="center" vertical="center" wrapText="1"/>
    </xf>
    <xf numFmtId="0" fontId="33" fillId="17" borderId="2" xfId="0" applyFont="1" applyFill="1" applyBorder="1" applyAlignment="1">
      <alignment horizontal="left" vertical="center" wrapText="1"/>
    </xf>
    <xf numFmtId="0" fontId="34" fillId="16" borderId="2" xfId="0" applyFont="1" applyFill="1" applyBorder="1" applyAlignment="1">
      <alignment horizontal="left" vertical="center" wrapText="1"/>
    </xf>
    <xf numFmtId="0" fontId="8" fillId="25" borderId="2" xfId="0" applyFont="1" applyFill="1" applyBorder="1" applyAlignment="1">
      <alignment horizontal="center" vertical="center"/>
    </xf>
    <xf numFmtId="0" fontId="8" fillId="26" borderId="8" xfId="0" applyFont="1" applyFill="1" applyBorder="1" applyAlignment="1">
      <alignment horizontal="center" vertical="center"/>
    </xf>
    <xf numFmtId="0" fontId="8" fillId="26" borderId="9" xfId="0" applyFont="1" applyFill="1" applyBorder="1" applyAlignment="1">
      <alignment horizontal="center" vertical="center"/>
    </xf>
    <xf numFmtId="0" fontId="4" fillId="26" borderId="3" xfId="0" applyFont="1" applyFill="1" applyBorder="1" applyAlignment="1">
      <alignment horizontal="center" vertical="center" wrapText="1"/>
    </xf>
    <xf numFmtId="0" fontId="4" fillId="26" borderId="5" xfId="0" applyFont="1" applyFill="1" applyBorder="1" applyAlignment="1">
      <alignment horizontal="center" vertical="center" wrapText="1"/>
    </xf>
    <xf numFmtId="0" fontId="4" fillId="11" borderId="2" xfId="0" applyFont="1" applyFill="1" applyBorder="1" applyAlignment="1">
      <alignment horizontal="left" vertical="center" wrapText="1"/>
    </xf>
    <xf numFmtId="0" fontId="4" fillId="31"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30" fillId="12" borderId="2"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26" fillId="7"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31" fillId="0" borderId="8" xfId="0" applyFont="1" applyBorder="1" applyAlignment="1">
      <alignment horizontal="left" wrapText="1"/>
    </xf>
    <xf numFmtId="0" fontId="31" fillId="0" borderId="9" xfId="0" applyFont="1" applyBorder="1" applyAlignment="1">
      <alignment horizontal="left" wrapText="1"/>
    </xf>
    <xf numFmtId="0" fontId="31" fillId="0" borderId="4" xfId="0" applyFont="1" applyBorder="1" applyAlignment="1">
      <alignment horizontal="left" wrapText="1"/>
    </xf>
    <xf numFmtId="0" fontId="11" fillId="8" borderId="2" xfId="0" applyFont="1" applyFill="1" applyBorder="1" applyAlignment="1">
      <alignment horizontal="left" vertical="center" wrapText="1"/>
    </xf>
    <xf numFmtId="0" fontId="0" fillId="0" borderId="10" xfId="0" applyBorder="1" applyAlignment="1">
      <alignment horizontal="center"/>
    </xf>
    <xf numFmtId="174" fontId="20" fillId="14" borderId="3" xfId="0" applyNumberFormat="1" applyFont="1" applyFill="1" applyBorder="1" applyAlignment="1">
      <alignment horizontal="center" vertical="center"/>
    </xf>
    <xf numFmtId="174" fontId="20" fillId="14" borderId="5" xfId="0" applyNumberFormat="1" applyFont="1" applyFill="1" applyBorder="1" applyAlignment="1">
      <alignment horizontal="center" vertical="center"/>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0" fillId="16" borderId="3" xfId="0" applyFill="1" applyBorder="1" applyAlignment="1">
      <alignment horizontal="center"/>
    </xf>
    <xf numFmtId="0" fontId="0" fillId="16" borderId="5" xfId="0" applyFill="1" applyBorder="1" applyAlignment="1">
      <alignment horizontal="center"/>
    </xf>
    <xf numFmtId="0" fontId="19" fillId="0" borderId="74" xfId="0" applyFont="1" applyBorder="1" applyAlignment="1">
      <alignment horizontal="center"/>
    </xf>
    <xf numFmtId="0" fontId="19" fillId="0" borderId="79" xfId="0" applyFont="1" applyBorder="1" applyAlignment="1">
      <alignment horizontal="center"/>
    </xf>
    <xf numFmtId="0" fontId="18" fillId="13" borderId="8" xfId="0" applyFont="1" applyFill="1" applyBorder="1" applyAlignment="1">
      <alignment horizontal="center"/>
    </xf>
    <xf numFmtId="0" fontId="18" fillId="13" borderId="9" xfId="0" applyFont="1" applyFill="1" applyBorder="1" applyAlignment="1">
      <alignment horizontal="center"/>
    </xf>
    <xf numFmtId="0" fontId="18" fillId="13" borderId="4" xfId="0" applyFont="1" applyFill="1" applyBorder="1" applyAlignment="1">
      <alignment horizontal="center"/>
    </xf>
    <xf numFmtId="0" fontId="20" fillId="14" borderId="3"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0" fillId="13" borderId="2" xfId="0" applyFill="1" applyBorder="1" applyAlignment="1">
      <alignment horizontal="center" wrapText="1"/>
    </xf>
    <xf numFmtId="0" fontId="0" fillId="13" borderId="2" xfId="0" applyFill="1" applyBorder="1" applyAlignment="1">
      <alignment horizontal="center"/>
    </xf>
    <xf numFmtId="0" fontId="18" fillId="13" borderId="2" xfId="0" applyFont="1" applyFill="1" applyBorder="1" applyAlignment="1">
      <alignment horizontal="left"/>
    </xf>
    <xf numFmtId="0" fontId="18" fillId="13" borderId="2" xfId="0" applyFont="1" applyFill="1" applyBorder="1" applyAlignment="1">
      <alignment horizontal="center"/>
    </xf>
    <xf numFmtId="0" fontId="18" fillId="13" borderId="8" xfId="0" applyFont="1" applyFill="1" applyBorder="1" applyAlignment="1">
      <alignment horizontal="center" vertical="center" wrapText="1"/>
    </xf>
    <xf numFmtId="0" fontId="18" fillId="13" borderId="9" xfId="0" applyFont="1" applyFill="1" applyBorder="1" applyAlignment="1">
      <alignment horizontal="center" vertical="center" wrapText="1"/>
    </xf>
    <xf numFmtId="0" fontId="18" fillId="13" borderId="2" xfId="0" applyFont="1" applyFill="1" applyBorder="1" applyAlignment="1">
      <alignment horizontal="center" vertical="center"/>
    </xf>
    <xf numFmtId="0" fontId="18" fillId="13" borderId="8" xfId="0" applyFont="1" applyFill="1" applyBorder="1" applyAlignment="1">
      <alignment horizontal="center" vertical="center"/>
    </xf>
    <xf numFmtId="0" fontId="18" fillId="13" borderId="9" xfId="0" applyFont="1" applyFill="1" applyBorder="1" applyAlignment="1">
      <alignment horizontal="center" vertical="center"/>
    </xf>
    <xf numFmtId="0" fontId="18" fillId="13" borderId="4" xfId="0" applyFont="1" applyFill="1" applyBorder="1" applyAlignment="1">
      <alignment horizontal="center" vertical="center"/>
    </xf>
    <xf numFmtId="0" fontId="18" fillId="13" borderId="2" xfId="0" applyFont="1" applyFill="1" applyBorder="1" applyAlignment="1">
      <alignment horizontal="left" vertical="center"/>
    </xf>
    <xf numFmtId="0" fontId="18" fillId="13" borderId="2" xfId="0" applyFont="1" applyFill="1" applyBorder="1" applyAlignment="1">
      <alignment horizontal="center" vertical="center" wrapText="1"/>
    </xf>
    <xf numFmtId="0" fontId="8" fillId="25" borderId="24" xfId="0" applyFont="1" applyFill="1" applyBorder="1" applyAlignment="1">
      <alignment horizontal="center" vertical="center"/>
    </xf>
    <xf numFmtId="0" fontId="8" fillId="25" borderId="25"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6" xfId="0" applyFont="1" applyFill="1" applyBorder="1" applyAlignment="1">
      <alignment horizontal="center" vertical="center"/>
    </xf>
    <xf numFmtId="0" fontId="8" fillId="25" borderId="3" xfId="0" applyFont="1" applyFill="1" applyBorder="1" applyAlignment="1">
      <alignment horizontal="center" vertical="center"/>
    </xf>
    <xf numFmtId="0" fontId="8" fillId="25" borderId="45" xfId="0" applyFont="1" applyFill="1" applyBorder="1" applyAlignment="1">
      <alignment horizontal="center" vertical="center"/>
    </xf>
    <xf numFmtId="0" fontId="14" fillId="35" borderId="0" xfId="0" applyFont="1" applyFill="1" applyBorder="1" applyAlignment="1">
      <alignment horizontal="center"/>
    </xf>
    <xf numFmtId="0" fontId="14" fillId="35" borderId="28" xfId="0" applyFont="1" applyFill="1" applyBorder="1" applyAlignment="1">
      <alignment horizontal="center"/>
    </xf>
    <xf numFmtId="0" fontId="10" fillId="17" borderId="1" xfId="0" applyFont="1" applyFill="1" applyBorder="1" applyAlignment="1">
      <alignment horizontal="center" vertical="center" wrapText="1"/>
    </xf>
    <xf numFmtId="0" fontId="34" fillId="17" borderId="2" xfId="0" applyFont="1" applyFill="1" applyBorder="1" applyAlignment="1">
      <alignment horizontal="center" vertical="center" wrapText="1"/>
    </xf>
    <xf numFmtId="41" fontId="14" fillId="16" borderId="2" xfId="1" applyNumberFormat="1" applyFont="1" applyFill="1" applyBorder="1" applyAlignment="1">
      <alignment horizontal="center" vertical="center"/>
    </xf>
    <xf numFmtId="41" fontId="14" fillId="17" borderId="2" xfId="1" applyNumberFormat="1" applyFont="1" applyFill="1" applyBorder="1" applyAlignment="1">
      <alignment horizontal="center" vertical="center"/>
    </xf>
    <xf numFmtId="0" fontId="8" fillId="26" borderId="25" xfId="0" applyFont="1" applyFill="1" applyBorder="1" applyAlignment="1">
      <alignment horizontal="center" vertical="center"/>
    </xf>
    <xf numFmtId="0" fontId="8" fillId="26" borderId="26" xfId="0" applyFont="1" applyFill="1" applyBorder="1" applyAlignment="1">
      <alignment horizontal="center" vertical="center"/>
    </xf>
    <xf numFmtId="0" fontId="8" fillId="26" borderId="20"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24"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4" fillId="26" borderId="71" xfId="0" applyFont="1" applyFill="1" applyBorder="1" applyAlignment="1">
      <alignment horizontal="center" vertical="center" wrapText="1"/>
    </xf>
    <xf numFmtId="0" fontId="4" fillId="26" borderId="81" xfId="0" applyFont="1" applyFill="1" applyBorder="1" applyAlignment="1">
      <alignment horizontal="center" vertical="center" wrapText="1"/>
    </xf>
    <xf numFmtId="0" fontId="4" fillId="26" borderId="47" xfId="0" applyFont="1" applyFill="1" applyBorder="1" applyAlignment="1">
      <alignment horizontal="center" vertical="center" wrapText="1"/>
    </xf>
    <xf numFmtId="0" fontId="4" fillId="26" borderId="130" xfId="0" applyFont="1" applyFill="1" applyBorder="1" applyAlignment="1">
      <alignment horizontal="center" vertical="center" wrapText="1"/>
    </xf>
    <xf numFmtId="0" fontId="8" fillId="26" borderId="25" xfId="0" applyFont="1" applyFill="1" applyBorder="1" applyAlignment="1">
      <alignment horizontal="center" vertical="center" wrapText="1"/>
    </xf>
    <xf numFmtId="0" fontId="8" fillId="26" borderId="20" xfId="0" applyFont="1" applyFill="1" applyBorder="1" applyAlignment="1">
      <alignment horizontal="center" vertical="center" wrapText="1"/>
    </xf>
    <xf numFmtId="0" fontId="8" fillId="13" borderId="19" xfId="0" applyFont="1" applyFill="1" applyBorder="1" applyAlignment="1">
      <alignment horizontal="center" vertical="center"/>
    </xf>
    <xf numFmtId="0" fontId="8" fillId="13" borderId="20" xfId="0" applyFont="1" applyFill="1" applyBorder="1" applyAlignment="1">
      <alignment horizontal="center" vertical="center"/>
    </xf>
    <xf numFmtId="0" fontId="8" fillId="13" borderId="21" xfId="0" applyFont="1" applyFill="1" applyBorder="1" applyAlignment="1">
      <alignment horizontal="center" vertical="center"/>
    </xf>
    <xf numFmtId="0" fontId="33" fillId="17" borderId="5" xfId="0" applyFont="1" applyFill="1" applyBorder="1" applyAlignment="1">
      <alignment horizontal="left" vertical="center" wrapText="1"/>
    </xf>
    <xf numFmtId="0" fontId="14" fillId="17" borderId="35" xfId="0" applyFont="1" applyFill="1" applyBorder="1" applyAlignment="1">
      <alignment horizontal="center" vertical="center" wrapText="1"/>
    </xf>
    <xf numFmtId="0" fontId="14" fillId="17" borderId="1" xfId="0" applyFont="1" applyFill="1" applyBorder="1" applyAlignment="1">
      <alignment horizontal="center" vertical="center" wrapText="1"/>
    </xf>
    <xf numFmtId="41" fontId="14" fillId="17" borderId="5" xfId="0" applyNumberFormat="1" applyFont="1" applyFill="1" applyBorder="1" applyAlignment="1">
      <alignment horizontal="center" vertical="center" wrapText="1"/>
    </xf>
    <xf numFmtId="41" fontId="14" fillId="17" borderId="2" xfId="0" applyNumberFormat="1"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30" xfId="0" applyFont="1" applyFill="1" applyBorder="1" applyAlignment="1">
      <alignment horizontal="center" vertical="center" wrapText="1"/>
    </xf>
    <xf numFmtId="0" fontId="8" fillId="26" borderId="15"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47" xfId="0" applyFont="1" applyFill="1" applyBorder="1" applyAlignment="1">
      <alignment horizontal="center" vertical="center"/>
    </xf>
    <xf numFmtId="0" fontId="4" fillId="14" borderId="12" xfId="0" applyFont="1" applyFill="1" applyBorder="1" applyAlignment="1">
      <alignment horizontal="center" vertical="center" wrapText="1"/>
    </xf>
    <xf numFmtId="0" fontId="4" fillId="14" borderId="13" xfId="0" applyFont="1" applyFill="1" applyBorder="1" applyAlignment="1">
      <alignment horizontal="center" vertical="center" wrapText="1"/>
    </xf>
    <xf numFmtId="0" fontId="4" fillId="14" borderId="86" xfId="0" applyFont="1" applyFill="1" applyBorder="1" applyAlignment="1">
      <alignment horizontal="center" vertical="center" wrapText="1"/>
    </xf>
    <xf numFmtId="0" fontId="4" fillId="0" borderId="0" xfId="0" applyFont="1" applyAlignment="1">
      <alignment horizontal="center"/>
    </xf>
    <xf numFmtId="0" fontId="4" fillId="14" borderId="11" xfId="0" applyFont="1" applyFill="1" applyBorder="1" applyAlignment="1">
      <alignment horizontal="center" vertical="center" wrapText="1"/>
    </xf>
    <xf numFmtId="173" fontId="4" fillId="40" borderId="71" xfId="0" applyNumberFormat="1" applyFont="1" applyFill="1" applyBorder="1" applyAlignment="1">
      <alignment horizontal="center" vertical="center" wrapText="1"/>
    </xf>
    <xf numFmtId="0" fontId="50" fillId="14" borderId="72" xfId="0" applyFont="1" applyFill="1" applyBorder="1" applyAlignment="1">
      <alignment vertical="center" wrapText="1"/>
    </xf>
    <xf numFmtId="0" fontId="50" fillId="14" borderId="85" xfId="0" applyFont="1" applyFill="1" applyBorder="1" applyAlignment="1">
      <alignment vertical="center" wrapText="1"/>
    </xf>
    <xf numFmtId="42" fontId="20" fillId="14" borderId="77" xfId="8" applyFont="1" applyFill="1" applyBorder="1" applyAlignment="1">
      <alignment horizontal="center" vertical="center" wrapText="1"/>
    </xf>
    <xf numFmtId="42" fontId="20" fillId="14" borderId="12" xfId="8" applyFont="1" applyFill="1" applyBorder="1" applyAlignment="1">
      <alignment horizontal="center" vertical="center" wrapText="1"/>
    </xf>
    <xf numFmtId="42" fontId="20" fillId="14" borderId="13" xfId="8" applyFont="1" applyFill="1" applyBorder="1" applyAlignment="1">
      <alignment horizontal="center" vertical="center" wrapText="1"/>
    </xf>
    <xf numFmtId="42" fontId="20" fillId="14" borderId="86" xfId="8" applyFont="1" applyFill="1" applyBorder="1" applyAlignment="1">
      <alignment horizontal="center" vertical="center" wrapText="1"/>
    </xf>
    <xf numFmtId="173" fontId="4" fillId="40" borderId="26" xfId="0" applyNumberFormat="1" applyFont="1" applyFill="1" applyBorder="1" applyAlignment="1">
      <alignment horizontal="center" vertical="center" wrapText="1"/>
    </xf>
    <xf numFmtId="0" fontId="50" fillId="14" borderId="18" xfId="0" applyFont="1" applyFill="1" applyBorder="1" applyAlignment="1">
      <alignment vertical="center" wrapText="1"/>
    </xf>
    <xf numFmtId="0" fontId="50" fillId="14" borderId="45" xfId="0" applyFont="1" applyFill="1" applyBorder="1" applyAlignment="1">
      <alignment vertical="center" wrapText="1"/>
    </xf>
    <xf numFmtId="0" fontId="53" fillId="14" borderId="50" xfId="0" applyFont="1" applyFill="1" applyBorder="1" applyAlignment="1">
      <alignment horizontal="center" vertical="center" wrapText="1"/>
    </xf>
    <xf numFmtId="0" fontId="53" fillId="14" borderId="51" xfId="0" applyFont="1" applyFill="1" applyBorder="1" applyAlignment="1">
      <alignment horizontal="center" vertical="center" wrapText="1"/>
    </xf>
    <xf numFmtId="0" fontId="2" fillId="0" borderId="12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0" fillId="14" borderId="49" xfId="0" applyFont="1" applyFill="1" applyBorder="1" applyAlignment="1">
      <alignment horizontal="center"/>
    </xf>
    <xf numFmtId="0" fontId="20" fillId="14" borderId="48" xfId="0" applyFont="1" applyFill="1" applyBorder="1" applyAlignment="1">
      <alignment horizontal="center"/>
    </xf>
    <xf numFmtId="0" fontId="20" fillId="14" borderId="84" xfId="0" applyFont="1" applyFill="1" applyBorder="1" applyAlignment="1">
      <alignment horizontal="center"/>
    </xf>
    <xf numFmtId="0" fontId="4" fillId="14" borderId="50" xfId="0" applyFont="1" applyFill="1" applyBorder="1" applyAlignment="1">
      <alignment horizontal="center" vertical="center" wrapText="1"/>
    </xf>
    <xf numFmtId="0" fontId="4" fillId="14" borderId="51" xfId="0" applyFont="1" applyFill="1" applyBorder="1" applyAlignment="1">
      <alignment horizontal="center" vertical="center" wrapText="1"/>
    </xf>
    <xf numFmtId="42" fontId="20" fillId="14" borderId="51" xfId="8" applyFont="1" applyFill="1" applyBorder="1" applyAlignment="1">
      <alignment horizontal="center" vertical="center" wrapText="1"/>
    </xf>
    <xf numFmtId="0" fontId="50" fillId="14" borderId="21" xfId="0" applyFont="1" applyFill="1" applyBorder="1" applyAlignment="1">
      <alignment vertical="center" wrapText="1"/>
    </xf>
    <xf numFmtId="0" fontId="50" fillId="14" borderId="73" xfId="0" applyFont="1" applyFill="1" applyBorder="1" applyAlignment="1">
      <alignment vertical="center" wrapText="1"/>
    </xf>
    <xf numFmtId="0" fontId="20" fillId="14" borderId="71" xfId="0" applyFont="1" applyFill="1" applyBorder="1" applyAlignment="1">
      <alignment horizontal="center" vertical="center" wrapText="1"/>
    </xf>
    <xf numFmtId="0" fontId="20" fillId="14" borderId="72" xfId="0" applyFont="1" applyFill="1" applyBorder="1" applyAlignment="1">
      <alignment horizontal="center" vertical="center" wrapText="1"/>
    </xf>
    <xf numFmtId="0" fontId="20" fillId="14" borderId="73" xfId="0" applyFont="1" applyFill="1" applyBorder="1" applyAlignment="1">
      <alignment horizontal="center" vertical="center" wrapText="1"/>
    </xf>
    <xf numFmtId="0" fontId="4" fillId="14" borderId="77" xfId="0" applyFont="1" applyFill="1" applyBorder="1" applyAlignment="1">
      <alignment horizontal="center" vertical="center" wrapText="1"/>
    </xf>
    <xf numFmtId="0" fontId="20" fillId="14" borderId="11" xfId="0" applyFont="1" applyFill="1" applyBorder="1" applyAlignment="1">
      <alignment horizontal="center" vertical="center" wrapText="1"/>
    </xf>
    <xf numFmtId="42" fontId="20" fillId="14" borderId="50" xfId="8" applyFont="1" applyFill="1" applyBorder="1" applyAlignment="1">
      <alignment horizontal="center" vertical="center" wrapText="1"/>
    </xf>
    <xf numFmtId="164" fontId="4" fillId="14" borderId="12" xfId="1" applyFont="1" applyFill="1" applyBorder="1" applyAlignment="1">
      <alignment horizontal="center" vertical="center"/>
    </xf>
    <xf numFmtId="164" fontId="4" fillId="14" borderId="13" xfId="1" applyFont="1" applyFill="1" applyBorder="1" applyAlignment="1">
      <alignment horizontal="center" vertical="center"/>
    </xf>
    <xf numFmtId="164" fontId="4" fillId="14" borderId="36" xfId="1" applyFont="1" applyFill="1" applyBorder="1" applyAlignment="1">
      <alignment horizontal="center" vertical="center"/>
    </xf>
    <xf numFmtId="173" fontId="4" fillId="40" borderId="50" xfId="0" applyNumberFormat="1" applyFont="1" applyFill="1" applyBorder="1" applyAlignment="1">
      <alignment horizontal="center" vertical="center" wrapText="1"/>
    </xf>
    <xf numFmtId="173" fontId="4" fillId="40" borderId="75" xfId="0" applyNumberFormat="1" applyFont="1" applyFill="1" applyBorder="1" applyAlignment="1">
      <alignment horizontal="center" vertical="center" wrapText="1"/>
    </xf>
    <xf numFmtId="0" fontId="20" fillId="14" borderId="11" xfId="0" applyFont="1" applyFill="1" applyBorder="1" applyAlignment="1">
      <alignment horizontal="center" vertical="center"/>
    </xf>
    <xf numFmtId="3" fontId="20" fillId="14" borderId="11" xfId="0" applyNumberFormat="1" applyFont="1" applyFill="1" applyBorder="1" applyAlignment="1">
      <alignment horizontal="center" vertical="center" wrapText="1"/>
    </xf>
    <xf numFmtId="0" fontId="20" fillId="14" borderId="12" xfId="0" applyFont="1" applyFill="1" applyBorder="1" applyAlignment="1">
      <alignment horizontal="center"/>
    </xf>
    <xf numFmtId="0" fontId="20" fillId="14" borderId="13" xfId="0" applyFont="1" applyFill="1" applyBorder="1" applyAlignment="1">
      <alignment horizontal="center"/>
    </xf>
    <xf numFmtId="0" fontId="20" fillId="14" borderId="86" xfId="0" applyFont="1" applyFill="1" applyBorder="1" applyAlignment="1">
      <alignment horizontal="center"/>
    </xf>
    <xf numFmtId="0" fontId="2" fillId="14" borderId="72" xfId="0" applyFont="1" applyFill="1" applyBorder="1" applyAlignment="1">
      <alignment vertical="center" wrapText="1"/>
    </xf>
    <xf numFmtId="0" fontId="2" fillId="14" borderId="85" xfId="0" applyFont="1" applyFill="1" applyBorder="1" applyAlignment="1">
      <alignment vertical="center" wrapText="1"/>
    </xf>
    <xf numFmtId="0" fontId="4" fillId="14" borderId="25"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53" xfId="0" applyFont="1" applyFill="1" applyBorder="1" applyAlignment="1">
      <alignment horizontal="center" vertical="center" wrapText="1"/>
    </xf>
    <xf numFmtId="0" fontId="4" fillId="14" borderId="7"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4" borderId="26" xfId="0" applyFont="1" applyFill="1" applyBorder="1" applyAlignment="1">
      <alignment horizontal="center" vertical="center" wrapText="1"/>
    </xf>
    <xf numFmtId="0" fontId="4" fillId="14" borderId="18" xfId="0" applyFont="1" applyFill="1" applyBorder="1" applyAlignment="1">
      <alignment horizontal="center" vertical="center" wrapText="1"/>
    </xf>
    <xf numFmtId="0" fontId="4" fillId="14" borderId="45" xfId="0" applyFont="1" applyFill="1" applyBorder="1" applyAlignment="1">
      <alignment horizontal="center" vertical="center" wrapText="1"/>
    </xf>
    <xf numFmtId="173" fontId="4" fillId="40" borderId="11" xfId="0" applyNumberFormat="1" applyFont="1" applyFill="1" applyBorder="1" applyAlignment="1">
      <alignment horizontal="center" vertical="center" wrapText="1"/>
    </xf>
    <xf numFmtId="0" fontId="50" fillId="14" borderId="11" xfId="0" applyFont="1" applyFill="1" applyBorder="1" applyAlignment="1">
      <alignment vertical="center" wrapText="1"/>
    </xf>
    <xf numFmtId="0" fontId="17" fillId="14" borderId="17" xfId="0" applyFont="1" applyFill="1" applyBorder="1" applyAlignment="1">
      <alignment horizontal="center" vertical="center"/>
    </xf>
    <xf numFmtId="0" fontId="17" fillId="14" borderId="37" xfId="0" applyFont="1" applyFill="1" applyBorder="1" applyAlignment="1">
      <alignment horizontal="center" vertical="center"/>
    </xf>
    <xf numFmtId="0" fontId="4" fillId="14" borderId="11" xfId="0" applyFont="1" applyFill="1" applyBorder="1" applyAlignment="1">
      <alignment horizontal="center" vertical="center"/>
    </xf>
    <xf numFmtId="0" fontId="4" fillId="14" borderId="71" xfId="0" applyFont="1" applyFill="1" applyBorder="1" applyAlignment="1">
      <alignment horizontal="center" vertical="center" wrapText="1"/>
    </xf>
    <xf numFmtId="0" fontId="4" fillId="14" borderId="72" xfId="0" applyFont="1" applyFill="1" applyBorder="1" applyAlignment="1">
      <alignment horizontal="center" vertical="center" wrapText="1"/>
    </xf>
    <xf numFmtId="0" fontId="4" fillId="14" borderId="73" xfId="0" applyFont="1" applyFill="1" applyBorder="1" applyAlignment="1">
      <alignment horizontal="center" vertical="center" wrapText="1"/>
    </xf>
    <xf numFmtId="173" fontId="4" fillId="40" borderId="77" xfId="0" applyNumberFormat="1" applyFont="1" applyFill="1" applyBorder="1" applyAlignment="1">
      <alignment horizontal="center" vertical="center" wrapText="1"/>
    </xf>
    <xf numFmtId="173" fontId="4" fillId="40" borderId="51" xfId="0" applyNumberFormat="1" applyFont="1" applyFill="1" applyBorder="1" applyAlignment="1">
      <alignment horizontal="center" vertical="center" wrapText="1"/>
    </xf>
    <xf numFmtId="0" fontId="4" fillId="14" borderId="108" xfId="0" applyFont="1" applyFill="1" applyBorder="1" applyAlignment="1">
      <alignment horizontal="center" vertical="center"/>
    </xf>
    <xf numFmtId="0" fontId="4" fillId="14" borderId="109" xfId="0" applyFont="1" applyFill="1" applyBorder="1" applyAlignment="1">
      <alignment horizontal="center" vertical="center"/>
    </xf>
    <xf numFmtId="0" fontId="4" fillId="14" borderId="117" xfId="0" applyFont="1" applyFill="1" applyBorder="1" applyAlignment="1">
      <alignment horizontal="center" vertical="center"/>
    </xf>
    <xf numFmtId="167" fontId="4" fillId="14" borderId="114" xfId="6" applyNumberFormat="1" applyFont="1" applyFill="1" applyBorder="1" applyAlignment="1">
      <alignment horizontal="center" vertical="center" wrapText="1"/>
    </xf>
    <xf numFmtId="167" fontId="4" fillId="14" borderId="115" xfId="6" applyNumberFormat="1" applyFont="1" applyFill="1" applyBorder="1" applyAlignment="1">
      <alignment horizontal="center" vertical="center" wrapText="1"/>
    </xf>
    <xf numFmtId="167" fontId="4" fillId="14" borderId="116" xfId="6" applyNumberFormat="1" applyFont="1" applyFill="1" applyBorder="1" applyAlignment="1">
      <alignment horizontal="center" vertical="center" wrapText="1"/>
    </xf>
    <xf numFmtId="0" fontId="4" fillId="14" borderId="111" xfId="0" applyFont="1" applyFill="1" applyBorder="1" applyAlignment="1">
      <alignment horizontal="center" vertical="center" wrapText="1"/>
    </xf>
    <xf numFmtId="0" fontId="4" fillId="14" borderId="112" xfId="0" applyFont="1" applyFill="1" applyBorder="1" applyAlignment="1">
      <alignment horizontal="center" vertical="center" wrapText="1"/>
    </xf>
    <xf numFmtId="0" fontId="4" fillId="14" borderId="113" xfId="0" applyFont="1" applyFill="1" applyBorder="1" applyAlignment="1">
      <alignment horizontal="center" vertical="center" wrapText="1"/>
    </xf>
    <xf numFmtId="0" fontId="4" fillId="14" borderId="107" xfId="0" applyFont="1" applyFill="1" applyBorder="1" applyAlignment="1">
      <alignment horizontal="center" vertical="center" wrapText="1"/>
    </xf>
    <xf numFmtId="0" fontId="4" fillId="14" borderId="108" xfId="0" applyFont="1" applyFill="1" applyBorder="1" applyAlignment="1">
      <alignment horizontal="center" vertical="center" wrapText="1"/>
    </xf>
    <xf numFmtId="0" fontId="4" fillId="14" borderId="109" xfId="0" applyFont="1" applyFill="1" applyBorder="1" applyAlignment="1">
      <alignment horizontal="center" vertical="center" wrapText="1"/>
    </xf>
    <xf numFmtId="0" fontId="4" fillId="14" borderId="110" xfId="0" applyFont="1" applyFill="1" applyBorder="1" applyAlignment="1">
      <alignment horizontal="center" vertical="center" wrapText="1"/>
    </xf>
    <xf numFmtId="0" fontId="8" fillId="14" borderId="12" xfId="0" applyFont="1" applyFill="1" applyBorder="1" applyAlignment="1">
      <alignment horizontal="center" vertical="center"/>
    </xf>
    <xf numFmtId="0" fontId="8" fillId="14" borderId="13" xfId="0" applyFont="1" applyFill="1" applyBorder="1" applyAlignment="1">
      <alignment horizontal="center" vertical="center"/>
    </xf>
    <xf numFmtId="0" fontId="8" fillId="14" borderId="36" xfId="0" applyFont="1" applyFill="1" applyBorder="1" applyAlignment="1">
      <alignment horizontal="center" vertical="center"/>
    </xf>
    <xf numFmtId="42" fontId="20" fillId="14" borderId="11" xfId="8" applyFont="1" applyFill="1" applyBorder="1" applyAlignment="1">
      <alignment horizontal="center" vertical="center" wrapText="1"/>
    </xf>
    <xf numFmtId="0" fontId="50" fillId="14" borderId="50" xfId="0" applyFont="1" applyFill="1" applyBorder="1" applyAlignment="1">
      <alignment vertical="center" wrapText="1"/>
    </xf>
    <xf numFmtId="0" fontId="20" fillId="14" borderId="12" xfId="0" applyFont="1" applyFill="1" applyBorder="1" applyAlignment="1">
      <alignment horizontal="center" vertical="center" wrapText="1"/>
    </xf>
    <xf numFmtId="0" fontId="20" fillId="14" borderId="13" xfId="0" applyFont="1" applyFill="1" applyBorder="1" applyAlignment="1">
      <alignment horizontal="center" vertical="center" wrapText="1"/>
    </xf>
    <xf numFmtId="0" fontId="20" fillId="14" borderId="86" xfId="0" applyFont="1" applyFill="1" applyBorder="1" applyAlignment="1">
      <alignment horizontal="center" vertical="center" wrapText="1"/>
    </xf>
    <xf numFmtId="0" fontId="20" fillId="14" borderId="50" xfId="0" applyFont="1" applyFill="1" applyBorder="1" applyAlignment="1">
      <alignment horizontal="center" vertical="center" wrapText="1"/>
    </xf>
    <xf numFmtId="42" fontId="20" fillId="14" borderId="11" xfId="8" applyNumberFormat="1" applyFont="1" applyFill="1" applyBorder="1" applyAlignment="1">
      <alignment horizontal="center" vertical="center" wrapText="1"/>
    </xf>
    <xf numFmtId="42" fontId="20" fillId="14" borderId="50" xfId="8" applyNumberFormat="1" applyFont="1" applyFill="1" applyBorder="1" applyAlignment="1">
      <alignment horizontal="center" vertical="center" wrapText="1"/>
    </xf>
    <xf numFmtId="0" fontId="8" fillId="14" borderId="49" xfId="0" applyFont="1" applyFill="1" applyBorder="1" applyAlignment="1">
      <alignment horizontal="center" vertical="center" wrapText="1"/>
    </xf>
    <xf numFmtId="0" fontId="8" fillId="14" borderId="48" xfId="0" applyFont="1" applyFill="1" applyBorder="1" applyAlignment="1">
      <alignment horizontal="center" vertical="center" wrapText="1"/>
    </xf>
    <xf numFmtId="0" fontId="8" fillId="14" borderId="84" xfId="0" applyFont="1" applyFill="1" applyBorder="1" applyAlignment="1">
      <alignment horizontal="center" vertical="center" wrapText="1"/>
    </xf>
    <xf numFmtId="0" fontId="8" fillId="14" borderId="11" xfId="0" applyFont="1" applyFill="1" applyBorder="1" applyAlignment="1">
      <alignment horizontal="center" vertical="center"/>
    </xf>
    <xf numFmtId="0" fontId="54" fillId="14" borderId="11" xfId="0" applyFont="1" applyFill="1" applyBorder="1" applyAlignment="1">
      <alignment vertical="center" wrapText="1"/>
    </xf>
    <xf numFmtId="0" fontId="54" fillId="14" borderId="50" xfId="0" applyFont="1" applyFill="1" applyBorder="1" applyAlignment="1">
      <alignment vertical="center" wrapText="1"/>
    </xf>
    <xf numFmtId="0" fontId="17" fillId="14" borderId="12" xfId="0" applyFont="1" applyFill="1" applyBorder="1" applyAlignment="1">
      <alignment horizontal="center" vertical="center"/>
    </xf>
    <xf numFmtId="0" fontId="17" fillId="14" borderId="13" xfId="0" applyFont="1" applyFill="1" applyBorder="1" applyAlignment="1">
      <alignment horizontal="center" vertical="center"/>
    </xf>
    <xf numFmtId="0" fontId="17" fillId="14" borderId="36" xfId="0" applyFont="1" applyFill="1" applyBorder="1" applyAlignment="1">
      <alignment horizontal="center" vertical="center"/>
    </xf>
    <xf numFmtId="166" fontId="4" fillId="14" borderId="11" xfId="0" applyNumberFormat="1" applyFont="1" applyFill="1" applyBorder="1" applyAlignment="1">
      <alignment horizontal="center" vertical="center" wrapText="1"/>
    </xf>
    <xf numFmtId="166" fontId="4" fillId="14" borderId="50" xfId="0" applyNumberFormat="1" applyFont="1" applyFill="1" applyBorder="1" applyAlignment="1">
      <alignment horizontal="center" vertical="center" wrapText="1"/>
    </xf>
    <xf numFmtId="0" fontId="4" fillId="0" borderId="0" xfId="0" applyFont="1" applyAlignment="1">
      <alignment horizontal="center" vertical="center"/>
    </xf>
    <xf numFmtId="0" fontId="17" fillId="14" borderId="25" xfId="0" applyFont="1" applyFill="1" applyBorder="1" applyAlignment="1">
      <alignment horizontal="center" vertical="center"/>
    </xf>
    <xf numFmtId="0" fontId="17" fillId="14" borderId="2" xfId="0" applyFont="1" applyFill="1" applyBorder="1" applyAlignment="1">
      <alignment horizontal="center" vertical="center" wrapText="1"/>
    </xf>
    <xf numFmtId="0" fontId="17" fillId="14" borderId="20" xfId="0" applyFont="1" applyFill="1" applyBorder="1" applyAlignment="1">
      <alignment horizontal="center" vertical="center" wrapText="1"/>
    </xf>
    <xf numFmtId="1" fontId="17" fillId="14" borderId="2" xfId="0" applyNumberFormat="1" applyFont="1" applyFill="1" applyBorder="1" applyAlignment="1">
      <alignment horizontal="center" vertical="center" wrapText="1"/>
    </xf>
    <xf numFmtId="1" fontId="17" fillId="14" borderId="20" xfId="0" applyNumberFormat="1" applyFont="1" applyFill="1" applyBorder="1" applyAlignment="1">
      <alignment horizontal="center" vertical="center" wrapText="1"/>
    </xf>
    <xf numFmtId="0" fontId="17" fillId="14" borderId="2" xfId="0" applyFont="1" applyFill="1" applyBorder="1" applyAlignment="1">
      <alignment horizontal="center" vertical="center"/>
    </xf>
    <xf numFmtId="0" fontId="18" fillId="14" borderId="17" xfId="0" applyFont="1" applyFill="1" applyBorder="1" applyAlignment="1">
      <alignment horizontal="center" vertical="center"/>
    </xf>
    <xf numFmtId="0" fontId="18" fillId="14" borderId="37" xfId="0" applyFont="1" applyFill="1" applyBorder="1" applyAlignment="1">
      <alignment horizontal="center" vertical="center"/>
    </xf>
    <xf numFmtId="0" fontId="17" fillId="14" borderId="24" xfId="0" applyFont="1" applyFill="1" applyBorder="1" applyAlignment="1">
      <alignment horizontal="center" vertical="center"/>
    </xf>
    <xf numFmtId="0" fontId="17" fillId="14" borderId="1" xfId="0" applyFont="1" applyFill="1" applyBorder="1" applyAlignment="1">
      <alignment horizontal="center" vertical="center"/>
    </xf>
    <xf numFmtId="0" fontId="17" fillId="14" borderId="19" xfId="0" applyFont="1" applyFill="1" applyBorder="1" applyAlignment="1">
      <alignment horizontal="center" vertical="center"/>
    </xf>
    <xf numFmtId="1" fontId="17" fillId="14" borderId="26" xfId="0" applyNumberFormat="1" applyFont="1" applyFill="1" applyBorder="1" applyAlignment="1">
      <alignment horizontal="center" vertical="center" wrapText="1"/>
    </xf>
    <xf numFmtId="1" fontId="17" fillId="14" borderId="18" xfId="0" applyNumberFormat="1" applyFont="1" applyFill="1" applyBorder="1" applyAlignment="1">
      <alignment horizontal="center" vertical="center" wrapText="1"/>
    </xf>
    <xf numFmtId="1" fontId="17" fillId="14" borderId="21"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0" fillId="14" borderId="36" xfId="0" applyFont="1" applyFill="1" applyBorder="1" applyAlignment="1">
      <alignment horizontal="center" vertical="center" wrapText="1"/>
    </xf>
    <xf numFmtId="0" fontId="17" fillId="14" borderId="49" xfId="0" applyFont="1" applyFill="1" applyBorder="1" applyAlignment="1">
      <alignment horizontal="center" vertical="center"/>
    </xf>
    <xf numFmtId="0" fontId="17" fillId="14" borderId="48" xfId="0" applyFont="1" applyFill="1" applyBorder="1" applyAlignment="1">
      <alignment horizontal="center" vertical="center"/>
    </xf>
    <xf numFmtId="0" fontId="17" fillId="14" borderId="84" xfId="0" applyFont="1" applyFill="1" applyBorder="1" applyAlignment="1">
      <alignment horizontal="center" vertical="center"/>
    </xf>
    <xf numFmtId="0" fontId="17" fillId="14" borderId="11" xfId="0" applyFont="1" applyFill="1" applyBorder="1" applyAlignment="1">
      <alignment horizontal="center" vertical="center"/>
    </xf>
    <xf numFmtId="3" fontId="17" fillId="14" borderId="11" xfId="0" applyNumberFormat="1" applyFont="1" applyFill="1" applyBorder="1" applyAlignment="1">
      <alignment horizontal="center" vertical="center" wrapText="1"/>
    </xf>
    <xf numFmtId="3" fontId="17" fillId="14" borderId="50" xfId="0" applyNumberFormat="1" applyFont="1" applyFill="1" applyBorder="1" applyAlignment="1">
      <alignment horizontal="center" vertical="center" wrapText="1"/>
    </xf>
    <xf numFmtId="1" fontId="17" fillId="14" borderId="11" xfId="0" applyNumberFormat="1" applyFont="1" applyFill="1" applyBorder="1" applyAlignment="1">
      <alignment horizontal="center" vertical="center" wrapText="1"/>
    </xf>
    <xf numFmtId="0" fontId="17" fillId="14" borderId="39" xfId="0" applyFont="1" applyFill="1" applyBorder="1" applyAlignment="1">
      <alignment horizontal="center" vertical="center"/>
    </xf>
    <xf numFmtId="0" fontId="17" fillId="14" borderId="8" xfId="0" applyFont="1" applyFill="1" applyBorder="1" applyAlignment="1">
      <alignment horizontal="center" vertical="center"/>
    </xf>
    <xf numFmtId="0" fontId="17" fillId="14" borderId="76" xfId="0" applyFont="1" applyFill="1" applyBorder="1" applyAlignment="1">
      <alignment horizontal="center" vertical="center"/>
    </xf>
    <xf numFmtId="1" fontId="17" fillId="14" borderId="50" xfId="0" applyNumberFormat="1"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17" fillId="14" borderId="50" xfId="0" applyFont="1" applyFill="1" applyBorder="1" applyAlignment="1">
      <alignment horizontal="center" vertical="center" wrapText="1"/>
    </xf>
    <xf numFmtId="1" fontId="8" fillId="40" borderId="11" xfId="0" applyNumberFormat="1" applyFont="1" applyFill="1" applyBorder="1" applyAlignment="1">
      <alignment horizontal="center" vertical="center" wrapText="1"/>
    </xf>
    <xf numFmtId="1" fontId="8" fillId="40" borderId="50" xfId="0" applyNumberFormat="1" applyFont="1" applyFill="1" applyBorder="1" applyAlignment="1">
      <alignment horizontal="center" vertical="center" wrapText="1"/>
    </xf>
    <xf numFmtId="1" fontId="8" fillId="40" borderId="51" xfId="0" applyNumberFormat="1" applyFont="1" applyFill="1" applyBorder="1" applyAlignment="1">
      <alignment horizontal="center" vertical="center" wrapText="1"/>
    </xf>
    <xf numFmtId="0" fontId="17" fillId="14" borderId="33" xfId="0" applyFont="1" applyFill="1" applyBorder="1" applyAlignment="1">
      <alignment horizontal="center" vertical="center"/>
    </xf>
    <xf numFmtId="0" fontId="17" fillId="14" borderId="34" xfId="0" applyFont="1" applyFill="1" applyBorder="1" applyAlignment="1">
      <alignment horizontal="center" vertical="center"/>
    </xf>
    <xf numFmtId="0" fontId="4" fillId="14" borderId="11" xfId="0" applyFont="1" applyFill="1" applyBorder="1" applyAlignment="1">
      <alignment horizontal="center"/>
    </xf>
    <xf numFmtId="166" fontId="4" fillId="14" borderId="12" xfId="0" applyNumberFormat="1" applyFont="1" applyFill="1" applyBorder="1" applyAlignment="1">
      <alignment horizontal="center" vertical="center" wrapText="1"/>
    </xf>
    <xf numFmtId="166" fontId="4" fillId="14" borderId="13" xfId="0" applyNumberFormat="1" applyFont="1" applyFill="1" applyBorder="1" applyAlignment="1">
      <alignment horizontal="center" vertical="center" wrapText="1"/>
    </xf>
    <xf numFmtId="166" fontId="4" fillId="14" borderId="86" xfId="0" applyNumberFormat="1" applyFont="1" applyFill="1" applyBorder="1" applyAlignment="1">
      <alignment horizontal="center" vertical="center" wrapText="1"/>
    </xf>
    <xf numFmtId="0" fontId="18" fillId="14" borderId="17" xfId="0" applyFont="1" applyFill="1" applyBorder="1" applyAlignment="1">
      <alignment horizontal="center"/>
    </xf>
    <xf numFmtId="0" fontId="18" fillId="14" borderId="37" xfId="0" applyFont="1" applyFill="1" applyBorder="1" applyAlignment="1">
      <alignment horizontal="center"/>
    </xf>
    <xf numFmtId="0" fontId="17" fillId="14" borderId="17" xfId="0" applyFont="1" applyFill="1" applyBorder="1" applyAlignment="1">
      <alignment horizontal="center"/>
    </xf>
    <xf numFmtId="0" fontId="17" fillId="14" borderId="37" xfId="0" applyFont="1" applyFill="1" applyBorder="1" applyAlignment="1">
      <alignment horizontal="center"/>
    </xf>
    <xf numFmtId="0" fontId="4" fillId="0" borderId="0" xfId="0" applyFont="1" applyFill="1" applyAlignment="1">
      <alignment horizontal="center"/>
    </xf>
    <xf numFmtId="0" fontId="17" fillId="14" borderId="12" xfId="0" applyFont="1" applyFill="1" applyBorder="1" applyAlignment="1">
      <alignment horizontal="center"/>
    </xf>
    <xf numFmtId="0" fontId="17" fillId="14" borderId="13" xfId="0" applyFont="1" applyFill="1" applyBorder="1" applyAlignment="1">
      <alignment horizontal="center"/>
    </xf>
    <xf numFmtId="0" fontId="17" fillId="14" borderId="36" xfId="0" applyFont="1" applyFill="1" applyBorder="1" applyAlignment="1">
      <alignment horizontal="center"/>
    </xf>
    <xf numFmtId="0" fontId="4" fillId="14" borderId="36" xfId="0" applyFont="1" applyFill="1" applyBorder="1" applyAlignment="1">
      <alignment horizontal="center" vertical="center" wrapText="1"/>
    </xf>
    <xf numFmtId="164" fontId="4" fillId="14" borderId="12" xfId="1" applyFont="1" applyFill="1" applyBorder="1" applyAlignment="1">
      <alignment horizontal="center" vertical="center" wrapText="1"/>
    </xf>
    <xf numFmtId="164" fontId="4" fillId="14" borderId="13" xfId="1" applyFont="1" applyFill="1" applyBorder="1" applyAlignment="1">
      <alignment horizontal="center" vertical="center" wrapText="1"/>
    </xf>
    <xf numFmtId="164" fontId="4" fillId="14" borderId="36" xfId="1" applyFont="1" applyFill="1" applyBorder="1" applyAlignment="1">
      <alignment horizontal="center" vertical="center" wrapText="1"/>
    </xf>
    <xf numFmtId="0" fontId="0" fillId="0" borderId="0" xfId="0" applyAlignment="1">
      <alignment horizontal="center"/>
    </xf>
    <xf numFmtId="0" fontId="18" fillId="7" borderId="39" xfId="0" applyFont="1" applyFill="1" applyBorder="1" applyAlignment="1">
      <alignment horizontal="center"/>
    </xf>
    <xf numFmtId="0" fontId="18" fillId="7" borderId="16" xfId="0" applyFont="1" applyFill="1" applyBorder="1" applyAlignment="1">
      <alignment horizontal="center"/>
    </xf>
    <xf numFmtId="0" fontId="18" fillId="7" borderId="29" xfId="0" applyFont="1" applyFill="1" applyBorder="1" applyAlignment="1">
      <alignment horizontal="center"/>
    </xf>
    <xf numFmtId="0" fontId="4" fillId="14" borderId="15" xfId="0" applyFont="1" applyFill="1" applyBorder="1" applyAlignment="1">
      <alignment horizontal="center" vertical="center"/>
    </xf>
    <xf numFmtId="0" fontId="4" fillId="14" borderId="30" xfId="0" applyFont="1" applyFill="1" applyBorder="1" applyAlignment="1">
      <alignment horizontal="center" vertical="center"/>
    </xf>
    <xf numFmtId="0" fontId="4" fillId="14" borderId="54"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55" xfId="0" applyFont="1" applyFill="1" applyBorder="1" applyAlignment="1">
      <alignment horizontal="center" vertical="center"/>
    </xf>
    <xf numFmtId="0" fontId="0" fillId="14" borderId="17" xfId="0" applyFill="1" applyBorder="1" applyAlignment="1">
      <alignment horizontal="center"/>
    </xf>
    <xf numFmtId="0" fontId="0" fillId="14" borderId="37" xfId="0" applyFill="1" applyBorder="1" applyAlignment="1">
      <alignment horizontal="center"/>
    </xf>
    <xf numFmtId="42" fontId="4" fillId="14" borderId="11" xfId="8" applyFont="1" applyFill="1" applyBorder="1" applyAlignment="1">
      <alignment horizontal="center" vertical="center" wrapText="1"/>
    </xf>
    <xf numFmtId="42" fontId="4" fillId="14" borderId="50" xfId="8" applyFont="1" applyFill="1" applyBorder="1" applyAlignment="1">
      <alignment horizontal="center" vertical="center" wrapText="1"/>
    </xf>
    <xf numFmtId="171" fontId="4" fillId="14" borderId="11" xfId="0" applyNumberFormat="1" applyFont="1" applyFill="1" applyBorder="1" applyAlignment="1">
      <alignment horizontal="center" vertical="center" wrapText="1"/>
    </xf>
    <xf numFmtId="171" fontId="4" fillId="14" borderId="50" xfId="0" applyNumberFormat="1" applyFont="1" applyFill="1" applyBorder="1" applyAlignment="1">
      <alignment horizontal="center" vertical="center" wrapText="1"/>
    </xf>
    <xf numFmtId="0" fontId="20" fillId="14" borderId="49" xfId="0" applyFont="1" applyFill="1" applyBorder="1" applyAlignment="1">
      <alignment horizontal="center" vertical="center" wrapText="1"/>
    </xf>
    <xf numFmtId="0" fontId="20" fillId="14" borderId="48" xfId="0" applyFont="1" applyFill="1" applyBorder="1" applyAlignment="1">
      <alignment horizontal="center" vertical="center" wrapText="1"/>
    </xf>
    <xf numFmtId="0" fontId="20" fillId="14" borderId="84" xfId="0" applyFont="1" applyFill="1" applyBorder="1" applyAlignment="1">
      <alignment horizontal="center" vertical="center" wrapText="1"/>
    </xf>
    <xf numFmtId="0" fontId="3" fillId="0" borderId="119" xfId="0" applyFont="1" applyFill="1" applyBorder="1" applyAlignment="1">
      <alignment horizontal="left" vertical="center" wrapText="1"/>
    </xf>
    <xf numFmtId="0" fontId="3" fillId="0" borderId="123" xfId="0" applyFont="1" applyFill="1" applyBorder="1" applyAlignment="1">
      <alignment horizontal="left" vertical="center" wrapText="1"/>
    </xf>
    <xf numFmtId="0" fontId="3" fillId="0" borderId="126" xfId="0" applyFont="1" applyFill="1" applyBorder="1" applyAlignment="1">
      <alignment horizontal="left" vertical="center" wrapText="1"/>
    </xf>
    <xf numFmtId="0" fontId="3" fillId="0" borderId="120" xfId="0" applyFont="1" applyFill="1" applyBorder="1" applyAlignment="1">
      <alignment horizontal="center" vertical="center" wrapText="1"/>
    </xf>
    <xf numFmtId="0" fontId="3" fillId="0" borderId="124" xfId="0" applyFont="1" applyFill="1" applyBorder="1" applyAlignment="1">
      <alignment horizontal="center" vertical="center" wrapText="1"/>
    </xf>
    <xf numFmtId="0" fontId="3" fillId="0" borderId="125"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3" fillId="0" borderId="120"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25" xfId="0" applyFont="1" applyFill="1" applyBorder="1" applyAlignment="1">
      <alignment horizontal="center" vertical="center"/>
    </xf>
    <xf numFmtId="0" fontId="4" fillId="14" borderId="50" xfId="0" applyFont="1" applyFill="1" applyBorder="1" applyAlignment="1">
      <alignment horizontal="center" vertical="center"/>
    </xf>
    <xf numFmtId="0" fontId="20" fillId="14" borderId="51"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xf>
  </cellXfs>
  <cellStyles count="64">
    <cellStyle name="Millares" xfId="6" builtinId="3"/>
    <cellStyle name="Millares [0]" xfId="1" builtinId="6"/>
    <cellStyle name="Millares [0] 2" xfId="3"/>
    <cellStyle name="Millares [0] 2 2" xfId="11"/>
    <cellStyle name="Millares [0] 2 2 2" xfId="37"/>
    <cellStyle name="Millares [0] 2 3" xfId="14"/>
    <cellStyle name="Millares [0] 2 3 2" xfId="40"/>
    <cellStyle name="Millares [0] 2 4" xfId="19"/>
    <cellStyle name="Millares [0] 2 4 2" xfId="45"/>
    <cellStyle name="Millares [0] 2 5" xfId="32"/>
    <cellStyle name="Millares 10" xfId="24"/>
    <cellStyle name="Millares 10 2" xfId="50"/>
    <cellStyle name="Millares 11" xfId="25"/>
    <cellStyle name="Millares 11 2" xfId="51"/>
    <cellStyle name="Millares 12" xfId="27"/>
    <cellStyle name="Millares 12 2" xfId="53"/>
    <cellStyle name="Millares 13" xfId="26"/>
    <cellStyle name="Millares 13 2" xfId="52"/>
    <cellStyle name="Millares 14" xfId="23"/>
    <cellStyle name="Millares 14 2" xfId="49"/>
    <cellStyle name="Millares 15" xfId="28"/>
    <cellStyle name="Millares 15 2" xfId="54"/>
    <cellStyle name="Millares 16" xfId="29"/>
    <cellStyle name="Millares 16 2" xfId="55"/>
    <cellStyle name="Millares 17" xfId="30"/>
    <cellStyle name="Millares 17 2" xfId="56"/>
    <cellStyle name="Millares 18" xfId="31"/>
    <cellStyle name="Millares 18 2" xfId="57"/>
    <cellStyle name="Millares 19" xfId="33"/>
    <cellStyle name="Millares 2" xfId="4"/>
    <cellStyle name="Millares 2 2" xfId="12"/>
    <cellStyle name="Millares 2 2 2" xfId="38"/>
    <cellStyle name="Millares 20" xfId="58"/>
    <cellStyle name="Millares 21" xfId="61"/>
    <cellStyle name="Millares 22" xfId="62"/>
    <cellStyle name="Millares 3" xfId="13"/>
    <cellStyle name="Millares 3 2" xfId="39"/>
    <cellStyle name="Millares 4" xfId="10"/>
    <cellStyle name="Millares 4 2" xfId="36"/>
    <cellStyle name="Millares 5" xfId="15"/>
    <cellStyle name="Millares 5 2" xfId="41"/>
    <cellStyle name="Millares 6" xfId="17"/>
    <cellStyle name="Millares 6 2" xfId="43"/>
    <cellStyle name="Millares 7" xfId="18"/>
    <cellStyle name="Millares 7 2" xfId="44"/>
    <cellStyle name="Millares 8" xfId="20"/>
    <cellStyle name="Millares 8 2" xfId="46"/>
    <cellStyle name="Millares 9" xfId="22"/>
    <cellStyle name="Millares 9 2" xfId="48"/>
    <cellStyle name="Moneda" xfId="7" builtinId="4"/>
    <cellStyle name="Moneda [0]" xfId="8" builtinId="7"/>
    <cellStyle name="Moneda [0] 2" xfId="35"/>
    <cellStyle name="Moneda 2" xfId="16"/>
    <cellStyle name="Moneda 2 2" xfId="42"/>
    <cellStyle name="Moneda 3" xfId="21"/>
    <cellStyle name="Moneda 3 2" xfId="47"/>
    <cellStyle name="Moneda 4" xfId="34"/>
    <cellStyle name="Moneda 5" xfId="59"/>
    <cellStyle name="Moneda 6" xfId="60"/>
    <cellStyle name="Moneda 7" xfId="63"/>
    <cellStyle name="Normal" xfId="0" builtinId="0"/>
    <cellStyle name="Normal 2" xfId="9"/>
    <cellStyle name="Normal 2 2" xfId="2"/>
    <cellStyle name="Porcentaje" xfId="5" builtinId="5"/>
  </cellStyles>
  <dxfs count="0"/>
  <tableStyles count="0" defaultTableStyle="TableStyleMedium2" defaultPivotStyle="PivotStyleLight16"/>
  <colors>
    <mruColors>
      <color rgb="FF02D7E2"/>
      <color rgb="FFFF66CC"/>
      <color rgb="FFFFFFCC"/>
      <color rgb="FFFFCCFF"/>
      <color rgb="FFF5FED2"/>
      <color rgb="FFFFFFFF"/>
      <color rgb="FFFEFAF8"/>
      <color rgb="FFFFF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PRESUPUESTO INICIAL COMPARADO (2020-2023)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INDIC!$H$105:$H$107</c:f>
              <c:numCache>
                <c:formatCode>_-* #,##0_-;\-* #,##0_-;_-* "-"??_-;_-@_-</c:formatCode>
                <c:ptCount val="3"/>
                <c:pt idx="0">
                  <c:v>23755585130</c:v>
                </c:pt>
                <c:pt idx="1">
                  <c:v>24873867190</c:v>
                </c:pt>
                <c:pt idx="2">
                  <c:v>27934280541</c:v>
                </c:pt>
              </c:numCache>
            </c:numRef>
          </c:val>
          <c:extLst>
            <c:ext xmlns:c15="http://schemas.microsoft.com/office/drawing/2012/chart" uri="{02D57815-91ED-43cb-92C2-25804820EDAC}">
              <c15:filteredCategoryTitle>
                <c15:cat>
                  <c:numRef>
                    <c:extLst>
                      <c:ext uri="{02D57815-91ED-43cb-92C2-25804820EDAC}">
                        <c15:formulaRef>
                          <c15:sqref>INDIC!$G$105:$G$107</c15:sqref>
                        </c15:formulaRef>
                      </c:ext>
                    </c:extLst>
                    <c:numCache>
                      <c:formatCode>General</c:formatCode>
                      <c:ptCount val="3"/>
                      <c:pt idx="0">
                        <c:v>2020</c:v>
                      </c:pt>
                      <c:pt idx="1">
                        <c:v>2021</c:v>
                      </c:pt>
                      <c:pt idx="2">
                        <c:v>2022</c:v>
                      </c:pt>
                    </c:numCache>
                  </c:numRef>
                </c15:cat>
              </c15:filteredCategoryTitle>
            </c:ext>
            <c:ext xmlns:c16="http://schemas.microsoft.com/office/drawing/2014/chart" uri="{C3380CC4-5D6E-409C-BE32-E72D297353CC}">
              <c16:uniqueId val="{00000000-7DF4-42B8-909E-B2186542161B}"/>
            </c:ext>
          </c:extLst>
        </c:ser>
        <c:dLbls>
          <c:dLblPos val="outEnd"/>
          <c:showLegendKey val="0"/>
          <c:showVal val="1"/>
          <c:showCatName val="0"/>
          <c:showSerName val="0"/>
          <c:showPercent val="0"/>
          <c:showBubbleSize val="0"/>
        </c:dLbls>
        <c:gapWidth val="219"/>
        <c:overlap val="-27"/>
        <c:axId val="-253775328"/>
        <c:axId val="-253772608"/>
      </c:barChart>
      <c:catAx>
        <c:axId val="-25377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772608"/>
        <c:crosses val="autoZero"/>
        <c:auto val="1"/>
        <c:lblAlgn val="ctr"/>
        <c:lblOffset val="100"/>
        <c:noMultiLvlLbl val="0"/>
      </c:catAx>
      <c:valAx>
        <c:axId val="-253772608"/>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775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320401: INFORMACIÓN Y CONOCIMIENTO AMBIENTAL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INDIC!$H$60:$L$60</c:f>
              <c:numCache>
                <c:formatCode>_-* #,##0.0_-;\-* #,##0.0_-;_-* "-"??_-;_-@_-</c:formatCode>
                <c:ptCount val="5"/>
                <c:pt idx="0" formatCode="_-* #,##0_-;\-* #,##0_-;_-* &quot;-&quot;??_-;_-@_-">
                  <c:v>227759591</c:v>
                </c:pt>
                <c:pt idx="1">
                  <c:v>-4.3994208788335945E-2</c:v>
                </c:pt>
                <c:pt idx="2" formatCode="_-* #,##0_-;\-* #,##0_-;_-* &quot;-&quot;??_-;_-@_-">
                  <c:v>217739488</c:v>
                </c:pt>
                <c:pt idx="3">
                  <c:v>0.17401591975820213</c:v>
                </c:pt>
                <c:pt idx="4" formatCode="_-* #,##0_-;\-* #,##0_-;_-* &quot;-&quot;??_-;_-@_-">
                  <c:v>255629625.27200001</c:v>
                </c:pt>
              </c:numCache>
            </c:numRef>
          </c:val>
          <c:extLst>
            <c:ext xmlns:c16="http://schemas.microsoft.com/office/drawing/2014/chart" uri="{C3380CC4-5D6E-409C-BE32-E72D297353CC}">
              <c16:uniqueId val="{00000000-3A74-48C5-8AF2-5E010E9CEE80}"/>
            </c:ext>
          </c:extLst>
        </c:ser>
        <c:dLbls>
          <c:dLblPos val="outEnd"/>
          <c:showLegendKey val="0"/>
          <c:showVal val="1"/>
          <c:showCatName val="0"/>
          <c:showSerName val="0"/>
          <c:showPercent val="0"/>
          <c:showBubbleSize val="0"/>
        </c:dLbls>
        <c:gapWidth val="219"/>
        <c:overlap val="-27"/>
        <c:axId val="-15877296"/>
        <c:axId val="-15879472"/>
      </c:barChart>
      <c:catAx>
        <c:axId val="-15877296"/>
        <c:scaling>
          <c:orientation val="minMax"/>
        </c:scaling>
        <c:delete val="1"/>
        <c:axPos val="b"/>
        <c:numFmt formatCode="General" sourceLinked="1"/>
        <c:majorTickMark val="none"/>
        <c:minorTickMark val="none"/>
        <c:tickLblPos val="nextTo"/>
        <c:crossAx val="-15879472"/>
        <c:crosses val="autoZero"/>
        <c:auto val="1"/>
        <c:lblAlgn val="ctr"/>
        <c:lblOffset val="100"/>
        <c:noMultiLvlLbl val="0"/>
      </c:catAx>
      <c:valAx>
        <c:axId val="-15879472"/>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5877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320501: FORTALECIMIENTO DE LOS PROCESOS DE ORENAMIENTO Y PLANIFICACIÓN TERRITORIAL</a:t>
            </a:r>
          </a:p>
        </c:rich>
      </c:tx>
      <c:layout>
        <c:manualLayout>
          <c:xMode val="edge"/>
          <c:yMode val="edge"/>
          <c:x val="0.12699374116696951"/>
          <c:y val="3.9215666092498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INDIC!$H$64:$L$64</c:f>
              <c:numCache>
                <c:formatCode>_-* #,##0.0_-;\-* #,##0.0_-;_-* "-"??_-;_-@_-</c:formatCode>
                <c:ptCount val="5"/>
                <c:pt idx="0" formatCode="_-* #,##0_-;\-* #,##0_-;_-* &quot;-&quot;??_-;_-@_-">
                  <c:v>139387741</c:v>
                </c:pt>
                <c:pt idx="1">
                  <c:v>0.65080339453955283</c:v>
                </c:pt>
                <c:pt idx="2" formatCode="_-* #,##0_-;\-* #,##0_-;_-* &quot;-&quot;??_-;_-@_-">
                  <c:v>230101756</c:v>
                </c:pt>
                <c:pt idx="3">
                  <c:v>1.1562101681657744</c:v>
                </c:pt>
                <c:pt idx="4" formatCode="_-* #,##0_-;\-* #,##0_-;_-* &quot;-&quot;??_-;_-@_-">
                  <c:v>496147746</c:v>
                </c:pt>
              </c:numCache>
            </c:numRef>
          </c:val>
          <c:extLst>
            <c:ext xmlns:c16="http://schemas.microsoft.com/office/drawing/2014/chart" uri="{C3380CC4-5D6E-409C-BE32-E72D297353CC}">
              <c16:uniqueId val="{00000000-940D-43E7-8477-4CD376D1A67F}"/>
            </c:ext>
          </c:extLst>
        </c:ser>
        <c:dLbls>
          <c:dLblPos val="outEnd"/>
          <c:showLegendKey val="0"/>
          <c:showVal val="1"/>
          <c:showCatName val="0"/>
          <c:showSerName val="0"/>
          <c:showPercent val="0"/>
          <c:showBubbleSize val="0"/>
        </c:dLbls>
        <c:gapWidth val="219"/>
        <c:overlap val="-27"/>
        <c:axId val="-15874576"/>
        <c:axId val="-15876752"/>
      </c:barChart>
      <c:catAx>
        <c:axId val="-15874576"/>
        <c:scaling>
          <c:orientation val="minMax"/>
        </c:scaling>
        <c:delete val="1"/>
        <c:axPos val="b"/>
        <c:numFmt formatCode="General" sourceLinked="1"/>
        <c:majorTickMark val="none"/>
        <c:minorTickMark val="none"/>
        <c:tickLblPos val="nextTo"/>
        <c:crossAx val="-15876752"/>
        <c:crosses val="autoZero"/>
        <c:auto val="1"/>
        <c:lblAlgn val="ctr"/>
        <c:lblOffset val="100"/>
        <c:noMultiLvlLbl val="0"/>
      </c:catAx>
      <c:valAx>
        <c:axId val="-15876752"/>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587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320502: GESTIÓN DEL CONOCIMIENTO Y GESTIÓN DEL RIESGO DE DESASTRES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INDIC!$H$67:$L$67</c:f>
              <c:numCache>
                <c:formatCode>_-* #,##0.0_-;\-* #,##0.0_-;_-* "-"??_-;_-@_-</c:formatCode>
                <c:ptCount val="5"/>
                <c:pt idx="0" formatCode="_-* #,##0_-;\-* #,##0_-;_-* &quot;-&quot;??_-;_-@_-">
                  <c:v>1604055594</c:v>
                </c:pt>
                <c:pt idx="1">
                  <c:v>4.1927522279193524E-2</c:v>
                </c:pt>
                <c:pt idx="2" formatCode="_-* #,##0_-;\-* #,##0_-;_-* &quot;-&quot;??_-;_-@_-">
                  <c:v>1671309670.6545</c:v>
                </c:pt>
                <c:pt idx="3">
                  <c:v>0.67167402959254641</c:v>
                </c:pt>
                <c:pt idx="4" formatCode="_-* #,##0_-;\-* #,##0_-;_-* &quot;-&quot;??_-;_-@_-">
                  <c:v>2793884971.8399997</c:v>
                </c:pt>
              </c:numCache>
            </c:numRef>
          </c:val>
          <c:extLst>
            <c:ext xmlns:c16="http://schemas.microsoft.com/office/drawing/2014/chart" uri="{C3380CC4-5D6E-409C-BE32-E72D297353CC}">
              <c16:uniqueId val="{00000000-D87F-4E7C-87BD-9D497D88155E}"/>
            </c:ext>
          </c:extLst>
        </c:ser>
        <c:dLbls>
          <c:dLblPos val="outEnd"/>
          <c:showLegendKey val="0"/>
          <c:showVal val="1"/>
          <c:showCatName val="0"/>
          <c:showSerName val="0"/>
          <c:showPercent val="0"/>
          <c:showBubbleSize val="0"/>
        </c:dLbls>
        <c:gapWidth val="219"/>
        <c:overlap val="-27"/>
        <c:axId val="-15875120"/>
        <c:axId val="-15876208"/>
      </c:barChart>
      <c:catAx>
        <c:axId val="-15875120"/>
        <c:scaling>
          <c:orientation val="minMax"/>
        </c:scaling>
        <c:delete val="1"/>
        <c:axPos val="b"/>
        <c:numFmt formatCode="General" sourceLinked="1"/>
        <c:majorTickMark val="none"/>
        <c:minorTickMark val="none"/>
        <c:tickLblPos val="nextTo"/>
        <c:crossAx val="-15876208"/>
        <c:crosses val="autoZero"/>
        <c:auto val="1"/>
        <c:lblAlgn val="ctr"/>
        <c:lblOffset val="100"/>
        <c:noMultiLvlLbl val="0"/>
      </c:catAx>
      <c:valAx>
        <c:axId val="-15876208"/>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5875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320503: GESTIÓN AMBIENTAL CON COMUNIDADES ÉTNICAS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INDIC!$H$70:$L$70</c:f>
              <c:numCache>
                <c:formatCode>_-* #,##0.0_-;\-* #,##0.0_-;_-* "-"??_-;_-@_-</c:formatCode>
                <c:ptCount val="5"/>
                <c:pt idx="0" formatCode="_-* #,##0_-;\-* #,##0_-;_-* &quot;-&quot;??_-;_-@_-">
                  <c:v>200000000</c:v>
                </c:pt>
                <c:pt idx="1">
                  <c:v>0.25</c:v>
                </c:pt>
                <c:pt idx="2" formatCode="_-* #,##0_-;\-* #,##0_-;_-* &quot;-&quot;??_-;_-@_-">
                  <c:v>250000000</c:v>
                </c:pt>
                <c:pt idx="3">
                  <c:v>0.14419155550399995</c:v>
                </c:pt>
                <c:pt idx="4" formatCode="_-* #,##0_-;\-* #,##0_-;_-* &quot;-&quot;??_-;_-@_-">
                  <c:v>286047888.87599999</c:v>
                </c:pt>
              </c:numCache>
            </c:numRef>
          </c:val>
          <c:extLst>
            <c:ext xmlns:c16="http://schemas.microsoft.com/office/drawing/2014/chart" uri="{C3380CC4-5D6E-409C-BE32-E72D297353CC}">
              <c16:uniqueId val="{00000000-9C2F-4569-B6DB-5609F92D34BE}"/>
            </c:ext>
          </c:extLst>
        </c:ser>
        <c:dLbls>
          <c:dLblPos val="outEnd"/>
          <c:showLegendKey val="0"/>
          <c:showVal val="1"/>
          <c:showCatName val="0"/>
          <c:showSerName val="0"/>
          <c:showPercent val="0"/>
          <c:showBubbleSize val="0"/>
        </c:dLbls>
        <c:gapWidth val="219"/>
        <c:overlap val="-27"/>
        <c:axId val="-15875664"/>
        <c:axId val="-2144860240"/>
      </c:barChart>
      <c:catAx>
        <c:axId val="-15875664"/>
        <c:scaling>
          <c:orientation val="minMax"/>
        </c:scaling>
        <c:delete val="1"/>
        <c:axPos val="b"/>
        <c:numFmt formatCode="General" sourceLinked="1"/>
        <c:majorTickMark val="none"/>
        <c:minorTickMark val="none"/>
        <c:tickLblPos val="nextTo"/>
        <c:crossAx val="-2144860240"/>
        <c:crosses val="autoZero"/>
        <c:auto val="1"/>
        <c:lblAlgn val="ctr"/>
        <c:lblOffset val="100"/>
        <c:noMultiLvlLbl val="0"/>
      </c:catAx>
      <c:valAx>
        <c:axId val="-2144860240"/>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5875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320601: GESTIÓN DEL CAMBIO CLIMÁTICO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INDIC!$H$74:$L$74</c:f>
              <c:numCache>
                <c:formatCode>_-* #,##0.0_-;\-* #,##0.0_-;_-* "-"??_-;_-@_-</c:formatCode>
                <c:ptCount val="5"/>
                <c:pt idx="0" formatCode="_-* #,##0_-;\-* #,##0_-;_-* &quot;-&quot;??_-;_-@_-">
                  <c:v>160416014</c:v>
                </c:pt>
                <c:pt idx="1">
                  <c:v>-2.0499287558659825E-2</c:v>
                </c:pt>
                <c:pt idx="2" formatCode="_-* #,##0_-;\-* #,##0_-;_-* &quot;-&quot;??_-;_-@_-">
                  <c:v>157127600</c:v>
                </c:pt>
                <c:pt idx="3">
                  <c:v>0.76767162484503038</c:v>
                </c:pt>
                <c:pt idx="4" formatCode="_-* #,##0_-;\-* #,##0_-;_-* &quot;-&quot;??_-;_-@_-">
                  <c:v>277750000</c:v>
                </c:pt>
              </c:numCache>
            </c:numRef>
          </c:val>
          <c:extLst>
            <c:ext xmlns:c16="http://schemas.microsoft.com/office/drawing/2014/chart" uri="{C3380CC4-5D6E-409C-BE32-E72D297353CC}">
              <c16:uniqueId val="{00000000-371D-476C-BAFA-27D7224C28E2}"/>
            </c:ext>
          </c:extLst>
        </c:ser>
        <c:dLbls>
          <c:dLblPos val="outEnd"/>
          <c:showLegendKey val="0"/>
          <c:showVal val="1"/>
          <c:showCatName val="0"/>
          <c:showSerName val="0"/>
          <c:showPercent val="0"/>
          <c:showBubbleSize val="0"/>
        </c:dLbls>
        <c:gapWidth val="219"/>
        <c:overlap val="-27"/>
        <c:axId val="-2144854256"/>
        <c:axId val="-2144856432"/>
      </c:barChart>
      <c:catAx>
        <c:axId val="-2144854256"/>
        <c:scaling>
          <c:orientation val="minMax"/>
        </c:scaling>
        <c:delete val="1"/>
        <c:axPos val="b"/>
        <c:numFmt formatCode="General" sourceLinked="1"/>
        <c:majorTickMark val="none"/>
        <c:minorTickMark val="none"/>
        <c:tickLblPos val="nextTo"/>
        <c:crossAx val="-2144856432"/>
        <c:crosses val="autoZero"/>
        <c:auto val="1"/>
        <c:lblAlgn val="ctr"/>
        <c:lblOffset val="100"/>
        <c:noMultiLvlLbl val="0"/>
      </c:catAx>
      <c:valAx>
        <c:axId val="-2144856432"/>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2144854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320801: EDUCACIÓN Y CULTURA AMBIENTAL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INDIC!$H$78:$L$78</c:f>
              <c:numCache>
                <c:formatCode>_-* #,##0.0_-;\-* #,##0.0_-;_-* "-"??_-;_-@_-</c:formatCode>
                <c:ptCount val="5"/>
                <c:pt idx="0" formatCode="_-* #,##0_-;\-* #,##0_-;_-* &quot;-&quot;??_-;_-@_-">
                  <c:v>726656802</c:v>
                </c:pt>
                <c:pt idx="1">
                  <c:v>1.855277617011834E-2</c:v>
                </c:pt>
                <c:pt idx="2" formatCode="_-* #,##0_-;\-* #,##0_-;_-* &quot;-&quot;??_-;_-@_-">
                  <c:v>740138303</c:v>
                </c:pt>
                <c:pt idx="3">
                  <c:v>6.0033334511536508E-2</c:v>
                </c:pt>
                <c:pt idx="4" formatCode="_-* #,##0_-;\-* #,##0_-;_-* &quot;-&quot;??_-;_-@_-">
                  <c:v>784571273.32879996</c:v>
                </c:pt>
              </c:numCache>
            </c:numRef>
          </c:val>
          <c:extLst>
            <c:ext xmlns:c16="http://schemas.microsoft.com/office/drawing/2014/chart" uri="{C3380CC4-5D6E-409C-BE32-E72D297353CC}">
              <c16:uniqueId val="{00000000-EC79-47D7-BC67-91D340AF0AE1}"/>
            </c:ext>
          </c:extLst>
        </c:ser>
        <c:dLbls>
          <c:dLblPos val="outEnd"/>
          <c:showLegendKey val="0"/>
          <c:showVal val="1"/>
          <c:showCatName val="0"/>
          <c:showSerName val="0"/>
          <c:showPercent val="0"/>
          <c:showBubbleSize val="0"/>
        </c:dLbls>
        <c:gapWidth val="219"/>
        <c:overlap val="-27"/>
        <c:axId val="-2144858064"/>
        <c:axId val="-2144865136"/>
      </c:barChart>
      <c:catAx>
        <c:axId val="-2144858064"/>
        <c:scaling>
          <c:orientation val="minMax"/>
        </c:scaling>
        <c:delete val="1"/>
        <c:axPos val="b"/>
        <c:numFmt formatCode="General" sourceLinked="1"/>
        <c:majorTickMark val="none"/>
        <c:minorTickMark val="none"/>
        <c:tickLblPos val="nextTo"/>
        <c:crossAx val="-2144865136"/>
        <c:crosses val="autoZero"/>
        <c:auto val="1"/>
        <c:lblAlgn val="ctr"/>
        <c:lblOffset val="100"/>
        <c:noMultiLvlLbl val="0"/>
      </c:catAx>
      <c:valAx>
        <c:axId val="-2144865136"/>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2144858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329901: FORTALECIMIENTO INSTITUCIONAL PARA LA GESTIÓN AMBIENTAL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INDIC!$H$82:$L$82</c:f>
              <c:numCache>
                <c:formatCode>_-* #,##0.0_-;\-* #,##0.0_-;_-* "-"??_-;_-@_-</c:formatCode>
                <c:ptCount val="5"/>
                <c:pt idx="0" formatCode="_-* #,##0_-;\-* #,##0_-;_-* &quot;-&quot;??_-;_-@_-">
                  <c:v>877773853</c:v>
                </c:pt>
                <c:pt idx="1">
                  <c:v>4.9460767840848401E-2</c:v>
                </c:pt>
                <c:pt idx="2" formatCode="_-* #,##0_-;\-* #,##0_-;_-* &quot;-&quot;??_-;_-@_-">
                  <c:v>921189221.75999999</c:v>
                </c:pt>
                <c:pt idx="3">
                  <c:v>0.29533557081272971</c:v>
                </c:pt>
                <c:pt idx="4" formatCode="_-* #,##0_-;\-* #,##0_-;_-* &quot;-&quot;??_-;_-@_-">
                  <c:v>1193249166.3950238</c:v>
                </c:pt>
              </c:numCache>
            </c:numRef>
          </c:val>
          <c:extLst>
            <c:ext xmlns:c16="http://schemas.microsoft.com/office/drawing/2014/chart" uri="{C3380CC4-5D6E-409C-BE32-E72D297353CC}">
              <c16:uniqueId val="{00000000-6C5A-4E22-B61C-F09FD74BA8CD}"/>
            </c:ext>
          </c:extLst>
        </c:ser>
        <c:dLbls>
          <c:dLblPos val="outEnd"/>
          <c:showLegendKey val="0"/>
          <c:showVal val="1"/>
          <c:showCatName val="0"/>
          <c:showSerName val="0"/>
          <c:showPercent val="0"/>
          <c:showBubbleSize val="0"/>
        </c:dLbls>
        <c:gapWidth val="219"/>
        <c:overlap val="-27"/>
        <c:axId val="-2144854800"/>
        <c:axId val="-2144867312"/>
      </c:barChart>
      <c:catAx>
        <c:axId val="-2144854800"/>
        <c:scaling>
          <c:orientation val="minMax"/>
        </c:scaling>
        <c:delete val="1"/>
        <c:axPos val="b"/>
        <c:numFmt formatCode="General" sourceLinked="1"/>
        <c:majorTickMark val="none"/>
        <c:minorTickMark val="none"/>
        <c:tickLblPos val="nextTo"/>
        <c:crossAx val="-2144867312"/>
        <c:crosses val="autoZero"/>
        <c:auto val="1"/>
        <c:lblAlgn val="ctr"/>
        <c:lblOffset val="100"/>
        <c:noMultiLvlLbl val="0"/>
      </c:catAx>
      <c:valAx>
        <c:axId val="-2144867312"/>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2144854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PRESUPUESTO INICIAL COMPARADO</a:t>
            </a:r>
            <a:r>
              <a:rPr lang="es-CO" baseline="0"/>
              <a:t> 2019-2022</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INDIC!$H$104:$H$107</c:f>
              <c:numCache>
                <c:formatCode>_-* #,##0_-;\-* #,##0_-;_-* "-"??_-;_-@_-</c:formatCode>
                <c:ptCount val="4"/>
                <c:pt idx="0">
                  <c:v>20417974353</c:v>
                </c:pt>
                <c:pt idx="1">
                  <c:v>23755585130</c:v>
                </c:pt>
                <c:pt idx="2">
                  <c:v>24873867190</c:v>
                </c:pt>
                <c:pt idx="3">
                  <c:v>27934280541</c:v>
                </c:pt>
              </c:numCache>
            </c:numRef>
          </c:val>
          <c:extLst>
            <c:ext xmlns:c15="http://schemas.microsoft.com/office/drawing/2012/chart" uri="{02D57815-91ED-43cb-92C2-25804820EDAC}">
              <c15:filteredCategoryTitle>
                <c15:cat>
                  <c:numRef>
                    <c:extLst>
                      <c:ext uri="{02D57815-91ED-43cb-92C2-25804820EDAC}">
                        <c15:formulaRef>
                          <c15:sqref>INDIC!$G$104:$G$107</c15:sqref>
                        </c15:formulaRef>
                      </c:ext>
                    </c:extLst>
                    <c:numCache>
                      <c:formatCode>General</c:formatCode>
                      <c:ptCount val="4"/>
                      <c:pt idx="0">
                        <c:v>2019</c:v>
                      </c:pt>
                      <c:pt idx="1">
                        <c:v>2020</c:v>
                      </c:pt>
                      <c:pt idx="2">
                        <c:v>2021</c:v>
                      </c:pt>
                      <c:pt idx="3">
                        <c:v>2022</c:v>
                      </c:pt>
                    </c:numCache>
                  </c:numRef>
                </c15:cat>
              </c15:filteredCategoryTitle>
            </c:ext>
            <c:ext xmlns:c16="http://schemas.microsoft.com/office/drawing/2014/chart" uri="{C3380CC4-5D6E-409C-BE32-E72D297353CC}">
              <c16:uniqueId val="{00000000-811D-4B4A-B613-D94A9E584B00}"/>
            </c:ext>
          </c:extLst>
        </c:ser>
        <c:dLbls>
          <c:dLblPos val="outEnd"/>
          <c:showLegendKey val="0"/>
          <c:showVal val="1"/>
          <c:showCatName val="0"/>
          <c:showSerName val="0"/>
          <c:showPercent val="0"/>
          <c:showBubbleSize val="0"/>
        </c:dLbls>
        <c:gapWidth val="219"/>
        <c:overlap val="-27"/>
        <c:axId val="-2144862416"/>
        <c:axId val="-2144864048"/>
      </c:barChart>
      <c:catAx>
        <c:axId val="-21448624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44864048"/>
        <c:crosses val="autoZero"/>
        <c:auto val="1"/>
        <c:lblAlgn val="ctr"/>
        <c:lblOffset val="100"/>
        <c:noMultiLvlLbl val="0"/>
      </c:catAx>
      <c:valAx>
        <c:axId val="-2144864048"/>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out"/>
        <c:minorTickMark val="none"/>
        <c:tickLblPos val="nextTo"/>
        <c:crossAx val="-2144862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PROYECTO 320101: DESARROLLO SECTORIAL SOSTENIBLE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INDIC!$H$5:$L$5</c:f>
              <c:numCache>
                <c:formatCode>_-* #,##0.0_-;\-* #,##0.0_-;_-* "-"??_-;_-@_-</c:formatCode>
                <c:ptCount val="5"/>
                <c:pt idx="0" formatCode="_-* #,##0_-;\-* #,##0_-;_-* &quot;-&quot;??_-;_-@_-">
                  <c:v>92397396</c:v>
                </c:pt>
                <c:pt idx="1">
                  <c:v>1.1167522946209436</c:v>
                </c:pt>
                <c:pt idx="2" formatCode="_-* #,##0_-;\-* #,##0_-;_-* &quot;-&quot;??_-;_-@_-">
                  <c:v>195582400</c:v>
                </c:pt>
                <c:pt idx="3">
                  <c:v>7.2817206456204653E-2</c:v>
                </c:pt>
                <c:pt idx="4" formatCode="_-* #,##0_-;\-* #,##0_-;_-* &quot;-&quot;??_-;_-@_-">
                  <c:v>209824164</c:v>
                </c:pt>
              </c:numCache>
            </c:numRef>
          </c:val>
          <c:extLst>
            <c:ext xmlns:c16="http://schemas.microsoft.com/office/drawing/2014/chart" uri="{C3380CC4-5D6E-409C-BE32-E72D297353CC}">
              <c16:uniqueId val="{00000000-C297-4AC0-831D-FBFED9E9EB0B}"/>
            </c:ext>
          </c:extLst>
        </c:ser>
        <c:dLbls>
          <c:dLblPos val="outEnd"/>
          <c:showLegendKey val="0"/>
          <c:showVal val="1"/>
          <c:showCatName val="0"/>
          <c:showSerName val="0"/>
          <c:showPercent val="0"/>
          <c:showBubbleSize val="0"/>
        </c:dLbls>
        <c:gapWidth val="219"/>
        <c:overlap val="-27"/>
        <c:axId val="-253769344"/>
        <c:axId val="-253767712"/>
      </c:barChart>
      <c:catAx>
        <c:axId val="-253769344"/>
        <c:scaling>
          <c:orientation val="minMax"/>
        </c:scaling>
        <c:delete val="1"/>
        <c:axPos val="b"/>
        <c:numFmt formatCode="General" sourceLinked="1"/>
        <c:majorTickMark val="none"/>
        <c:minorTickMark val="none"/>
        <c:tickLblPos val="nextTo"/>
        <c:crossAx val="-253767712"/>
        <c:crosses val="autoZero"/>
        <c:auto val="0"/>
        <c:lblAlgn val="ctr"/>
        <c:lblOffset val="100"/>
        <c:noMultiLvlLbl val="0"/>
      </c:catAx>
      <c:valAx>
        <c:axId val="-253767712"/>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25376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PROYECTO 320102: NEGOCIOS VERDES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INDIC!$H$8:$L$8</c:f>
              <c:numCache>
                <c:formatCode>_-* #,##0.0_-;\-* #,##0.0_-;_-* "-"??_-;_-@_-</c:formatCode>
                <c:ptCount val="5"/>
                <c:pt idx="0" formatCode="_-* #,##0_-;\-* #,##0_-;_-* &quot;-&quot;??_-;_-@_-">
                  <c:v>130991497</c:v>
                </c:pt>
                <c:pt idx="1">
                  <c:v>1.2902249907106567</c:v>
                </c:pt>
                <c:pt idx="2" formatCode="_-* #,##0_-;\-* #,##0_-;_-* &quot;-&quot;??_-;_-@_-">
                  <c:v>300000000</c:v>
                </c:pt>
                <c:pt idx="3">
                  <c:v>5.763091E-2</c:v>
                </c:pt>
                <c:pt idx="4" formatCode="_-* #,##0_-;\-* #,##0_-;_-* &quot;-&quot;??_-;_-@_-">
                  <c:v>317289273</c:v>
                </c:pt>
              </c:numCache>
            </c:numRef>
          </c:val>
          <c:extLst>
            <c:ext xmlns:c16="http://schemas.microsoft.com/office/drawing/2014/chart" uri="{C3380CC4-5D6E-409C-BE32-E72D297353CC}">
              <c16:uniqueId val="{00000000-ED0B-40E0-96CD-1E7DE13B1FD4}"/>
            </c:ext>
          </c:extLst>
        </c:ser>
        <c:dLbls>
          <c:dLblPos val="outEnd"/>
          <c:showLegendKey val="0"/>
          <c:showVal val="1"/>
          <c:showCatName val="0"/>
          <c:showSerName val="0"/>
          <c:showPercent val="0"/>
          <c:showBubbleSize val="0"/>
        </c:dLbls>
        <c:gapWidth val="219"/>
        <c:overlap val="-27"/>
        <c:axId val="-253781312"/>
        <c:axId val="-253777504"/>
      </c:barChart>
      <c:catAx>
        <c:axId val="-253781312"/>
        <c:scaling>
          <c:orientation val="minMax"/>
        </c:scaling>
        <c:delete val="1"/>
        <c:axPos val="b"/>
        <c:numFmt formatCode="General" sourceLinked="1"/>
        <c:majorTickMark val="none"/>
        <c:minorTickMark val="none"/>
        <c:tickLblPos val="nextTo"/>
        <c:crossAx val="-253777504"/>
        <c:crosses val="autoZero"/>
        <c:auto val="1"/>
        <c:lblAlgn val="ctr"/>
        <c:lblOffset val="100"/>
        <c:noMultiLvlLbl val="0"/>
      </c:catAx>
      <c:valAx>
        <c:axId val="-253777504"/>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253781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320103: CONTROL Y VIGILANCIA DEL DESARROLLO SECTORIAL SOSTENIBLE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INDIC!$H$11:$L$11</c:f>
              <c:numCache>
                <c:formatCode>_-* #,##0.0_-;\-* #,##0.0_-;_-* "-"??_-;_-@_-</c:formatCode>
                <c:ptCount val="5"/>
                <c:pt idx="0" formatCode="_-* #,##0_-;\-* #,##0_-;_-* &quot;-&quot;??_-;_-@_-">
                  <c:v>999121714</c:v>
                </c:pt>
                <c:pt idx="1">
                  <c:v>2.2685463386432509</c:v>
                </c:pt>
                <c:pt idx="2" formatCode="_-* #,##0_-;\-* #,##0_-;_-* &quot;-&quot;??_-;_-@_-">
                  <c:v>3265675620.1536694</c:v>
                </c:pt>
                <c:pt idx="3">
                  <c:v>0.12477504791254967</c:v>
                </c:pt>
                <c:pt idx="4" formatCode="_-* #,##0_-;\-* #,##0_-;_-* &quot;-&quot;??_-;_-@_-">
                  <c:v>3673150452.1251888</c:v>
                </c:pt>
              </c:numCache>
            </c:numRef>
          </c:val>
          <c:extLst>
            <c:ext xmlns:c16="http://schemas.microsoft.com/office/drawing/2014/chart" uri="{C3380CC4-5D6E-409C-BE32-E72D297353CC}">
              <c16:uniqueId val="{00000000-187C-4C91-B089-A44481A99BE9}"/>
            </c:ext>
          </c:extLst>
        </c:ser>
        <c:dLbls>
          <c:dLblPos val="outEnd"/>
          <c:showLegendKey val="0"/>
          <c:showVal val="1"/>
          <c:showCatName val="0"/>
          <c:showSerName val="0"/>
          <c:showPercent val="0"/>
          <c:showBubbleSize val="0"/>
        </c:dLbls>
        <c:gapWidth val="219"/>
        <c:overlap val="-27"/>
        <c:axId val="-253779680"/>
        <c:axId val="-253776960"/>
      </c:barChart>
      <c:catAx>
        <c:axId val="-253779680"/>
        <c:scaling>
          <c:orientation val="minMax"/>
        </c:scaling>
        <c:delete val="1"/>
        <c:axPos val="b"/>
        <c:numFmt formatCode="General" sourceLinked="1"/>
        <c:majorTickMark val="none"/>
        <c:minorTickMark val="none"/>
        <c:tickLblPos val="nextTo"/>
        <c:crossAx val="-253776960"/>
        <c:crosses val="autoZero"/>
        <c:auto val="1"/>
        <c:lblAlgn val="ctr"/>
        <c:lblOffset val="100"/>
        <c:noMultiLvlLbl val="0"/>
      </c:catAx>
      <c:valAx>
        <c:axId val="-253776960"/>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253779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a:t>PROYECTO 320201: GESTIÓN DE LA BIODIVERSIDAD Y SUS SERVICIOS ECOSISTÉMICOS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INDIC!$H$25:$L$25</c:f>
              <c:numCache>
                <c:formatCode>_-* #,##0.0_-;\-* #,##0.0_-;_-* "-"??_-;_-@_-</c:formatCode>
                <c:ptCount val="5"/>
                <c:pt idx="0" formatCode="_-* #,##0_-;\-* #,##0_-;_-* &quot;-&quot;??_-;_-@_-">
                  <c:v>3990284306</c:v>
                </c:pt>
                <c:pt idx="1">
                  <c:v>-2.5080167708731774E-3</c:v>
                </c:pt>
                <c:pt idx="2" formatCode="_-* #,##0_-;\-* #,##0_-;_-* &quot;-&quot;??_-;_-@_-">
                  <c:v>3980276606.04</c:v>
                </c:pt>
                <c:pt idx="3">
                  <c:v>-0.10356195746518866</c:v>
                </c:pt>
                <c:pt idx="4" formatCode="_-* #,##0_-;\-* #,##0_-;_-* &quot;-&quot;??_-;_-@_-">
                  <c:v>3568071369.4656</c:v>
                </c:pt>
              </c:numCache>
            </c:numRef>
          </c:val>
          <c:extLst>
            <c:ext xmlns:c16="http://schemas.microsoft.com/office/drawing/2014/chart" uri="{C3380CC4-5D6E-409C-BE32-E72D297353CC}">
              <c16:uniqueId val="{00000000-9476-4E14-894F-150CC6F95039}"/>
            </c:ext>
          </c:extLst>
        </c:ser>
        <c:dLbls>
          <c:dLblPos val="outEnd"/>
          <c:showLegendKey val="0"/>
          <c:showVal val="1"/>
          <c:showCatName val="0"/>
          <c:showSerName val="0"/>
          <c:showPercent val="0"/>
          <c:showBubbleSize val="0"/>
        </c:dLbls>
        <c:gapWidth val="219"/>
        <c:overlap val="-27"/>
        <c:axId val="-15884912"/>
        <c:axId val="-15878384"/>
      </c:barChart>
      <c:catAx>
        <c:axId val="-15884912"/>
        <c:scaling>
          <c:orientation val="minMax"/>
        </c:scaling>
        <c:delete val="1"/>
        <c:axPos val="b"/>
        <c:numFmt formatCode="General" sourceLinked="1"/>
        <c:majorTickMark val="none"/>
        <c:minorTickMark val="none"/>
        <c:tickLblPos val="nextTo"/>
        <c:crossAx val="-15878384"/>
        <c:crosses val="autoZero"/>
        <c:auto val="1"/>
        <c:lblAlgn val="ctr"/>
        <c:lblOffset val="100"/>
        <c:noMultiLvlLbl val="0"/>
      </c:catAx>
      <c:valAx>
        <c:axId val="-15878384"/>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5884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320202: CONTROL, SEGUIMIENTO Y MONITOREO AL USO Y MANEJO DE RECURSOS DE LA OFERTA NATURAL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INDIC!$H$36:$L$36</c:f>
              <c:numCache>
                <c:formatCode>_-* #,##0.0_-;\-* #,##0.0_-;_-* "-"??_-;_-@_-</c:formatCode>
                <c:ptCount val="5"/>
                <c:pt idx="0" formatCode="_-* #,##0_-;\-* #,##0_-;_-* &quot;-&quot;??_-;_-@_-">
                  <c:v>1216211306</c:v>
                </c:pt>
                <c:pt idx="1">
                  <c:v>-0.35390393856114999</c:v>
                </c:pt>
                <c:pt idx="2" formatCode="_-* #,##0_-;\-* #,##0_-;_-* &quot;-&quot;??_-;_-@_-">
                  <c:v>785789334.68400002</c:v>
                </c:pt>
                <c:pt idx="3">
                  <c:v>0.25467356387125922</c:v>
                </c:pt>
                <c:pt idx="4" formatCode="_-* #,##0_-;\-* #,##0_-;_-* &quot;-&quot;??_-;_-@_-">
                  <c:v>985909105</c:v>
                </c:pt>
              </c:numCache>
            </c:numRef>
          </c:val>
          <c:extLst>
            <c:ext xmlns:c16="http://schemas.microsoft.com/office/drawing/2014/chart" uri="{C3380CC4-5D6E-409C-BE32-E72D297353CC}">
              <c16:uniqueId val="{00000000-CC7A-440E-A848-CF8B34D7F8C8}"/>
            </c:ext>
          </c:extLst>
        </c:ser>
        <c:dLbls>
          <c:dLblPos val="outEnd"/>
          <c:showLegendKey val="0"/>
          <c:showVal val="1"/>
          <c:showCatName val="0"/>
          <c:showSerName val="0"/>
          <c:showPercent val="0"/>
          <c:showBubbleSize val="0"/>
        </c:dLbls>
        <c:gapWidth val="219"/>
        <c:overlap val="-27"/>
        <c:axId val="-15882192"/>
        <c:axId val="-15872944"/>
      </c:barChart>
      <c:catAx>
        <c:axId val="-15882192"/>
        <c:scaling>
          <c:orientation val="minMax"/>
        </c:scaling>
        <c:delete val="1"/>
        <c:axPos val="b"/>
        <c:numFmt formatCode="General" sourceLinked="1"/>
        <c:majorTickMark val="none"/>
        <c:minorTickMark val="none"/>
        <c:tickLblPos val="nextTo"/>
        <c:crossAx val="-15872944"/>
        <c:crosses val="autoZero"/>
        <c:auto val="1"/>
        <c:lblAlgn val="ctr"/>
        <c:lblOffset val="100"/>
        <c:noMultiLvlLbl val="0"/>
      </c:catAx>
      <c:valAx>
        <c:axId val="-15872944"/>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5882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320203: RESTAURACIÓN, REFORESTACIÓN Y PROTECCIÓN DE ECOSISTEMAS ESTRATÉGICOS EN CUENCAS HIDROGRÁFICAS</a:t>
            </a:r>
          </a:p>
        </c:rich>
      </c:tx>
      <c:layout>
        <c:manualLayout>
          <c:xMode val="edge"/>
          <c:yMode val="edge"/>
          <c:x val="0.16035565778996727"/>
          <c:y val="1.32013132708020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INDIC!$H$40:$L$40</c:f>
              <c:numCache>
                <c:formatCode>_-* #,##0.0_-;\-* #,##0.0_-;_-* "-"??_-;_-@_-</c:formatCode>
                <c:ptCount val="5"/>
                <c:pt idx="0" formatCode="_-* #,##0_-;\-* #,##0_-;_-* &quot;-&quot;??_-;_-@_-">
                  <c:v>1863599822</c:v>
                </c:pt>
                <c:pt idx="1">
                  <c:v>-0.49404037558445313</c:v>
                </c:pt>
                <c:pt idx="2" formatCode="_-* #,##0_-;\-* #,##0_-;_-* &quot;-&quot;??_-;_-@_-">
                  <c:v>942906266</c:v>
                </c:pt>
                <c:pt idx="3">
                  <c:v>0.19818104804067554</c:v>
                </c:pt>
                <c:pt idx="4" formatCode="_-* #,##0_-;\-* #,##0_-;_-* &quot;-&quot;??_-;_-@_-">
                  <c:v>1129772418</c:v>
                </c:pt>
              </c:numCache>
            </c:numRef>
          </c:val>
          <c:extLst>
            <c:ext xmlns:c16="http://schemas.microsoft.com/office/drawing/2014/chart" uri="{C3380CC4-5D6E-409C-BE32-E72D297353CC}">
              <c16:uniqueId val="{00000000-F8FD-43B3-8FB9-D4AC43FED82B}"/>
            </c:ext>
          </c:extLst>
        </c:ser>
        <c:dLbls>
          <c:dLblPos val="outEnd"/>
          <c:showLegendKey val="0"/>
          <c:showVal val="1"/>
          <c:showCatName val="0"/>
          <c:showSerName val="0"/>
          <c:showPercent val="0"/>
          <c:showBubbleSize val="0"/>
        </c:dLbls>
        <c:gapWidth val="219"/>
        <c:overlap val="-27"/>
        <c:axId val="-15883280"/>
        <c:axId val="-15871856"/>
      </c:barChart>
      <c:catAx>
        <c:axId val="-15883280"/>
        <c:scaling>
          <c:orientation val="minMax"/>
        </c:scaling>
        <c:delete val="1"/>
        <c:axPos val="b"/>
        <c:numFmt formatCode="General" sourceLinked="1"/>
        <c:majorTickMark val="none"/>
        <c:minorTickMark val="none"/>
        <c:tickLblPos val="nextTo"/>
        <c:crossAx val="-15871856"/>
        <c:crosses val="autoZero"/>
        <c:auto val="1"/>
        <c:lblAlgn val="ctr"/>
        <c:lblOffset val="100"/>
        <c:noMultiLvlLbl val="0"/>
      </c:catAx>
      <c:valAx>
        <c:axId val="-15871856"/>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5883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320301: CONSERVACIÓN Y USO EFICIENTE DEL RECURSO HÍDRICO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INDIC!$H$47:$L$47</c:f>
              <c:numCache>
                <c:formatCode>_-* #,##0.0_-;\-* #,##0.0_-;_-* "-"??_-;_-@_-</c:formatCode>
                <c:ptCount val="5"/>
                <c:pt idx="0" formatCode="_-* #,##0_-;\-* #,##0_-;_-* &quot;-&quot;??_-;_-@_-">
                  <c:v>8870865331</c:v>
                </c:pt>
                <c:pt idx="1">
                  <c:v>4.7614223893576543E-2</c:v>
                </c:pt>
                <c:pt idx="2" formatCode="_-* #,##0_-;\-* #,##0_-;_-* &quot;-&quot;??_-;_-@_-">
                  <c:v>9293244699</c:v>
                </c:pt>
                <c:pt idx="3">
                  <c:v>4.5319209843825412E-2</c:v>
                </c:pt>
                <c:pt idx="4" formatCode="_-* #,##0_-;\-* #,##0_-;_-* &quot;-&quot;??_-;_-@_-">
                  <c:v>9714407205.6439991</c:v>
                </c:pt>
              </c:numCache>
            </c:numRef>
          </c:val>
          <c:extLst>
            <c:ext xmlns:c16="http://schemas.microsoft.com/office/drawing/2014/chart" uri="{C3380CC4-5D6E-409C-BE32-E72D297353CC}">
              <c16:uniqueId val="{00000000-C2B0-4F70-8479-A7E34D3EFBC7}"/>
            </c:ext>
          </c:extLst>
        </c:ser>
        <c:dLbls>
          <c:dLblPos val="outEnd"/>
          <c:showLegendKey val="0"/>
          <c:showVal val="1"/>
          <c:showCatName val="0"/>
          <c:showSerName val="0"/>
          <c:showPercent val="0"/>
          <c:showBubbleSize val="0"/>
        </c:dLbls>
        <c:gapWidth val="219"/>
        <c:overlap val="-27"/>
        <c:axId val="-15881104"/>
        <c:axId val="-15880560"/>
      </c:barChart>
      <c:catAx>
        <c:axId val="-15881104"/>
        <c:scaling>
          <c:orientation val="minMax"/>
        </c:scaling>
        <c:delete val="1"/>
        <c:axPos val="b"/>
        <c:numFmt formatCode="General" sourceLinked="1"/>
        <c:majorTickMark val="none"/>
        <c:minorTickMark val="none"/>
        <c:tickLblPos val="nextTo"/>
        <c:crossAx val="-15880560"/>
        <c:crosses val="autoZero"/>
        <c:auto val="1"/>
        <c:lblAlgn val="ctr"/>
        <c:lblOffset val="100"/>
        <c:noMultiLvlLbl val="0"/>
      </c:catAx>
      <c:valAx>
        <c:axId val="-15880560"/>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5881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t>PROYECTO 320302: ADMINISTRACIÓN DEL RECURSO HÍDRICO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INDIC!$H$51:$L$51</c:f>
              <c:numCache>
                <c:formatCode>_-* #,##0.0_-;\-* #,##0.0_-;_-* "-"??_-;_-@_-</c:formatCode>
                <c:ptCount val="5"/>
                <c:pt idx="0" formatCode="_-* #,##0_-;\-* #,##0_-;_-* &quot;-&quot;??_-;_-@_-">
                  <c:v>2750155284</c:v>
                </c:pt>
                <c:pt idx="1">
                  <c:v>-0.30084448842053096</c:v>
                </c:pt>
                <c:pt idx="2" formatCode="_-* #,##0_-;\-* #,##0_-;_-* &quot;-&quot;??_-;_-@_-">
                  <c:v>1922786224.5079999</c:v>
                </c:pt>
                <c:pt idx="3">
                  <c:v>0.16943623597387278</c:v>
                </c:pt>
                <c:pt idx="4" formatCode="_-* #,##0_-;\-* #,##0_-;_-* &quot;-&quot;??_-;_-@_-">
                  <c:v>2248575884.9710493</c:v>
                </c:pt>
              </c:numCache>
            </c:numRef>
          </c:val>
          <c:extLst>
            <c:ext xmlns:c16="http://schemas.microsoft.com/office/drawing/2014/chart" uri="{C3380CC4-5D6E-409C-BE32-E72D297353CC}">
              <c16:uniqueId val="{00000000-2616-4C94-A417-8F5E63C6C63F}"/>
            </c:ext>
          </c:extLst>
        </c:ser>
        <c:dLbls>
          <c:dLblPos val="outEnd"/>
          <c:showLegendKey val="0"/>
          <c:showVal val="1"/>
          <c:showCatName val="0"/>
          <c:showSerName val="0"/>
          <c:showPercent val="0"/>
          <c:showBubbleSize val="0"/>
        </c:dLbls>
        <c:gapWidth val="219"/>
        <c:overlap val="-27"/>
        <c:axId val="-15880016"/>
        <c:axId val="-15877840"/>
      </c:barChart>
      <c:catAx>
        <c:axId val="-15880016"/>
        <c:scaling>
          <c:orientation val="minMax"/>
        </c:scaling>
        <c:delete val="1"/>
        <c:axPos val="b"/>
        <c:numFmt formatCode="General" sourceLinked="1"/>
        <c:majorTickMark val="none"/>
        <c:minorTickMark val="none"/>
        <c:tickLblPos val="nextTo"/>
        <c:crossAx val="-15877840"/>
        <c:crosses val="autoZero"/>
        <c:auto val="1"/>
        <c:lblAlgn val="ctr"/>
        <c:lblOffset val="100"/>
        <c:noMultiLvlLbl val="0"/>
      </c:catAx>
      <c:valAx>
        <c:axId val="-15877840"/>
        <c:scaling>
          <c:orientation val="minMax"/>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5880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10.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11.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12.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13.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14.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15.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16.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17.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18.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19.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2.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20.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21.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22.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23.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24.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25.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26.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27.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28.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29.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3.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30.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31.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32.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33.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34.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35.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36.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37.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38.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39.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4.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40.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41.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42.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43.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44.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45.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46.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47.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48.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49.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5.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50.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51.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6.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_rels/data7.xml.rels><?xml version="1.0" encoding="UTF-8" standalone="yes"?>
<Relationships xmlns="http://schemas.openxmlformats.org/package/2006/relationships"><Relationship Id="rId3" Type="http://schemas.openxmlformats.org/officeDocument/2006/relationships/hyperlink" Target="#'ACCIONES 320302'!A1"/><Relationship Id="rId2" Type="http://schemas.openxmlformats.org/officeDocument/2006/relationships/hyperlink" Target="#'ACCIONES 320301'!A1"/><Relationship Id="rId1" Type="http://schemas.openxmlformats.org/officeDocument/2006/relationships/hyperlink" Target="#'ACCIONES 320203'!A1"/><Relationship Id="rId5" Type="http://schemas.openxmlformats.org/officeDocument/2006/relationships/hyperlink" Target="#'ACCIONES 320501'!A1"/><Relationship Id="rId4" Type="http://schemas.openxmlformats.org/officeDocument/2006/relationships/hyperlink" Target="#'ACCIONES 320401'!A1"/></Relationships>
</file>

<file path=xl/diagrams/_rels/data8.xml.rels><?xml version="1.0" encoding="UTF-8" standalone="yes"?>
<Relationships xmlns="http://schemas.openxmlformats.org/package/2006/relationships"><Relationship Id="rId3" Type="http://schemas.openxmlformats.org/officeDocument/2006/relationships/hyperlink" Target="#'ACCIONES 320601'!A1"/><Relationship Id="rId2" Type="http://schemas.openxmlformats.org/officeDocument/2006/relationships/hyperlink" Target="#'ACCIONES 320503'!A1"/><Relationship Id="rId1" Type="http://schemas.openxmlformats.org/officeDocument/2006/relationships/hyperlink" Target="#'ACCIONES 320502'!A1"/><Relationship Id="rId5" Type="http://schemas.openxmlformats.org/officeDocument/2006/relationships/hyperlink" Target="#'ACCIONES 329901'!A1"/><Relationship Id="rId4" Type="http://schemas.openxmlformats.org/officeDocument/2006/relationships/hyperlink" Target="#'ACCIONES 320801'!A1"/></Relationships>
</file>

<file path=xl/diagrams/_rels/data9.xml.rels><?xml version="1.0" encoding="UTF-8" standalone="yes"?>
<Relationships xmlns="http://schemas.openxmlformats.org/package/2006/relationships"><Relationship Id="rId3" Type="http://schemas.openxmlformats.org/officeDocument/2006/relationships/hyperlink" Target="#'ACCIONES 320103'!A1"/><Relationship Id="rId2" Type="http://schemas.openxmlformats.org/officeDocument/2006/relationships/hyperlink" Target="#'ACCIONES 320102'!A1"/><Relationship Id="rId1" Type="http://schemas.openxmlformats.org/officeDocument/2006/relationships/hyperlink" Target="#'ACCIONES 320101'!A1"/><Relationship Id="rId5" Type="http://schemas.openxmlformats.org/officeDocument/2006/relationships/hyperlink" Target="#'ACCIONES 320202'!A1"/><Relationship Id="rId4" Type="http://schemas.openxmlformats.org/officeDocument/2006/relationships/hyperlink" Target="#'ACCIONES 320201'!A1"/></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4.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5.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6.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7.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8.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9.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0.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2.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3.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4.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5.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6.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7.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8.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9.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0.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2.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3.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4.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5.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6.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7.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8.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9.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0.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dgm:spPr/>
      <dgm:t>
        <a:bodyPr/>
        <a:lstStyle/>
        <a:p>
          <a:r>
            <a:rPr lang="es-CO"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b="1">
            <a:solidFill>
              <a:sysClr val="windowText" lastClr="000000"/>
            </a:solidFill>
          </a:endParaRPr>
        </a:p>
      </dgm:t>
    </dgm:pt>
    <dgm:pt modelId="{67CE5C2F-1268-470B-A306-E88D174507DF}" type="sibTrans" cxnId="{A4751C46-4FF9-4972-9DCA-10D1A2973D7C}">
      <dgm:prSet/>
      <dgm:spPr/>
      <dgm:t>
        <a:bodyPr/>
        <a:lstStyle/>
        <a:p>
          <a:endParaRPr lang="es-CO" b="1">
            <a:solidFill>
              <a:sysClr val="windowText" lastClr="000000"/>
            </a:solidFill>
          </a:endParaRPr>
        </a:p>
      </dgm:t>
    </dgm:pt>
    <dgm:pt modelId="{CCEC1903-EEB9-4A17-A008-4EF3FC2A9B16}">
      <dgm:prSet phldrT="[Texto]"/>
      <dgm:spPr/>
      <dgm:t>
        <a:bodyPr/>
        <a:lstStyle/>
        <a:p>
          <a:r>
            <a:rPr lang="es-CO"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b="1">
            <a:solidFill>
              <a:sysClr val="windowText" lastClr="000000"/>
            </a:solidFill>
          </a:endParaRPr>
        </a:p>
      </dgm:t>
    </dgm:pt>
    <dgm:pt modelId="{50152946-9D07-4EE0-918E-E73E4E413630}" type="sibTrans" cxnId="{B26B0531-FAEC-487E-B7B1-FA3587A32D32}">
      <dgm:prSet/>
      <dgm:spPr/>
      <dgm:t>
        <a:bodyPr/>
        <a:lstStyle/>
        <a:p>
          <a:endParaRPr lang="es-CO" b="1">
            <a:solidFill>
              <a:sysClr val="windowText" lastClr="000000"/>
            </a:solidFill>
          </a:endParaRPr>
        </a:p>
      </dgm:t>
    </dgm:pt>
    <dgm:pt modelId="{C23BF35F-11CE-41B0-948D-9F6F6996B47A}">
      <dgm:prSet phldrT="[Texto]"/>
      <dgm:spPr/>
      <dgm:t>
        <a:bodyPr/>
        <a:lstStyle/>
        <a:p>
          <a:r>
            <a:rPr lang="es-CO"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b="1">
            <a:solidFill>
              <a:sysClr val="windowText" lastClr="000000"/>
            </a:solidFill>
          </a:endParaRPr>
        </a:p>
      </dgm:t>
    </dgm:pt>
    <dgm:pt modelId="{B05061CD-4813-49A1-8E43-8E5609730B93}" type="sibTrans" cxnId="{24E1BBD7-9A17-4C90-8BF4-6084FBAEE002}">
      <dgm:prSet/>
      <dgm:spPr/>
      <dgm:t>
        <a:bodyPr/>
        <a:lstStyle/>
        <a:p>
          <a:endParaRPr lang="es-CO" b="1">
            <a:solidFill>
              <a:sysClr val="windowText" lastClr="000000"/>
            </a:solidFill>
          </a:endParaRPr>
        </a:p>
      </dgm:t>
    </dgm:pt>
    <dgm:pt modelId="{478F0EF4-37C9-4C42-A564-2E10E5592036}">
      <dgm:prSet phldrT="[Texto]"/>
      <dgm:spPr/>
      <dgm:t>
        <a:bodyPr/>
        <a:lstStyle/>
        <a:p>
          <a:r>
            <a:rPr lang="es-CO"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b="1">
            <a:solidFill>
              <a:sysClr val="windowText" lastClr="000000"/>
            </a:solidFill>
          </a:endParaRPr>
        </a:p>
      </dgm:t>
    </dgm:pt>
    <dgm:pt modelId="{A7C656FF-04CE-44CF-855E-B8D551D5B68F}" type="sibTrans" cxnId="{B5337568-0E59-4F5C-8E7A-5FB2E4CB3ED9}">
      <dgm:prSet/>
      <dgm:spPr/>
      <dgm:t>
        <a:bodyPr/>
        <a:lstStyle/>
        <a:p>
          <a:endParaRPr lang="es-CO" b="1">
            <a:solidFill>
              <a:sysClr val="windowText" lastClr="000000"/>
            </a:solidFill>
          </a:endParaRPr>
        </a:p>
      </dgm:t>
    </dgm:pt>
    <dgm:pt modelId="{77ED72F7-5867-45FB-A572-1D61D2FFCF1B}">
      <dgm:prSet/>
      <dgm:spPr/>
      <dgm:t>
        <a:bodyPr/>
        <a:lstStyle/>
        <a:p>
          <a:r>
            <a:rPr lang="es-CO"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b="1">
            <a:solidFill>
              <a:sysClr val="windowText" lastClr="000000"/>
            </a:solidFill>
          </a:endParaRPr>
        </a:p>
      </dgm:t>
    </dgm:pt>
    <dgm:pt modelId="{BDFDFD82-58C9-462F-8C87-480329CCF865}" type="sibTrans" cxnId="{4DCF760A-4234-411C-9DDD-DEBB4735165A}">
      <dgm:prSet/>
      <dgm:spPr/>
      <dgm:t>
        <a:bodyPr/>
        <a:lstStyle/>
        <a:p>
          <a:endParaRPr lang="es-CO"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dgm:spPr/>
      <dgm:t>
        <a:bodyPr/>
        <a:lstStyle/>
        <a:p>
          <a:r>
            <a:rPr lang="es-CO"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b="1">
            <a:solidFill>
              <a:sysClr val="windowText" lastClr="000000"/>
            </a:solidFill>
          </a:endParaRPr>
        </a:p>
      </dgm:t>
    </dgm:pt>
    <dgm:pt modelId="{67CE5C2F-1268-470B-A306-E88D174507DF}" type="sibTrans" cxnId="{A4751C46-4FF9-4972-9DCA-10D1A2973D7C}">
      <dgm:prSet/>
      <dgm:spPr/>
      <dgm:t>
        <a:bodyPr/>
        <a:lstStyle/>
        <a:p>
          <a:endParaRPr lang="es-CO" b="1">
            <a:solidFill>
              <a:sysClr val="windowText" lastClr="000000"/>
            </a:solidFill>
          </a:endParaRPr>
        </a:p>
      </dgm:t>
    </dgm:pt>
    <dgm:pt modelId="{CCEC1903-EEB9-4A17-A008-4EF3FC2A9B16}">
      <dgm:prSet phldrT="[Texto]"/>
      <dgm:spPr/>
      <dgm:t>
        <a:bodyPr/>
        <a:lstStyle/>
        <a:p>
          <a:r>
            <a:rPr lang="es-CO"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b="1">
            <a:solidFill>
              <a:sysClr val="windowText" lastClr="000000"/>
            </a:solidFill>
          </a:endParaRPr>
        </a:p>
      </dgm:t>
    </dgm:pt>
    <dgm:pt modelId="{50152946-9D07-4EE0-918E-E73E4E413630}" type="sibTrans" cxnId="{B26B0531-FAEC-487E-B7B1-FA3587A32D32}">
      <dgm:prSet/>
      <dgm:spPr/>
      <dgm:t>
        <a:bodyPr/>
        <a:lstStyle/>
        <a:p>
          <a:endParaRPr lang="es-CO" b="1">
            <a:solidFill>
              <a:sysClr val="windowText" lastClr="000000"/>
            </a:solidFill>
          </a:endParaRPr>
        </a:p>
      </dgm:t>
    </dgm:pt>
    <dgm:pt modelId="{C23BF35F-11CE-41B0-948D-9F6F6996B47A}">
      <dgm:prSet phldrT="[Texto]"/>
      <dgm:spPr/>
      <dgm:t>
        <a:bodyPr/>
        <a:lstStyle/>
        <a:p>
          <a:r>
            <a:rPr lang="es-CO"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b="1">
            <a:solidFill>
              <a:sysClr val="windowText" lastClr="000000"/>
            </a:solidFill>
          </a:endParaRPr>
        </a:p>
      </dgm:t>
    </dgm:pt>
    <dgm:pt modelId="{B05061CD-4813-49A1-8E43-8E5609730B93}" type="sibTrans" cxnId="{24E1BBD7-9A17-4C90-8BF4-6084FBAEE002}">
      <dgm:prSet/>
      <dgm:spPr/>
      <dgm:t>
        <a:bodyPr/>
        <a:lstStyle/>
        <a:p>
          <a:endParaRPr lang="es-CO" b="1">
            <a:solidFill>
              <a:sysClr val="windowText" lastClr="000000"/>
            </a:solidFill>
          </a:endParaRPr>
        </a:p>
      </dgm:t>
    </dgm:pt>
    <dgm:pt modelId="{478F0EF4-37C9-4C42-A564-2E10E5592036}">
      <dgm:prSet phldrT="[Texto]"/>
      <dgm:spPr/>
      <dgm:t>
        <a:bodyPr/>
        <a:lstStyle/>
        <a:p>
          <a:r>
            <a:rPr lang="es-CO"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b="1">
            <a:solidFill>
              <a:sysClr val="windowText" lastClr="000000"/>
            </a:solidFill>
          </a:endParaRPr>
        </a:p>
      </dgm:t>
    </dgm:pt>
    <dgm:pt modelId="{A7C656FF-04CE-44CF-855E-B8D551D5B68F}" type="sibTrans" cxnId="{B5337568-0E59-4F5C-8E7A-5FB2E4CB3ED9}">
      <dgm:prSet/>
      <dgm:spPr/>
      <dgm:t>
        <a:bodyPr/>
        <a:lstStyle/>
        <a:p>
          <a:endParaRPr lang="es-CO" b="1">
            <a:solidFill>
              <a:sysClr val="windowText" lastClr="000000"/>
            </a:solidFill>
          </a:endParaRPr>
        </a:p>
      </dgm:t>
    </dgm:pt>
    <dgm:pt modelId="{77ED72F7-5867-45FB-A572-1D61D2FFCF1B}">
      <dgm:prSet/>
      <dgm:spPr/>
      <dgm:t>
        <a:bodyPr/>
        <a:lstStyle/>
        <a:p>
          <a:r>
            <a:rPr lang="es-CO"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b="1">
            <a:solidFill>
              <a:sysClr val="windowText" lastClr="000000"/>
            </a:solidFill>
          </a:endParaRPr>
        </a:p>
      </dgm:t>
    </dgm:pt>
    <dgm:pt modelId="{BDFDFD82-58C9-462F-8C87-480329CCF865}" type="sibTrans" cxnId="{4DCF760A-4234-411C-9DDD-DEBB4735165A}">
      <dgm:prSet/>
      <dgm:spPr/>
      <dgm:t>
        <a:bodyPr/>
        <a:lstStyle/>
        <a:p>
          <a:endParaRPr lang="es-CO"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5D8257CB-A29E-42F4-A4DE-34486DCBDCC3}">
      <dgm:prSet phldrT="[Texto]" custT="1"/>
      <dgm:spPr/>
      <dgm:t>
        <a:bodyPr/>
        <a:lstStyle/>
        <a:p>
          <a:r>
            <a:rPr lang="es-CO" sz="800" b="1"/>
            <a:t>329901</a:t>
          </a:r>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600"/>
        </a:p>
      </dgm:t>
    </dgm:pt>
    <dgm:pt modelId="{E0257DB5-2F25-45B5-8091-CC0A81F4D64D}" type="sibTrans" cxnId="{C2FB71B7-C3A6-4195-9097-03998FB04095}">
      <dgm:prSet/>
      <dgm:spPr/>
      <dgm:t>
        <a:bodyPr/>
        <a:lstStyle/>
        <a:p>
          <a:endParaRPr lang="es-CO" sz="1600"/>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2000" b="1">
            <a:solidFill>
              <a:sysClr val="windowText" lastClr="000000"/>
            </a:solidFill>
          </a:endParaRPr>
        </a:p>
      </dgm:t>
    </dgm:pt>
    <dgm:pt modelId="{67CE5C2F-1268-470B-A306-E88D174507DF}" type="sibTrans" cxnId="{A4751C46-4FF9-4972-9DCA-10D1A2973D7C}">
      <dgm:prSet/>
      <dgm:spPr/>
      <dgm:t>
        <a:bodyPr/>
        <a:lstStyle/>
        <a:p>
          <a:endParaRPr lang="es-CO" sz="2000" b="1">
            <a:solidFill>
              <a:sysClr val="windowText" lastClr="000000"/>
            </a:solidFill>
          </a:endParaRPr>
        </a:p>
      </dgm:t>
    </dgm:pt>
    <dgm:pt modelId="{CCEC1903-EEB9-4A17-A008-4EF3FC2A9B16}">
      <dgm:prSet phldrT="[Texto]" custT="1"/>
      <dgm:spPr/>
      <dgm:t>
        <a:bodyPr/>
        <a:lstStyle/>
        <a:p>
          <a:r>
            <a:rPr lang="es-CO" sz="9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2000" b="1">
            <a:solidFill>
              <a:sysClr val="windowText" lastClr="000000"/>
            </a:solidFill>
          </a:endParaRPr>
        </a:p>
      </dgm:t>
    </dgm:pt>
    <dgm:pt modelId="{50152946-9D07-4EE0-918E-E73E4E413630}" type="sibTrans" cxnId="{B26B0531-FAEC-487E-B7B1-FA3587A32D32}">
      <dgm:prSet/>
      <dgm:spPr/>
      <dgm:t>
        <a:bodyPr/>
        <a:lstStyle/>
        <a:p>
          <a:endParaRPr lang="es-CO" sz="2000" b="1">
            <a:solidFill>
              <a:sysClr val="windowText" lastClr="000000"/>
            </a:solidFill>
          </a:endParaRPr>
        </a:p>
      </dgm:t>
    </dgm:pt>
    <dgm:pt modelId="{C23BF35F-11CE-41B0-948D-9F6F6996B47A}">
      <dgm:prSet phldrT="[Texto]" custT="1"/>
      <dgm:spPr/>
      <dgm:t>
        <a:bodyPr/>
        <a:lstStyle/>
        <a:p>
          <a:r>
            <a:rPr lang="es-CO" sz="9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2000" b="1">
            <a:solidFill>
              <a:sysClr val="windowText" lastClr="000000"/>
            </a:solidFill>
          </a:endParaRPr>
        </a:p>
      </dgm:t>
    </dgm:pt>
    <dgm:pt modelId="{B05061CD-4813-49A1-8E43-8E5609730B93}" type="sibTrans" cxnId="{24E1BBD7-9A17-4C90-8BF4-6084FBAEE002}">
      <dgm:prSet/>
      <dgm:spPr/>
      <dgm:t>
        <a:bodyPr/>
        <a:lstStyle/>
        <a:p>
          <a:endParaRPr lang="es-CO" sz="2000" b="1">
            <a:solidFill>
              <a:sysClr val="windowText" lastClr="000000"/>
            </a:solidFill>
          </a:endParaRPr>
        </a:p>
      </dgm:t>
    </dgm:pt>
    <dgm:pt modelId="{478F0EF4-37C9-4C42-A564-2E10E5592036}">
      <dgm:prSet phldrT="[Texto]" custT="1"/>
      <dgm:spPr/>
      <dgm:t>
        <a:bodyPr/>
        <a:lstStyle/>
        <a:p>
          <a:r>
            <a:rPr lang="es-CO" sz="9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2000" b="1">
            <a:solidFill>
              <a:sysClr val="windowText" lastClr="000000"/>
            </a:solidFill>
          </a:endParaRPr>
        </a:p>
      </dgm:t>
    </dgm:pt>
    <dgm:pt modelId="{A7C656FF-04CE-44CF-855E-B8D551D5B68F}" type="sibTrans" cxnId="{B5337568-0E59-4F5C-8E7A-5FB2E4CB3ED9}">
      <dgm:prSet/>
      <dgm:spPr/>
      <dgm:t>
        <a:bodyPr/>
        <a:lstStyle/>
        <a:p>
          <a:endParaRPr lang="es-CO" sz="2000" b="1">
            <a:solidFill>
              <a:sysClr val="windowText" lastClr="000000"/>
            </a:solidFill>
          </a:endParaRPr>
        </a:p>
      </dgm:t>
    </dgm:pt>
    <dgm:pt modelId="{77ED72F7-5867-45FB-A572-1D61D2FFCF1B}">
      <dgm:prSet custT="1"/>
      <dgm:spPr/>
      <dgm:t>
        <a:bodyPr/>
        <a:lstStyle/>
        <a:p>
          <a:r>
            <a:rPr lang="es-CO" sz="9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2000" b="1">
            <a:solidFill>
              <a:sysClr val="windowText" lastClr="000000"/>
            </a:solidFill>
          </a:endParaRPr>
        </a:p>
      </dgm:t>
    </dgm:pt>
    <dgm:pt modelId="{50F7F6CE-8FB0-41DF-9D1D-BB1D2F7164B4}" type="parTrans" cxnId="{4DCF760A-4234-411C-9DDD-DEBB4735165A}">
      <dgm:prSet/>
      <dgm:spPr/>
      <dgm:t>
        <a:bodyPr/>
        <a:lstStyle/>
        <a:p>
          <a:endParaRPr lang="es-CO" sz="2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100" b="1">
            <a:solidFill>
              <a:sysClr val="windowText" lastClr="000000"/>
            </a:solidFill>
          </a:endParaRPr>
        </a:p>
      </dgm:t>
    </dgm:pt>
    <dgm:pt modelId="{67CE5C2F-1268-470B-A306-E88D174507DF}" type="sibTrans" cxnId="{A4751C46-4FF9-4972-9DCA-10D1A2973D7C}">
      <dgm:prSet/>
      <dgm:spPr/>
      <dgm:t>
        <a:bodyPr/>
        <a:lstStyle/>
        <a:p>
          <a:endParaRPr lang="es-CO" sz="1100" b="1">
            <a:solidFill>
              <a:sysClr val="windowText" lastClr="000000"/>
            </a:solidFill>
          </a:endParaRPr>
        </a:p>
      </dgm:t>
    </dgm:pt>
    <dgm:pt modelId="{CCEC1903-EEB9-4A17-A008-4EF3FC2A9B16}">
      <dgm:prSet phldrT="[Texto]" custT="1"/>
      <dgm:spPr/>
      <dgm:t>
        <a:bodyPr/>
        <a:lstStyle/>
        <a:p>
          <a:r>
            <a:rPr lang="es-CO" sz="900"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100" b="1">
            <a:solidFill>
              <a:sysClr val="windowText" lastClr="000000"/>
            </a:solidFill>
          </a:endParaRPr>
        </a:p>
      </dgm:t>
    </dgm:pt>
    <dgm:pt modelId="{50152946-9D07-4EE0-918E-E73E4E413630}" type="sibTrans" cxnId="{B26B0531-FAEC-487E-B7B1-FA3587A32D32}">
      <dgm:prSet/>
      <dgm:spPr/>
      <dgm:t>
        <a:bodyPr/>
        <a:lstStyle/>
        <a:p>
          <a:endParaRPr lang="es-CO" sz="1100" b="1">
            <a:solidFill>
              <a:sysClr val="windowText" lastClr="000000"/>
            </a:solidFill>
          </a:endParaRPr>
        </a:p>
      </dgm:t>
    </dgm:pt>
    <dgm:pt modelId="{C23BF35F-11CE-41B0-948D-9F6F6996B47A}">
      <dgm:prSet phldrT="[Texto]" custT="1"/>
      <dgm:spPr/>
      <dgm:t>
        <a:bodyPr/>
        <a:lstStyle/>
        <a:p>
          <a:r>
            <a:rPr lang="es-CO" sz="900"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100" b="1">
            <a:solidFill>
              <a:sysClr val="windowText" lastClr="000000"/>
            </a:solidFill>
          </a:endParaRPr>
        </a:p>
      </dgm:t>
    </dgm:pt>
    <dgm:pt modelId="{B05061CD-4813-49A1-8E43-8E5609730B93}" type="sibTrans" cxnId="{24E1BBD7-9A17-4C90-8BF4-6084FBAEE002}">
      <dgm:prSet/>
      <dgm:spPr/>
      <dgm:t>
        <a:bodyPr/>
        <a:lstStyle/>
        <a:p>
          <a:endParaRPr lang="es-CO" sz="1100" b="1">
            <a:solidFill>
              <a:sysClr val="windowText" lastClr="000000"/>
            </a:solidFill>
          </a:endParaRPr>
        </a:p>
      </dgm:t>
    </dgm:pt>
    <dgm:pt modelId="{478F0EF4-37C9-4C42-A564-2E10E5592036}">
      <dgm:prSet phldrT="[Texto]" custT="1"/>
      <dgm:spPr/>
      <dgm:t>
        <a:bodyPr/>
        <a:lstStyle/>
        <a:p>
          <a:r>
            <a:rPr lang="es-CO" sz="900"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100" b="1">
            <a:solidFill>
              <a:sysClr val="windowText" lastClr="000000"/>
            </a:solidFill>
          </a:endParaRPr>
        </a:p>
      </dgm:t>
    </dgm:pt>
    <dgm:pt modelId="{A7C656FF-04CE-44CF-855E-B8D551D5B68F}" type="sibTrans" cxnId="{B5337568-0E59-4F5C-8E7A-5FB2E4CB3ED9}">
      <dgm:prSet/>
      <dgm:spPr/>
      <dgm:t>
        <a:bodyPr/>
        <a:lstStyle/>
        <a:p>
          <a:endParaRPr lang="es-CO" sz="1100" b="1">
            <a:solidFill>
              <a:sysClr val="windowText" lastClr="000000"/>
            </a:solidFill>
          </a:endParaRPr>
        </a:p>
      </dgm:t>
    </dgm:pt>
    <dgm:pt modelId="{77ED72F7-5867-45FB-A572-1D61D2FFCF1B}">
      <dgm:prSet custT="1"/>
      <dgm:spPr/>
      <dgm:t>
        <a:bodyPr/>
        <a:lstStyle/>
        <a:p>
          <a:r>
            <a:rPr lang="es-CO" sz="900"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sz="1100" b="1">
            <a:solidFill>
              <a:sysClr val="windowText" lastClr="000000"/>
            </a:solidFill>
          </a:endParaRPr>
        </a:p>
      </dgm:t>
    </dgm:pt>
    <dgm:pt modelId="{BDFDFD82-58C9-462F-8C87-480329CCF865}" type="sibTrans" cxnId="{4DCF760A-4234-411C-9DDD-DEBB4735165A}">
      <dgm:prSet/>
      <dgm:spPr/>
      <dgm:t>
        <a:bodyPr/>
        <a:lstStyle/>
        <a:p>
          <a:endParaRPr lang="es-CO" sz="11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5D8257CB-A29E-42F4-A4DE-34486DCBDCC3}">
      <dgm:prSet phldrT="[Texto]" custT="1"/>
      <dgm:spPr/>
      <dgm:t>
        <a:bodyPr/>
        <a:lstStyle/>
        <a:p>
          <a:r>
            <a:rPr lang="es-CO" sz="800" b="1"/>
            <a:t>329901</a:t>
          </a:r>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600"/>
        </a:p>
      </dgm:t>
    </dgm:pt>
    <dgm:pt modelId="{E0257DB5-2F25-45B5-8091-CC0A81F4D64D}" type="sibTrans" cxnId="{C2FB71B7-C3A6-4195-9097-03998FB04095}">
      <dgm:prSet/>
      <dgm:spPr/>
      <dgm:t>
        <a:bodyPr/>
        <a:lstStyle/>
        <a:p>
          <a:endParaRPr lang="es-CO" sz="1600"/>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2000" b="1">
            <a:solidFill>
              <a:sysClr val="windowText" lastClr="000000"/>
            </a:solidFill>
          </a:endParaRPr>
        </a:p>
      </dgm:t>
    </dgm:pt>
    <dgm:pt modelId="{67CE5C2F-1268-470B-A306-E88D174507DF}" type="sibTrans" cxnId="{A4751C46-4FF9-4972-9DCA-10D1A2973D7C}">
      <dgm:prSet/>
      <dgm:spPr/>
      <dgm:t>
        <a:bodyPr/>
        <a:lstStyle/>
        <a:p>
          <a:endParaRPr lang="es-CO" sz="2000" b="1">
            <a:solidFill>
              <a:sysClr val="windowText" lastClr="000000"/>
            </a:solidFill>
          </a:endParaRPr>
        </a:p>
      </dgm:t>
    </dgm:pt>
    <dgm:pt modelId="{CCEC1903-EEB9-4A17-A008-4EF3FC2A9B16}">
      <dgm:prSet phldrT="[Texto]" custT="1"/>
      <dgm:spPr/>
      <dgm:t>
        <a:bodyPr/>
        <a:lstStyle/>
        <a:p>
          <a:r>
            <a:rPr lang="es-CO" sz="9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2000" b="1">
            <a:solidFill>
              <a:sysClr val="windowText" lastClr="000000"/>
            </a:solidFill>
          </a:endParaRPr>
        </a:p>
      </dgm:t>
    </dgm:pt>
    <dgm:pt modelId="{50152946-9D07-4EE0-918E-E73E4E413630}" type="sibTrans" cxnId="{B26B0531-FAEC-487E-B7B1-FA3587A32D32}">
      <dgm:prSet/>
      <dgm:spPr/>
      <dgm:t>
        <a:bodyPr/>
        <a:lstStyle/>
        <a:p>
          <a:endParaRPr lang="es-CO" sz="2000" b="1">
            <a:solidFill>
              <a:sysClr val="windowText" lastClr="000000"/>
            </a:solidFill>
          </a:endParaRPr>
        </a:p>
      </dgm:t>
    </dgm:pt>
    <dgm:pt modelId="{C23BF35F-11CE-41B0-948D-9F6F6996B47A}">
      <dgm:prSet phldrT="[Texto]" custT="1"/>
      <dgm:spPr/>
      <dgm:t>
        <a:bodyPr/>
        <a:lstStyle/>
        <a:p>
          <a:r>
            <a:rPr lang="es-CO" sz="9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2000" b="1">
            <a:solidFill>
              <a:sysClr val="windowText" lastClr="000000"/>
            </a:solidFill>
          </a:endParaRPr>
        </a:p>
      </dgm:t>
    </dgm:pt>
    <dgm:pt modelId="{B05061CD-4813-49A1-8E43-8E5609730B93}" type="sibTrans" cxnId="{24E1BBD7-9A17-4C90-8BF4-6084FBAEE002}">
      <dgm:prSet/>
      <dgm:spPr/>
      <dgm:t>
        <a:bodyPr/>
        <a:lstStyle/>
        <a:p>
          <a:endParaRPr lang="es-CO" sz="2000" b="1">
            <a:solidFill>
              <a:sysClr val="windowText" lastClr="000000"/>
            </a:solidFill>
          </a:endParaRPr>
        </a:p>
      </dgm:t>
    </dgm:pt>
    <dgm:pt modelId="{478F0EF4-37C9-4C42-A564-2E10E5592036}">
      <dgm:prSet phldrT="[Texto]" custT="1"/>
      <dgm:spPr/>
      <dgm:t>
        <a:bodyPr/>
        <a:lstStyle/>
        <a:p>
          <a:r>
            <a:rPr lang="es-CO" sz="9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2000" b="1">
            <a:solidFill>
              <a:sysClr val="windowText" lastClr="000000"/>
            </a:solidFill>
          </a:endParaRPr>
        </a:p>
      </dgm:t>
    </dgm:pt>
    <dgm:pt modelId="{A7C656FF-04CE-44CF-855E-B8D551D5B68F}" type="sibTrans" cxnId="{B5337568-0E59-4F5C-8E7A-5FB2E4CB3ED9}">
      <dgm:prSet/>
      <dgm:spPr/>
      <dgm:t>
        <a:bodyPr/>
        <a:lstStyle/>
        <a:p>
          <a:endParaRPr lang="es-CO" sz="2000" b="1">
            <a:solidFill>
              <a:sysClr val="windowText" lastClr="000000"/>
            </a:solidFill>
          </a:endParaRPr>
        </a:p>
      </dgm:t>
    </dgm:pt>
    <dgm:pt modelId="{77ED72F7-5867-45FB-A572-1D61D2FFCF1B}">
      <dgm:prSet custT="1"/>
      <dgm:spPr/>
      <dgm:t>
        <a:bodyPr/>
        <a:lstStyle/>
        <a:p>
          <a:r>
            <a:rPr lang="es-CO" sz="9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2000" b="1">
            <a:solidFill>
              <a:sysClr val="windowText" lastClr="000000"/>
            </a:solidFill>
          </a:endParaRPr>
        </a:p>
      </dgm:t>
    </dgm:pt>
    <dgm:pt modelId="{50F7F6CE-8FB0-41DF-9D1D-BB1D2F7164B4}" type="parTrans" cxnId="{4DCF760A-4234-411C-9DDD-DEBB4735165A}">
      <dgm:prSet/>
      <dgm:spPr/>
      <dgm:t>
        <a:bodyPr/>
        <a:lstStyle/>
        <a:p>
          <a:endParaRPr lang="es-CO" sz="2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dgm:spPr/>
      <dgm:t>
        <a:bodyPr/>
        <a:lstStyle/>
        <a:p>
          <a:r>
            <a:rPr lang="es-CO"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b="1">
            <a:solidFill>
              <a:sysClr val="windowText" lastClr="000000"/>
            </a:solidFill>
          </a:endParaRPr>
        </a:p>
      </dgm:t>
    </dgm:pt>
    <dgm:pt modelId="{67CE5C2F-1268-470B-A306-E88D174507DF}" type="sibTrans" cxnId="{A4751C46-4FF9-4972-9DCA-10D1A2973D7C}">
      <dgm:prSet/>
      <dgm:spPr/>
      <dgm:t>
        <a:bodyPr/>
        <a:lstStyle/>
        <a:p>
          <a:endParaRPr lang="es-CO" b="1">
            <a:solidFill>
              <a:sysClr val="windowText" lastClr="000000"/>
            </a:solidFill>
          </a:endParaRPr>
        </a:p>
      </dgm:t>
    </dgm:pt>
    <dgm:pt modelId="{CCEC1903-EEB9-4A17-A008-4EF3FC2A9B16}">
      <dgm:prSet phldrT="[Texto]"/>
      <dgm:spPr/>
      <dgm:t>
        <a:bodyPr/>
        <a:lstStyle/>
        <a:p>
          <a:r>
            <a:rPr lang="es-CO"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b="1">
            <a:solidFill>
              <a:sysClr val="windowText" lastClr="000000"/>
            </a:solidFill>
          </a:endParaRPr>
        </a:p>
      </dgm:t>
    </dgm:pt>
    <dgm:pt modelId="{50152946-9D07-4EE0-918E-E73E4E413630}" type="sibTrans" cxnId="{B26B0531-FAEC-487E-B7B1-FA3587A32D32}">
      <dgm:prSet/>
      <dgm:spPr/>
      <dgm:t>
        <a:bodyPr/>
        <a:lstStyle/>
        <a:p>
          <a:endParaRPr lang="es-CO" b="1">
            <a:solidFill>
              <a:sysClr val="windowText" lastClr="000000"/>
            </a:solidFill>
          </a:endParaRPr>
        </a:p>
      </dgm:t>
    </dgm:pt>
    <dgm:pt modelId="{C23BF35F-11CE-41B0-948D-9F6F6996B47A}">
      <dgm:prSet phldrT="[Texto]"/>
      <dgm:spPr/>
      <dgm:t>
        <a:bodyPr/>
        <a:lstStyle/>
        <a:p>
          <a:r>
            <a:rPr lang="es-CO"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b="1">
            <a:solidFill>
              <a:sysClr val="windowText" lastClr="000000"/>
            </a:solidFill>
          </a:endParaRPr>
        </a:p>
      </dgm:t>
    </dgm:pt>
    <dgm:pt modelId="{B05061CD-4813-49A1-8E43-8E5609730B93}" type="sibTrans" cxnId="{24E1BBD7-9A17-4C90-8BF4-6084FBAEE002}">
      <dgm:prSet/>
      <dgm:spPr/>
      <dgm:t>
        <a:bodyPr/>
        <a:lstStyle/>
        <a:p>
          <a:endParaRPr lang="es-CO" b="1">
            <a:solidFill>
              <a:sysClr val="windowText" lastClr="000000"/>
            </a:solidFill>
          </a:endParaRPr>
        </a:p>
      </dgm:t>
    </dgm:pt>
    <dgm:pt modelId="{478F0EF4-37C9-4C42-A564-2E10E5592036}">
      <dgm:prSet phldrT="[Texto]"/>
      <dgm:spPr/>
      <dgm:t>
        <a:bodyPr/>
        <a:lstStyle/>
        <a:p>
          <a:r>
            <a:rPr lang="es-CO"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b="1">
            <a:solidFill>
              <a:sysClr val="windowText" lastClr="000000"/>
            </a:solidFill>
          </a:endParaRPr>
        </a:p>
      </dgm:t>
    </dgm:pt>
    <dgm:pt modelId="{A7C656FF-04CE-44CF-855E-B8D551D5B68F}" type="sibTrans" cxnId="{B5337568-0E59-4F5C-8E7A-5FB2E4CB3ED9}">
      <dgm:prSet/>
      <dgm:spPr/>
      <dgm:t>
        <a:bodyPr/>
        <a:lstStyle/>
        <a:p>
          <a:endParaRPr lang="es-CO" b="1">
            <a:solidFill>
              <a:sysClr val="windowText" lastClr="000000"/>
            </a:solidFill>
          </a:endParaRPr>
        </a:p>
      </dgm:t>
    </dgm:pt>
    <dgm:pt modelId="{77ED72F7-5867-45FB-A572-1D61D2FFCF1B}">
      <dgm:prSet/>
      <dgm:spPr/>
      <dgm:t>
        <a:bodyPr/>
        <a:lstStyle/>
        <a:p>
          <a:r>
            <a:rPr lang="es-CO"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b="1">
            <a:solidFill>
              <a:sysClr val="windowText" lastClr="000000"/>
            </a:solidFill>
          </a:endParaRPr>
        </a:p>
      </dgm:t>
    </dgm:pt>
    <dgm:pt modelId="{BDFDFD82-58C9-462F-8C87-480329CCF865}" type="sibTrans" cxnId="{4DCF760A-4234-411C-9DDD-DEBB4735165A}">
      <dgm:prSet/>
      <dgm:spPr/>
      <dgm:t>
        <a:bodyPr/>
        <a:lstStyle/>
        <a:p>
          <a:endParaRPr lang="es-CO"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5D8257CB-A29E-42F4-A4DE-34486DCBDCC3}">
      <dgm:prSet phldrT="[Texto]" custT="1"/>
      <dgm:spPr/>
      <dgm:t>
        <a:bodyPr/>
        <a:lstStyle/>
        <a:p>
          <a:r>
            <a:rPr lang="es-CO" sz="900" b="1"/>
            <a:t>329901</a:t>
          </a:r>
          <a:endParaRPr lang="es-CO" sz="80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600"/>
        </a:p>
      </dgm:t>
    </dgm:pt>
    <dgm:pt modelId="{E0257DB5-2F25-45B5-8091-CC0A81F4D64D}" type="sibTrans" cxnId="{C2FB71B7-C3A6-4195-9097-03998FB04095}">
      <dgm:prSet/>
      <dgm:spPr/>
      <dgm:t>
        <a:bodyPr/>
        <a:lstStyle/>
        <a:p>
          <a:endParaRPr lang="es-CO" sz="1600"/>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2000" b="1">
            <a:solidFill>
              <a:sysClr val="windowText" lastClr="000000"/>
            </a:solidFill>
          </a:endParaRPr>
        </a:p>
      </dgm:t>
    </dgm:pt>
    <dgm:pt modelId="{67CE5C2F-1268-470B-A306-E88D174507DF}" type="sibTrans" cxnId="{A4751C46-4FF9-4972-9DCA-10D1A2973D7C}">
      <dgm:prSet/>
      <dgm:spPr/>
      <dgm:t>
        <a:bodyPr/>
        <a:lstStyle/>
        <a:p>
          <a:endParaRPr lang="es-CO" sz="2000" b="1">
            <a:solidFill>
              <a:sysClr val="windowText" lastClr="000000"/>
            </a:solidFill>
          </a:endParaRPr>
        </a:p>
      </dgm:t>
    </dgm:pt>
    <dgm:pt modelId="{CCEC1903-EEB9-4A17-A008-4EF3FC2A9B16}">
      <dgm:prSet phldrT="[Texto]" custT="1"/>
      <dgm:spPr/>
      <dgm:t>
        <a:bodyPr/>
        <a:lstStyle/>
        <a:p>
          <a:r>
            <a:rPr lang="es-CO" sz="9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2000" b="1">
            <a:solidFill>
              <a:sysClr val="windowText" lastClr="000000"/>
            </a:solidFill>
          </a:endParaRPr>
        </a:p>
      </dgm:t>
    </dgm:pt>
    <dgm:pt modelId="{50152946-9D07-4EE0-918E-E73E4E413630}" type="sibTrans" cxnId="{B26B0531-FAEC-487E-B7B1-FA3587A32D32}">
      <dgm:prSet/>
      <dgm:spPr/>
      <dgm:t>
        <a:bodyPr/>
        <a:lstStyle/>
        <a:p>
          <a:endParaRPr lang="es-CO" sz="2000" b="1">
            <a:solidFill>
              <a:sysClr val="windowText" lastClr="000000"/>
            </a:solidFill>
          </a:endParaRPr>
        </a:p>
      </dgm:t>
    </dgm:pt>
    <dgm:pt modelId="{C23BF35F-11CE-41B0-948D-9F6F6996B47A}">
      <dgm:prSet phldrT="[Texto]" custT="1"/>
      <dgm:spPr/>
      <dgm:t>
        <a:bodyPr/>
        <a:lstStyle/>
        <a:p>
          <a:r>
            <a:rPr lang="es-CO" sz="9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2000" b="1">
            <a:solidFill>
              <a:sysClr val="windowText" lastClr="000000"/>
            </a:solidFill>
          </a:endParaRPr>
        </a:p>
      </dgm:t>
    </dgm:pt>
    <dgm:pt modelId="{B05061CD-4813-49A1-8E43-8E5609730B93}" type="sibTrans" cxnId="{24E1BBD7-9A17-4C90-8BF4-6084FBAEE002}">
      <dgm:prSet/>
      <dgm:spPr/>
      <dgm:t>
        <a:bodyPr/>
        <a:lstStyle/>
        <a:p>
          <a:endParaRPr lang="es-CO" sz="2000" b="1">
            <a:solidFill>
              <a:sysClr val="windowText" lastClr="000000"/>
            </a:solidFill>
          </a:endParaRPr>
        </a:p>
      </dgm:t>
    </dgm:pt>
    <dgm:pt modelId="{478F0EF4-37C9-4C42-A564-2E10E5592036}">
      <dgm:prSet phldrT="[Texto]" custT="1"/>
      <dgm:spPr/>
      <dgm:t>
        <a:bodyPr/>
        <a:lstStyle/>
        <a:p>
          <a:r>
            <a:rPr lang="es-CO" sz="9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2000" b="1">
            <a:solidFill>
              <a:sysClr val="windowText" lastClr="000000"/>
            </a:solidFill>
          </a:endParaRPr>
        </a:p>
      </dgm:t>
    </dgm:pt>
    <dgm:pt modelId="{A7C656FF-04CE-44CF-855E-B8D551D5B68F}" type="sibTrans" cxnId="{B5337568-0E59-4F5C-8E7A-5FB2E4CB3ED9}">
      <dgm:prSet/>
      <dgm:spPr/>
      <dgm:t>
        <a:bodyPr/>
        <a:lstStyle/>
        <a:p>
          <a:endParaRPr lang="es-CO" sz="2000" b="1">
            <a:solidFill>
              <a:sysClr val="windowText" lastClr="000000"/>
            </a:solidFill>
          </a:endParaRPr>
        </a:p>
      </dgm:t>
    </dgm:pt>
    <dgm:pt modelId="{77ED72F7-5867-45FB-A572-1D61D2FFCF1B}">
      <dgm:prSet custT="1"/>
      <dgm:spPr/>
      <dgm:t>
        <a:bodyPr/>
        <a:lstStyle/>
        <a:p>
          <a:r>
            <a:rPr lang="es-CO" sz="9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2000" b="1">
            <a:solidFill>
              <a:sysClr val="windowText" lastClr="000000"/>
            </a:solidFill>
          </a:endParaRPr>
        </a:p>
      </dgm:t>
    </dgm:pt>
    <dgm:pt modelId="{50F7F6CE-8FB0-41DF-9D1D-BB1D2F7164B4}" type="parTrans" cxnId="{4DCF760A-4234-411C-9DDD-DEBB4735165A}">
      <dgm:prSet/>
      <dgm:spPr/>
      <dgm:t>
        <a:bodyPr/>
        <a:lstStyle/>
        <a:p>
          <a:endParaRPr lang="es-CO" sz="2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00"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100" b="1">
            <a:solidFill>
              <a:sysClr val="windowText" lastClr="000000"/>
            </a:solidFill>
          </a:endParaRPr>
        </a:p>
      </dgm:t>
    </dgm:pt>
    <dgm:pt modelId="{67CE5C2F-1268-470B-A306-E88D174507DF}" type="sibTrans" cxnId="{A4751C46-4FF9-4972-9DCA-10D1A2973D7C}">
      <dgm:prSet/>
      <dgm:spPr/>
      <dgm:t>
        <a:bodyPr/>
        <a:lstStyle/>
        <a:p>
          <a:endParaRPr lang="es-CO" sz="1100" b="1">
            <a:solidFill>
              <a:sysClr val="windowText" lastClr="000000"/>
            </a:solidFill>
          </a:endParaRPr>
        </a:p>
      </dgm:t>
    </dgm:pt>
    <dgm:pt modelId="{CCEC1903-EEB9-4A17-A008-4EF3FC2A9B16}">
      <dgm:prSet phldrT="[Texto]" custT="1"/>
      <dgm:spPr/>
      <dgm:t>
        <a:bodyPr/>
        <a:lstStyle/>
        <a:p>
          <a:r>
            <a:rPr lang="es-CO" sz="1000"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100" b="1">
            <a:solidFill>
              <a:sysClr val="windowText" lastClr="000000"/>
            </a:solidFill>
          </a:endParaRPr>
        </a:p>
      </dgm:t>
    </dgm:pt>
    <dgm:pt modelId="{50152946-9D07-4EE0-918E-E73E4E413630}" type="sibTrans" cxnId="{B26B0531-FAEC-487E-B7B1-FA3587A32D32}">
      <dgm:prSet/>
      <dgm:spPr/>
      <dgm:t>
        <a:bodyPr/>
        <a:lstStyle/>
        <a:p>
          <a:endParaRPr lang="es-CO" sz="1100" b="1">
            <a:solidFill>
              <a:sysClr val="windowText" lastClr="000000"/>
            </a:solidFill>
          </a:endParaRPr>
        </a:p>
      </dgm:t>
    </dgm:pt>
    <dgm:pt modelId="{C23BF35F-11CE-41B0-948D-9F6F6996B47A}">
      <dgm:prSet phldrT="[Texto]" custT="1"/>
      <dgm:spPr/>
      <dgm:t>
        <a:bodyPr/>
        <a:lstStyle/>
        <a:p>
          <a:r>
            <a:rPr lang="es-CO" sz="1000"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100" b="1">
            <a:solidFill>
              <a:sysClr val="windowText" lastClr="000000"/>
            </a:solidFill>
          </a:endParaRPr>
        </a:p>
      </dgm:t>
    </dgm:pt>
    <dgm:pt modelId="{B05061CD-4813-49A1-8E43-8E5609730B93}" type="sibTrans" cxnId="{24E1BBD7-9A17-4C90-8BF4-6084FBAEE002}">
      <dgm:prSet/>
      <dgm:spPr/>
      <dgm:t>
        <a:bodyPr/>
        <a:lstStyle/>
        <a:p>
          <a:endParaRPr lang="es-CO" sz="1100" b="1">
            <a:solidFill>
              <a:sysClr val="windowText" lastClr="000000"/>
            </a:solidFill>
          </a:endParaRPr>
        </a:p>
      </dgm:t>
    </dgm:pt>
    <dgm:pt modelId="{478F0EF4-37C9-4C42-A564-2E10E5592036}">
      <dgm:prSet phldrT="[Texto]" custT="1"/>
      <dgm:spPr/>
      <dgm:t>
        <a:bodyPr/>
        <a:lstStyle/>
        <a:p>
          <a:r>
            <a:rPr lang="es-CO" sz="1000"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100" b="1">
            <a:solidFill>
              <a:sysClr val="windowText" lastClr="000000"/>
            </a:solidFill>
          </a:endParaRPr>
        </a:p>
      </dgm:t>
    </dgm:pt>
    <dgm:pt modelId="{A7C656FF-04CE-44CF-855E-B8D551D5B68F}" type="sibTrans" cxnId="{B5337568-0E59-4F5C-8E7A-5FB2E4CB3ED9}">
      <dgm:prSet/>
      <dgm:spPr/>
      <dgm:t>
        <a:bodyPr/>
        <a:lstStyle/>
        <a:p>
          <a:endParaRPr lang="es-CO" sz="1100" b="1">
            <a:solidFill>
              <a:sysClr val="windowText" lastClr="000000"/>
            </a:solidFill>
          </a:endParaRPr>
        </a:p>
      </dgm:t>
    </dgm:pt>
    <dgm:pt modelId="{77ED72F7-5867-45FB-A572-1D61D2FFCF1B}">
      <dgm:prSet custT="1"/>
      <dgm:spPr/>
      <dgm:t>
        <a:bodyPr/>
        <a:lstStyle/>
        <a:p>
          <a:r>
            <a:rPr lang="es-CO" sz="1000"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sz="1100" b="1">
            <a:solidFill>
              <a:sysClr val="windowText" lastClr="000000"/>
            </a:solidFill>
          </a:endParaRPr>
        </a:p>
      </dgm:t>
    </dgm:pt>
    <dgm:pt modelId="{BDFDFD82-58C9-462F-8C87-480329CCF865}" type="sibTrans" cxnId="{4DCF760A-4234-411C-9DDD-DEBB4735165A}">
      <dgm:prSet/>
      <dgm:spPr/>
      <dgm:t>
        <a:bodyPr/>
        <a:lstStyle/>
        <a:p>
          <a:endParaRPr lang="es-CO" sz="11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5D8257CB-A29E-42F4-A4DE-34486DCBDCC3}">
      <dgm:prSet phldrT="[Texto]" custT="1"/>
      <dgm:spPr/>
      <dgm:t>
        <a:bodyPr/>
        <a:lstStyle/>
        <a:p>
          <a:r>
            <a:rPr lang="es-CO" sz="800" b="1"/>
            <a:t>329901</a:t>
          </a:r>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600"/>
        </a:p>
      </dgm:t>
    </dgm:pt>
    <dgm:pt modelId="{E0257DB5-2F25-45B5-8091-CC0A81F4D64D}" type="sibTrans" cxnId="{C2FB71B7-C3A6-4195-9097-03998FB04095}">
      <dgm:prSet/>
      <dgm:spPr/>
      <dgm:t>
        <a:bodyPr/>
        <a:lstStyle/>
        <a:p>
          <a:endParaRPr lang="es-CO" sz="1600"/>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5D8257CB-A29E-42F4-A4DE-34486DCBDCC3}">
      <dgm:prSet phldrT="[Texto]" custT="1"/>
      <dgm:spPr/>
      <dgm:t>
        <a:bodyPr/>
        <a:lstStyle/>
        <a:p>
          <a:r>
            <a:rPr lang="es-CO" sz="900" b="1"/>
            <a:t>329901</a:t>
          </a:r>
          <a:endParaRPr lang="es-CO" sz="80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600"/>
        </a:p>
      </dgm:t>
    </dgm:pt>
    <dgm:pt modelId="{E0257DB5-2F25-45B5-8091-CC0A81F4D64D}" type="sibTrans" cxnId="{C2FB71B7-C3A6-4195-9097-03998FB04095}">
      <dgm:prSet/>
      <dgm:spPr/>
      <dgm:t>
        <a:bodyPr/>
        <a:lstStyle/>
        <a:p>
          <a:endParaRPr lang="es-CO" sz="1600"/>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2000" b="1">
            <a:solidFill>
              <a:sysClr val="windowText" lastClr="000000"/>
            </a:solidFill>
          </a:endParaRPr>
        </a:p>
      </dgm:t>
    </dgm:pt>
    <dgm:pt modelId="{67CE5C2F-1268-470B-A306-E88D174507DF}" type="sibTrans" cxnId="{A4751C46-4FF9-4972-9DCA-10D1A2973D7C}">
      <dgm:prSet/>
      <dgm:spPr/>
      <dgm:t>
        <a:bodyPr/>
        <a:lstStyle/>
        <a:p>
          <a:endParaRPr lang="es-CO" sz="2000" b="1">
            <a:solidFill>
              <a:sysClr val="windowText" lastClr="000000"/>
            </a:solidFill>
          </a:endParaRPr>
        </a:p>
      </dgm:t>
    </dgm:pt>
    <dgm:pt modelId="{CCEC1903-EEB9-4A17-A008-4EF3FC2A9B16}">
      <dgm:prSet phldrT="[Texto]" custT="1"/>
      <dgm:spPr/>
      <dgm:t>
        <a:bodyPr/>
        <a:lstStyle/>
        <a:p>
          <a:r>
            <a:rPr lang="es-CO" sz="9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2000" b="1">
            <a:solidFill>
              <a:sysClr val="windowText" lastClr="000000"/>
            </a:solidFill>
          </a:endParaRPr>
        </a:p>
      </dgm:t>
    </dgm:pt>
    <dgm:pt modelId="{50152946-9D07-4EE0-918E-E73E4E413630}" type="sibTrans" cxnId="{B26B0531-FAEC-487E-B7B1-FA3587A32D32}">
      <dgm:prSet/>
      <dgm:spPr/>
      <dgm:t>
        <a:bodyPr/>
        <a:lstStyle/>
        <a:p>
          <a:endParaRPr lang="es-CO" sz="2000" b="1">
            <a:solidFill>
              <a:sysClr val="windowText" lastClr="000000"/>
            </a:solidFill>
          </a:endParaRPr>
        </a:p>
      </dgm:t>
    </dgm:pt>
    <dgm:pt modelId="{C23BF35F-11CE-41B0-948D-9F6F6996B47A}">
      <dgm:prSet phldrT="[Texto]" custT="1"/>
      <dgm:spPr/>
      <dgm:t>
        <a:bodyPr/>
        <a:lstStyle/>
        <a:p>
          <a:r>
            <a:rPr lang="es-CO" sz="9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2000" b="1">
            <a:solidFill>
              <a:sysClr val="windowText" lastClr="000000"/>
            </a:solidFill>
          </a:endParaRPr>
        </a:p>
      </dgm:t>
    </dgm:pt>
    <dgm:pt modelId="{B05061CD-4813-49A1-8E43-8E5609730B93}" type="sibTrans" cxnId="{24E1BBD7-9A17-4C90-8BF4-6084FBAEE002}">
      <dgm:prSet/>
      <dgm:spPr/>
      <dgm:t>
        <a:bodyPr/>
        <a:lstStyle/>
        <a:p>
          <a:endParaRPr lang="es-CO" sz="2000" b="1">
            <a:solidFill>
              <a:sysClr val="windowText" lastClr="000000"/>
            </a:solidFill>
          </a:endParaRPr>
        </a:p>
      </dgm:t>
    </dgm:pt>
    <dgm:pt modelId="{478F0EF4-37C9-4C42-A564-2E10E5592036}">
      <dgm:prSet phldrT="[Texto]" custT="1"/>
      <dgm:spPr/>
      <dgm:t>
        <a:bodyPr/>
        <a:lstStyle/>
        <a:p>
          <a:r>
            <a:rPr lang="es-CO" sz="9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2000" b="1">
            <a:solidFill>
              <a:sysClr val="windowText" lastClr="000000"/>
            </a:solidFill>
          </a:endParaRPr>
        </a:p>
      </dgm:t>
    </dgm:pt>
    <dgm:pt modelId="{A7C656FF-04CE-44CF-855E-B8D551D5B68F}" type="sibTrans" cxnId="{B5337568-0E59-4F5C-8E7A-5FB2E4CB3ED9}">
      <dgm:prSet/>
      <dgm:spPr/>
      <dgm:t>
        <a:bodyPr/>
        <a:lstStyle/>
        <a:p>
          <a:endParaRPr lang="es-CO" sz="2000" b="1">
            <a:solidFill>
              <a:sysClr val="windowText" lastClr="000000"/>
            </a:solidFill>
          </a:endParaRPr>
        </a:p>
      </dgm:t>
    </dgm:pt>
    <dgm:pt modelId="{77ED72F7-5867-45FB-A572-1D61D2FFCF1B}">
      <dgm:prSet custT="1"/>
      <dgm:spPr/>
      <dgm:t>
        <a:bodyPr/>
        <a:lstStyle/>
        <a:p>
          <a:r>
            <a:rPr lang="es-CO" sz="9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2000" b="1">
            <a:solidFill>
              <a:sysClr val="windowText" lastClr="000000"/>
            </a:solidFill>
          </a:endParaRPr>
        </a:p>
      </dgm:t>
    </dgm:pt>
    <dgm:pt modelId="{50F7F6CE-8FB0-41DF-9D1D-BB1D2F7164B4}" type="parTrans" cxnId="{4DCF760A-4234-411C-9DDD-DEBB4735165A}">
      <dgm:prSet/>
      <dgm:spPr/>
      <dgm:t>
        <a:bodyPr/>
        <a:lstStyle/>
        <a:p>
          <a:endParaRPr lang="es-CO" sz="2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dgm:spPr/>
      <dgm:t>
        <a:bodyPr/>
        <a:lstStyle/>
        <a:p>
          <a:r>
            <a:rPr lang="es-CO"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b="1">
            <a:solidFill>
              <a:sysClr val="windowText" lastClr="000000"/>
            </a:solidFill>
          </a:endParaRPr>
        </a:p>
      </dgm:t>
    </dgm:pt>
    <dgm:pt modelId="{67CE5C2F-1268-470B-A306-E88D174507DF}" type="sibTrans" cxnId="{A4751C46-4FF9-4972-9DCA-10D1A2973D7C}">
      <dgm:prSet/>
      <dgm:spPr/>
      <dgm:t>
        <a:bodyPr/>
        <a:lstStyle/>
        <a:p>
          <a:endParaRPr lang="es-CO" b="1">
            <a:solidFill>
              <a:sysClr val="windowText" lastClr="000000"/>
            </a:solidFill>
          </a:endParaRPr>
        </a:p>
      </dgm:t>
    </dgm:pt>
    <dgm:pt modelId="{CCEC1903-EEB9-4A17-A008-4EF3FC2A9B16}">
      <dgm:prSet phldrT="[Texto]"/>
      <dgm:spPr/>
      <dgm:t>
        <a:bodyPr/>
        <a:lstStyle/>
        <a:p>
          <a:r>
            <a:rPr lang="es-CO"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b="1">
            <a:solidFill>
              <a:sysClr val="windowText" lastClr="000000"/>
            </a:solidFill>
          </a:endParaRPr>
        </a:p>
      </dgm:t>
    </dgm:pt>
    <dgm:pt modelId="{50152946-9D07-4EE0-918E-E73E4E413630}" type="sibTrans" cxnId="{B26B0531-FAEC-487E-B7B1-FA3587A32D32}">
      <dgm:prSet/>
      <dgm:spPr/>
      <dgm:t>
        <a:bodyPr/>
        <a:lstStyle/>
        <a:p>
          <a:endParaRPr lang="es-CO" b="1">
            <a:solidFill>
              <a:sysClr val="windowText" lastClr="000000"/>
            </a:solidFill>
          </a:endParaRPr>
        </a:p>
      </dgm:t>
    </dgm:pt>
    <dgm:pt modelId="{C23BF35F-11CE-41B0-948D-9F6F6996B47A}">
      <dgm:prSet phldrT="[Texto]"/>
      <dgm:spPr/>
      <dgm:t>
        <a:bodyPr/>
        <a:lstStyle/>
        <a:p>
          <a:r>
            <a:rPr lang="es-CO"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b="1">
            <a:solidFill>
              <a:sysClr val="windowText" lastClr="000000"/>
            </a:solidFill>
          </a:endParaRPr>
        </a:p>
      </dgm:t>
    </dgm:pt>
    <dgm:pt modelId="{B05061CD-4813-49A1-8E43-8E5609730B93}" type="sibTrans" cxnId="{24E1BBD7-9A17-4C90-8BF4-6084FBAEE002}">
      <dgm:prSet/>
      <dgm:spPr/>
      <dgm:t>
        <a:bodyPr/>
        <a:lstStyle/>
        <a:p>
          <a:endParaRPr lang="es-CO" b="1">
            <a:solidFill>
              <a:sysClr val="windowText" lastClr="000000"/>
            </a:solidFill>
          </a:endParaRPr>
        </a:p>
      </dgm:t>
    </dgm:pt>
    <dgm:pt modelId="{478F0EF4-37C9-4C42-A564-2E10E5592036}">
      <dgm:prSet phldrT="[Texto]"/>
      <dgm:spPr/>
      <dgm:t>
        <a:bodyPr/>
        <a:lstStyle/>
        <a:p>
          <a:r>
            <a:rPr lang="es-CO"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b="1">
            <a:solidFill>
              <a:sysClr val="windowText" lastClr="000000"/>
            </a:solidFill>
          </a:endParaRPr>
        </a:p>
      </dgm:t>
    </dgm:pt>
    <dgm:pt modelId="{A7C656FF-04CE-44CF-855E-B8D551D5B68F}" type="sibTrans" cxnId="{B5337568-0E59-4F5C-8E7A-5FB2E4CB3ED9}">
      <dgm:prSet/>
      <dgm:spPr/>
      <dgm:t>
        <a:bodyPr/>
        <a:lstStyle/>
        <a:p>
          <a:endParaRPr lang="es-CO" b="1">
            <a:solidFill>
              <a:sysClr val="windowText" lastClr="000000"/>
            </a:solidFill>
          </a:endParaRPr>
        </a:p>
      </dgm:t>
    </dgm:pt>
    <dgm:pt modelId="{77ED72F7-5867-45FB-A572-1D61D2FFCF1B}">
      <dgm:prSet/>
      <dgm:spPr/>
      <dgm:t>
        <a:bodyPr/>
        <a:lstStyle/>
        <a:p>
          <a:r>
            <a:rPr lang="es-CO"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b="1">
            <a:solidFill>
              <a:sysClr val="windowText" lastClr="000000"/>
            </a:solidFill>
          </a:endParaRPr>
        </a:p>
      </dgm:t>
    </dgm:pt>
    <dgm:pt modelId="{BDFDFD82-58C9-462F-8C87-480329CCF865}" type="sibTrans" cxnId="{4DCF760A-4234-411C-9DDD-DEBB4735165A}">
      <dgm:prSet/>
      <dgm:spPr/>
      <dgm:t>
        <a:bodyPr/>
        <a:lstStyle/>
        <a:p>
          <a:endParaRPr lang="es-CO"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5D8257CB-A29E-42F4-A4DE-34486DCBDCC3}">
      <dgm:prSet phldrT="[Texto]" custT="1"/>
      <dgm:spPr/>
      <dgm:t>
        <a:bodyPr/>
        <a:lstStyle/>
        <a:p>
          <a:r>
            <a:rPr lang="es-CO" sz="900" b="1"/>
            <a:t>329901</a:t>
          </a:r>
          <a:endParaRPr lang="es-CO" sz="80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600"/>
        </a:p>
      </dgm:t>
    </dgm:pt>
    <dgm:pt modelId="{E0257DB5-2F25-45B5-8091-CC0A81F4D64D}" type="sibTrans" cxnId="{C2FB71B7-C3A6-4195-9097-03998FB04095}">
      <dgm:prSet/>
      <dgm:spPr/>
      <dgm:t>
        <a:bodyPr/>
        <a:lstStyle/>
        <a:p>
          <a:endParaRPr lang="es-CO" sz="1600"/>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24.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2000" b="1">
            <a:solidFill>
              <a:sysClr val="windowText" lastClr="000000"/>
            </a:solidFill>
          </a:endParaRPr>
        </a:p>
      </dgm:t>
    </dgm:pt>
    <dgm:pt modelId="{67CE5C2F-1268-470B-A306-E88D174507DF}" type="sibTrans" cxnId="{A4751C46-4FF9-4972-9DCA-10D1A2973D7C}">
      <dgm:prSet/>
      <dgm:spPr/>
      <dgm:t>
        <a:bodyPr/>
        <a:lstStyle/>
        <a:p>
          <a:endParaRPr lang="es-CO" sz="2000" b="1">
            <a:solidFill>
              <a:sysClr val="windowText" lastClr="000000"/>
            </a:solidFill>
          </a:endParaRPr>
        </a:p>
      </dgm:t>
    </dgm:pt>
    <dgm:pt modelId="{CCEC1903-EEB9-4A17-A008-4EF3FC2A9B16}">
      <dgm:prSet phldrT="[Texto]" custT="1"/>
      <dgm:spPr/>
      <dgm:t>
        <a:bodyPr/>
        <a:lstStyle/>
        <a:p>
          <a:r>
            <a:rPr lang="es-CO" sz="9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2000" b="1">
            <a:solidFill>
              <a:sysClr val="windowText" lastClr="000000"/>
            </a:solidFill>
          </a:endParaRPr>
        </a:p>
      </dgm:t>
    </dgm:pt>
    <dgm:pt modelId="{50152946-9D07-4EE0-918E-E73E4E413630}" type="sibTrans" cxnId="{B26B0531-FAEC-487E-B7B1-FA3587A32D32}">
      <dgm:prSet/>
      <dgm:spPr/>
      <dgm:t>
        <a:bodyPr/>
        <a:lstStyle/>
        <a:p>
          <a:endParaRPr lang="es-CO" sz="2000" b="1">
            <a:solidFill>
              <a:sysClr val="windowText" lastClr="000000"/>
            </a:solidFill>
          </a:endParaRPr>
        </a:p>
      </dgm:t>
    </dgm:pt>
    <dgm:pt modelId="{C23BF35F-11CE-41B0-948D-9F6F6996B47A}">
      <dgm:prSet phldrT="[Texto]" custT="1"/>
      <dgm:spPr/>
      <dgm:t>
        <a:bodyPr/>
        <a:lstStyle/>
        <a:p>
          <a:r>
            <a:rPr lang="es-CO" sz="9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2000" b="1">
            <a:solidFill>
              <a:sysClr val="windowText" lastClr="000000"/>
            </a:solidFill>
          </a:endParaRPr>
        </a:p>
      </dgm:t>
    </dgm:pt>
    <dgm:pt modelId="{B05061CD-4813-49A1-8E43-8E5609730B93}" type="sibTrans" cxnId="{24E1BBD7-9A17-4C90-8BF4-6084FBAEE002}">
      <dgm:prSet/>
      <dgm:spPr/>
      <dgm:t>
        <a:bodyPr/>
        <a:lstStyle/>
        <a:p>
          <a:endParaRPr lang="es-CO" sz="2000" b="1">
            <a:solidFill>
              <a:sysClr val="windowText" lastClr="000000"/>
            </a:solidFill>
          </a:endParaRPr>
        </a:p>
      </dgm:t>
    </dgm:pt>
    <dgm:pt modelId="{478F0EF4-37C9-4C42-A564-2E10E5592036}">
      <dgm:prSet phldrT="[Texto]" custT="1"/>
      <dgm:spPr/>
      <dgm:t>
        <a:bodyPr/>
        <a:lstStyle/>
        <a:p>
          <a:r>
            <a:rPr lang="es-CO" sz="9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2000" b="1">
            <a:solidFill>
              <a:sysClr val="windowText" lastClr="000000"/>
            </a:solidFill>
          </a:endParaRPr>
        </a:p>
      </dgm:t>
    </dgm:pt>
    <dgm:pt modelId="{A7C656FF-04CE-44CF-855E-B8D551D5B68F}" type="sibTrans" cxnId="{B5337568-0E59-4F5C-8E7A-5FB2E4CB3ED9}">
      <dgm:prSet/>
      <dgm:spPr/>
      <dgm:t>
        <a:bodyPr/>
        <a:lstStyle/>
        <a:p>
          <a:endParaRPr lang="es-CO" sz="2000" b="1">
            <a:solidFill>
              <a:sysClr val="windowText" lastClr="000000"/>
            </a:solidFill>
          </a:endParaRPr>
        </a:p>
      </dgm:t>
    </dgm:pt>
    <dgm:pt modelId="{77ED72F7-5867-45FB-A572-1D61D2FFCF1B}">
      <dgm:prSet custT="1"/>
      <dgm:spPr/>
      <dgm:t>
        <a:bodyPr/>
        <a:lstStyle/>
        <a:p>
          <a:r>
            <a:rPr lang="es-CO" sz="9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2000" b="1">
            <a:solidFill>
              <a:sysClr val="windowText" lastClr="000000"/>
            </a:solidFill>
          </a:endParaRPr>
        </a:p>
      </dgm:t>
    </dgm:pt>
    <dgm:pt modelId="{50F7F6CE-8FB0-41DF-9D1D-BB1D2F7164B4}" type="parTrans" cxnId="{4DCF760A-4234-411C-9DDD-DEBB4735165A}">
      <dgm:prSet/>
      <dgm:spPr/>
      <dgm:t>
        <a:bodyPr/>
        <a:lstStyle/>
        <a:p>
          <a:endParaRPr lang="es-CO" sz="2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25.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dgm:spPr/>
      <dgm:t>
        <a:bodyPr/>
        <a:lstStyle/>
        <a:p>
          <a:r>
            <a:rPr lang="es-CO"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b="1">
            <a:solidFill>
              <a:sysClr val="windowText" lastClr="000000"/>
            </a:solidFill>
          </a:endParaRPr>
        </a:p>
      </dgm:t>
    </dgm:pt>
    <dgm:pt modelId="{67CE5C2F-1268-470B-A306-E88D174507DF}" type="sibTrans" cxnId="{A4751C46-4FF9-4972-9DCA-10D1A2973D7C}">
      <dgm:prSet/>
      <dgm:spPr/>
      <dgm:t>
        <a:bodyPr/>
        <a:lstStyle/>
        <a:p>
          <a:endParaRPr lang="es-CO" b="1">
            <a:solidFill>
              <a:sysClr val="windowText" lastClr="000000"/>
            </a:solidFill>
          </a:endParaRPr>
        </a:p>
      </dgm:t>
    </dgm:pt>
    <dgm:pt modelId="{CCEC1903-EEB9-4A17-A008-4EF3FC2A9B16}">
      <dgm:prSet phldrT="[Texto]"/>
      <dgm:spPr/>
      <dgm:t>
        <a:bodyPr/>
        <a:lstStyle/>
        <a:p>
          <a:r>
            <a:rPr lang="es-CO"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b="1">
            <a:solidFill>
              <a:sysClr val="windowText" lastClr="000000"/>
            </a:solidFill>
          </a:endParaRPr>
        </a:p>
      </dgm:t>
    </dgm:pt>
    <dgm:pt modelId="{50152946-9D07-4EE0-918E-E73E4E413630}" type="sibTrans" cxnId="{B26B0531-FAEC-487E-B7B1-FA3587A32D32}">
      <dgm:prSet/>
      <dgm:spPr/>
      <dgm:t>
        <a:bodyPr/>
        <a:lstStyle/>
        <a:p>
          <a:endParaRPr lang="es-CO" b="1">
            <a:solidFill>
              <a:sysClr val="windowText" lastClr="000000"/>
            </a:solidFill>
          </a:endParaRPr>
        </a:p>
      </dgm:t>
    </dgm:pt>
    <dgm:pt modelId="{C23BF35F-11CE-41B0-948D-9F6F6996B47A}">
      <dgm:prSet phldrT="[Texto]"/>
      <dgm:spPr/>
      <dgm:t>
        <a:bodyPr/>
        <a:lstStyle/>
        <a:p>
          <a:r>
            <a:rPr lang="es-CO"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b="1">
            <a:solidFill>
              <a:sysClr val="windowText" lastClr="000000"/>
            </a:solidFill>
          </a:endParaRPr>
        </a:p>
      </dgm:t>
    </dgm:pt>
    <dgm:pt modelId="{B05061CD-4813-49A1-8E43-8E5609730B93}" type="sibTrans" cxnId="{24E1BBD7-9A17-4C90-8BF4-6084FBAEE002}">
      <dgm:prSet/>
      <dgm:spPr/>
      <dgm:t>
        <a:bodyPr/>
        <a:lstStyle/>
        <a:p>
          <a:endParaRPr lang="es-CO" b="1">
            <a:solidFill>
              <a:sysClr val="windowText" lastClr="000000"/>
            </a:solidFill>
          </a:endParaRPr>
        </a:p>
      </dgm:t>
    </dgm:pt>
    <dgm:pt modelId="{478F0EF4-37C9-4C42-A564-2E10E5592036}">
      <dgm:prSet phldrT="[Texto]"/>
      <dgm:spPr/>
      <dgm:t>
        <a:bodyPr/>
        <a:lstStyle/>
        <a:p>
          <a:r>
            <a:rPr lang="es-CO"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b="1">
            <a:solidFill>
              <a:sysClr val="windowText" lastClr="000000"/>
            </a:solidFill>
          </a:endParaRPr>
        </a:p>
      </dgm:t>
    </dgm:pt>
    <dgm:pt modelId="{A7C656FF-04CE-44CF-855E-B8D551D5B68F}" type="sibTrans" cxnId="{B5337568-0E59-4F5C-8E7A-5FB2E4CB3ED9}">
      <dgm:prSet/>
      <dgm:spPr/>
      <dgm:t>
        <a:bodyPr/>
        <a:lstStyle/>
        <a:p>
          <a:endParaRPr lang="es-CO" b="1">
            <a:solidFill>
              <a:sysClr val="windowText" lastClr="000000"/>
            </a:solidFill>
          </a:endParaRPr>
        </a:p>
      </dgm:t>
    </dgm:pt>
    <dgm:pt modelId="{77ED72F7-5867-45FB-A572-1D61D2FFCF1B}">
      <dgm:prSet/>
      <dgm:spPr/>
      <dgm:t>
        <a:bodyPr/>
        <a:lstStyle/>
        <a:p>
          <a:r>
            <a:rPr lang="es-CO"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b="1">
            <a:solidFill>
              <a:sysClr val="windowText" lastClr="000000"/>
            </a:solidFill>
          </a:endParaRPr>
        </a:p>
      </dgm:t>
    </dgm:pt>
    <dgm:pt modelId="{BDFDFD82-58C9-462F-8C87-480329CCF865}" type="sibTrans" cxnId="{4DCF760A-4234-411C-9DDD-DEBB4735165A}">
      <dgm:prSet/>
      <dgm:spPr/>
      <dgm:t>
        <a:bodyPr/>
        <a:lstStyle/>
        <a:p>
          <a:endParaRPr lang="es-CO"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26.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5D8257CB-A29E-42F4-A4DE-34486DCBDCC3}">
      <dgm:prSet phldrT="[Texto]" custT="1"/>
      <dgm:spPr/>
      <dgm:t>
        <a:bodyPr/>
        <a:lstStyle/>
        <a:p>
          <a:r>
            <a:rPr lang="es-CO" sz="900" b="1"/>
            <a:t>329901</a:t>
          </a:r>
          <a:endParaRPr lang="es-CO" sz="80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600"/>
        </a:p>
      </dgm:t>
    </dgm:pt>
    <dgm:pt modelId="{E0257DB5-2F25-45B5-8091-CC0A81F4D64D}" type="sibTrans" cxnId="{C2FB71B7-C3A6-4195-9097-03998FB04095}">
      <dgm:prSet/>
      <dgm:spPr/>
      <dgm:t>
        <a:bodyPr/>
        <a:lstStyle/>
        <a:p>
          <a:endParaRPr lang="es-CO" sz="1600"/>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custLinFactNeighborY="-334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27.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8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800" b="1">
            <a:solidFill>
              <a:sysClr val="windowText" lastClr="000000"/>
            </a:solidFill>
          </a:endParaRPr>
        </a:p>
      </dgm:t>
    </dgm:pt>
    <dgm:pt modelId="{67CE5C2F-1268-470B-A306-E88D174507DF}" type="sibTrans" cxnId="{A4751C46-4FF9-4972-9DCA-10D1A2973D7C}">
      <dgm:prSet/>
      <dgm:spPr/>
      <dgm:t>
        <a:bodyPr/>
        <a:lstStyle/>
        <a:p>
          <a:endParaRPr lang="es-CO" sz="1800" b="1">
            <a:solidFill>
              <a:sysClr val="windowText" lastClr="000000"/>
            </a:solidFill>
          </a:endParaRPr>
        </a:p>
      </dgm:t>
    </dgm:pt>
    <dgm:pt modelId="{CCEC1903-EEB9-4A17-A008-4EF3FC2A9B16}">
      <dgm:prSet phldrT="[Texto]" custT="1"/>
      <dgm:spPr/>
      <dgm:t>
        <a:bodyPr/>
        <a:lstStyle/>
        <a:p>
          <a:r>
            <a:rPr lang="es-CO" sz="8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800" b="1">
            <a:solidFill>
              <a:sysClr val="windowText" lastClr="000000"/>
            </a:solidFill>
          </a:endParaRPr>
        </a:p>
      </dgm:t>
    </dgm:pt>
    <dgm:pt modelId="{50152946-9D07-4EE0-918E-E73E4E413630}" type="sibTrans" cxnId="{B26B0531-FAEC-487E-B7B1-FA3587A32D32}">
      <dgm:prSet/>
      <dgm:spPr/>
      <dgm:t>
        <a:bodyPr/>
        <a:lstStyle/>
        <a:p>
          <a:endParaRPr lang="es-CO" sz="1800" b="1">
            <a:solidFill>
              <a:sysClr val="windowText" lastClr="000000"/>
            </a:solidFill>
          </a:endParaRPr>
        </a:p>
      </dgm:t>
    </dgm:pt>
    <dgm:pt modelId="{C23BF35F-11CE-41B0-948D-9F6F6996B47A}">
      <dgm:prSet phldrT="[Texto]" custT="1"/>
      <dgm:spPr/>
      <dgm:t>
        <a:bodyPr/>
        <a:lstStyle/>
        <a:p>
          <a:r>
            <a:rPr lang="es-CO" sz="8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800" b="1">
            <a:solidFill>
              <a:sysClr val="windowText" lastClr="000000"/>
            </a:solidFill>
          </a:endParaRPr>
        </a:p>
      </dgm:t>
    </dgm:pt>
    <dgm:pt modelId="{B05061CD-4813-49A1-8E43-8E5609730B93}" type="sibTrans" cxnId="{24E1BBD7-9A17-4C90-8BF4-6084FBAEE002}">
      <dgm:prSet/>
      <dgm:spPr/>
      <dgm:t>
        <a:bodyPr/>
        <a:lstStyle/>
        <a:p>
          <a:endParaRPr lang="es-CO" sz="1800" b="1">
            <a:solidFill>
              <a:sysClr val="windowText" lastClr="000000"/>
            </a:solidFill>
          </a:endParaRPr>
        </a:p>
      </dgm:t>
    </dgm:pt>
    <dgm:pt modelId="{478F0EF4-37C9-4C42-A564-2E10E5592036}">
      <dgm:prSet phldrT="[Texto]" custT="1"/>
      <dgm:spPr/>
      <dgm:t>
        <a:bodyPr/>
        <a:lstStyle/>
        <a:p>
          <a:r>
            <a:rPr lang="es-CO" sz="8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800" b="1">
            <a:solidFill>
              <a:sysClr val="windowText" lastClr="000000"/>
            </a:solidFill>
          </a:endParaRPr>
        </a:p>
      </dgm:t>
    </dgm:pt>
    <dgm:pt modelId="{A7C656FF-04CE-44CF-855E-B8D551D5B68F}" type="sibTrans" cxnId="{B5337568-0E59-4F5C-8E7A-5FB2E4CB3ED9}">
      <dgm:prSet/>
      <dgm:spPr/>
      <dgm:t>
        <a:bodyPr/>
        <a:lstStyle/>
        <a:p>
          <a:endParaRPr lang="es-CO" sz="1800" b="1">
            <a:solidFill>
              <a:sysClr val="windowText" lastClr="000000"/>
            </a:solidFill>
          </a:endParaRPr>
        </a:p>
      </dgm:t>
    </dgm:pt>
    <dgm:pt modelId="{77ED72F7-5867-45FB-A572-1D61D2FFCF1B}">
      <dgm:prSet custT="1"/>
      <dgm:spPr/>
      <dgm:t>
        <a:bodyPr/>
        <a:lstStyle/>
        <a:p>
          <a:r>
            <a:rPr lang="es-CO" sz="8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1800" b="1">
            <a:solidFill>
              <a:sysClr val="windowText" lastClr="000000"/>
            </a:solidFill>
          </a:endParaRPr>
        </a:p>
      </dgm:t>
    </dgm:pt>
    <dgm:pt modelId="{50F7F6CE-8FB0-41DF-9D1D-BB1D2F7164B4}" type="parTrans" cxnId="{4DCF760A-4234-411C-9DDD-DEBB4735165A}">
      <dgm:prSet/>
      <dgm:spPr/>
      <dgm:t>
        <a:bodyPr/>
        <a:lstStyle/>
        <a:p>
          <a:endParaRPr lang="es-CO" sz="18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28.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77ED72F7-5867-45FB-A572-1D61D2FFCF1B}">
      <dgm:prSet custT="1"/>
      <dgm:spPr/>
      <dgm:t>
        <a:bodyPr/>
        <a:lstStyle/>
        <a:p>
          <a:r>
            <a:rPr lang="es-CO" sz="900"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sz="1050" b="1">
            <a:solidFill>
              <a:sysClr val="windowText" lastClr="000000"/>
            </a:solidFill>
          </a:endParaRPr>
        </a:p>
      </dgm:t>
    </dgm:pt>
    <dgm:pt modelId="{BDFDFD82-58C9-462F-8C87-480329CCF865}" type="sibTrans" cxnId="{4DCF760A-4234-411C-9DDD-DEBB4735165A}">
      <dgm:prSet/>
      <dgm:spPr/>
      <dgm:t>
        <a:bodyPr/>
        <a:lstStyle/>
        <a:p>
          <a:endParaRPr lang="es-CO" sz="105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29.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5D8257CB-A29E-42F4-A4DE-34486DCBDCC3}">
      <dgm:prSet phldrT="[Texto]" custT="1"/>
      <dgm:spPr/>
      <dgm:t>
        <a:bodyPr/>
        <a:lstStyle/>
        <a:p>
          <a:r>
            <a:rPr lang="es-CO" sz="900" b="1"/>
            <a:t>329901</a:t>
          </a:r>
          <a:endParaRPr lang="es-CO" sz="80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600"/>
        </a:p>
      </dgm:t>
    </dgm:pt>
    <dgm:pt modelId="{E0257DB5-2F25-45B5-8091-CC0A81F4D64D}" type="sibTrans" cxnId="{C2FB71B7-C3A6-4195-9097-03998FB04095}">
      <dgm:prSet/>
      <dgm:spPr/>
      <dgm:t>
        <a:bodyPr/>
        <a:lstStyle/>
        <a:p>
          <a:endParaRPr lang="es-CO" sz="1600"/>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2000" b="1">
            <a:solidFill>
              <a:sysClr val="windowText" lastClr="000000"/>
            </a:solidFill>
          </a:endParaRPr>
        </a:p>
      </dgm:t>
    </dgm:pt>
    <dgm:pt modelId="{67CE5C2F-1268-470B-A306-E88D174507DF}" type="sibTrans" cxnId="{A4751C46-4FF9-4972-9DCA-10D1A2973D7C}">
      <dgm:prSet/>
      <dgm:spPr/>
      <dgm:t>
        <a:bodyPr/>
        <a:lstStyle/>
        <a:p>
          <a:endParaRPr lang="es-CO" sz="2000" b="1">
            <a:solidFill>
              <a:sysClr val="windowText" lastClr="000000"/>
            </a:solidFill>
          </a:endParaRPr>
        </a:p>
      </dgm:t>
    </dgm:pt>
    <dgm:pt modelId="{CCEC1903-EEB9-4A17-A008-4EF3FC2A9B16}">
      <dgm:prSet phldrT="[Texto]" custT="1"/>
      <dgm:spPr/>
      <dgm:t>
        <a:bodyPr/>
        <a:lstStyle/>
        <a:p>
          <a:r>
            <a:rPr lang="es-CO" sz="9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2000" b="1">
            <a:solidFill>
              <a:sysClr val="windowText" lastClr="000000"/>
            </a:solidFill>
          </a:endParaRPr>
        </a:p>
      </dgm:t>
    </dgm:pt>
    <dgm:pt modelId="{50152946-9D07-4EE0-918E-E73E4E413630}" type="sibTrans" cxnId="{B26B0531-FAEC-487E-B7B1-FA3587A32D32}">
      <dgm:prSet/>
      <dgm:spPr/>
      <dgm:t>
        <a:bodyPr/>
        <a:lstStyle/>
        <a:p>
          <a:endParaRPr lang="es-CO" sz="2000" b="1">
            <a:solidFill>
              <a:sysClr val="windowText" lastClr="000000"/>
            </a:solidFill>
          </a:endParaRPr>
        </a:p>
      </dgm:t>
    </dgm:pt>
    <dgm:pt modelId="{C23BF35F-11CE-41B0-948D-9F6F6996B47A}">
      <dgm:prSet phldrT="[Texto]" custT="1"/>
      <dgm:spPr/>
      <dgm:t>
        <a:bodyPr/>
        <a:lstStyle/>
        <a:p>
          <a:r>
            <a:rPr lang="es-CO" sz="9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2000" b="1">
            <a:solidFill>
              <a:sysClr val="windowText" lastClr="000000"/>
            </a:solidFill>
          </a:endParaRPr>
        </a:p>
      </dgm:t>
    </dgm:pt>
    <dgm:pt modelId="{B05061CD-4813-49A1-8E43-8E5609730B93}" type="sibTrans" cxnId="{24E1BBD7-9A17-4C90-8BF4-6084FBAEE002}">
      <dgm:prSet/>
      <dgm:spPr/>
      <dgm:t>
        <a:bodyPr/>
        <a:lstStyle/>
        <a:p>
          <a:endParaRPr lang="es-CO" sz="2000" b="1">
            <a:solidFill>
              <a:sysClr val="windowText" lastClr="000000"/>
            </a:solidFill>
          </a:endParaRPr>
        </a:p>
      </dgm:t>
    </dgm:pt>
    <dgm:pt modelId="{478F0EF4-37C9-4C42-A564-2E10E5592036}">
      <dgm:prSet phldrT="[Texto]" custT="1"/>
      <dgm:spPr/>
      <dgm:t>
        <a:bodyPr/>
        <a:lstStyle/>
        <a:p>
          <a:r>
            <a:rPr lang="es-CO" sz="9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2000" b="1">
            <a:solidFill>
              <a:sysClr val="windowText" lastClr="000000"/>
            </a:solidFill>
          </a:endParaRPr>
        </a:p>
      </dgm:t>
    </dgm:pt>
    <dgm:pt modelId="{A7C656FF-04CE-44CF-855E-B8D551D5B68F}" type="sibTrans" cxnId="{B5337568-0E59-4F5C-8E7A-5FB2E4CB3ED9}">
      <dgm:prSet/>
      <dgm:spPr/>
      <dgm:t>
        <a:bodyPr/>
        <a:lstStyle/>
        <a:p>
          <a:endParaRPr lang="es-CO" sz="2000" b="1">
            <a:solidFill>
              <a:sysClr val="windowText" lastClr="000000"/>
            </a:solidFill>
          </a:endParaRPr>
        </a:p>
      </dgm:t>
    </dgm:pt>
    <dgm:pt modelId="{77ED72F7-5867-45FB-A572-1D61D2FFCF1B}">
      <dgm:prSet custT="1"/>
      <dgm:spPr/>
      <dgm:t>
        <a:bodyPr/>
        <a:lstStyle/>
        <a:p>
          <a:r>
            <a:rPr lang="es-CO" sz="9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2000" b="1">
            <a:solidFill>
              <a:sysClr val="windowText" lastClr="000000"/>
            </a:solidFill>
          </a:endParaRPr>
        </a:p>
      </dgm:t>
    </dgm:pt>
    <dgm:pt modelId="{50F7F6CE-8FB0-41DF-9D1D-BB1D2F7164B4}" type="parTrans" cxnId="{4DCF760A-4234-411C-9DDD-DEBB4735165A}">
      <dgm:prSet/>
      <dgm:spPr/>
      <dgm:t>
        <a:bodyPr/>
        <a:lstStyle/>
        <a:p>
          <a:endParaRPr lang="es-CO" sz="2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30.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2000" b="1">
            <a:solidFill>
              <a:sysClr val="windowText" lastClr="000000"/>
            </a:solidFill>
          </a:endParaRPr>
        </a:p>
      </dgm:t>
    </dgm:pt>
    <dgm:pt modelId="{67CE5C2F-1268-470B-A306-E88D174507DF}" type="sibTrans" cxnId="{A4751C46-4FF9-4972-9DCA-10D1A2973D7C}">
      <dgm:prSet/>
      <dgm:spPr/>
      <dgm:t>
        <a:bodyPr/>
        <a:lstStyle/>
        <a:p>
          <a:endParaRPr lang="es-CO" sz="2000" b="1">
            <a:solidFill>
              <a:sysClr val="windowText" lastClr="000000"/>
            </a:solidFill>
          </a:endParaRPr>
        </a:p>
      </dgm:t>
    </dgm:pt>
    <dgm:pt modelId="{CCEC1903-EEB9-4A17-A008-4EF3FC2A9B16}">
      <dgm:prSet phldrT="[Texto]" custT="1"/>
      <dgm:spPr/>
      <dgm:t>
        <a:bodyPr/>
        <a:lstStyle/>
        <a:p>
          <a:r>
            <a:rPr lang="es-CO" sz="9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2000" b="1">
            <a:solidFill>
              <a:sysClr val="windowText" lastClr="000000"/>
            </a:solidFill>
          </a:endParaRPr>
        </a:p>
      </dgm:t>
    </dgm:pt>
    <dgm:pt modelId="{50152946-9D07-4EE0-918E-E73E4E413630}" type="sibTrans" cxnId="{B26B0531-FAEC-487E-B7B1-FA3587A32D32}">
      <dgm:prSet/>
      <dgm:spPr/>
      <dgm:t>
        <a:bodyPr/>
        <a:lstStyle/>
        <a:p>
          <a:endParaRPr lang="es-CO" sz="2000" b="1">
            <a:solidFill>
              <a:sysClr val="windowText" lastClr="000000"/>
            </a:solidFill>
          </a:endParaRPr>
        </a:p>
      </dgm:t>
    </dgm:pt>
    <dgm:pt modelId="{C23BF35F-11CE-41B0-948D-9F6F6996B47A}">
      <dgm:prSet phldrT="[Texto]" custT="1"/>
      <dgm:spPr/>
      <dgm:t>
        <a:bodyPr/>
        <a:lstStyle/>
        <a:p>
          <a:r>
            <a:rPr lang="es-CO" sz="9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2000" b="1">
            <a:solidFill>
              <a:sysClr val="windowText" lastClr="000000"/>
            </a:solidFill>
          </a:endParaRPr>
        </a:p>
      </dgm:t>
    </dgm:pt>
    <dgm:pt modelId="{B05061CD-4813-49A1-8E43-8E5609730B93}" type="sibTrans" cxnId="{24E1BBD7-9A17-4C90-8BF4-6084FBAEE002}">
      <dgm:prSet/>
      <dgm:spPr/>
      <dgm:t>
        <a:bodyPr/>
        <a:lstStyle/>
        <a:p>
          <a:endParaRPr lang="es-CO" sz="2000" b="1">
            <a:solidFill>
              <a:sysClr val="windowText" lastClr="000000"/>
            </a:solidFill>
          </a:endParaRPr>
        </a:p>
      </dgm:t>
    </dgm:pt>
    <dgm:pt modelId="{478F0EF4-37C9-4C42-A564-2E10E5592036}">
      <dgm:prSet phldrT="[Texto]" custT="1"/>
      <dgm:spPr/>
      <dgm:t>
        <a:bodyPr/>
        <a:lstStyle/>
        <a:p>
          <a:r>
            <a:rPr lang="es-CO" sz="9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2000" b="1">
            <a:solidFill>
              <a:sysClr val="windowText" lastClr="000000"/>
            </a:solidFill>
          </a:endParaRPr>
        </a:p>
      </dgm:t>
    </dgm:pt>
    <dgm:pt modelId="{A7C656FF-04CE-44CF-855E-B8D551D5B68F}" type="sibTrans" cxnId="{B5337568-0E59-4F5C-8E7A-5FB2E4CB3ED9}">
      <dgm:prSet/>
      <dgm:spPr/>
      <dgm:t>
        <a:bodyPr/>
        <a:lstStyle/>
        <a:p>
          <a:endParaRPr lang="es-CO" sz="2000" b="1">
            <a:solidFill>
              <a:sysClr val="windowText" lastClr="000000"/>
            </a:solidFill>
          </a:endParaRPr>
        </a:p>
      </dgm:t>
    </dgm:pt>
    <dgm:pt modelId="{77ED72F7-5867-45FB-A572-1D61D2FFCF1B}">
      <dgm:prSet custT="1"/>
      <dgm:spPr/>
      <dgm:t>
        <a:bodyPr/>
        <a:lstStyle/>
        <a:p>
          <a:r>
            <a:rPr lang="es-CO" sz="9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2000" b="1">
            <a:solidFill>
              <a:sysClr val="windowText" lastClr="000000"/>
            </a:solidFill>
          </a:endParaRPr>
        </a:p>
      </dgm:t>
    </dgm:pt>
    <dgm:pt modelId="{50F7F6CE-8FB0-41DF-9D1D-BB1D2F7164B4}" type="parTrans" cxnId="{4DCF760A-4234-411C-9DDD-DEBB4735165A}">
      <dgm:prSet/>
      <dgm:spPr/>
      <dgm:t>
        <a:bodyPr/>
        <a:lstStyle/>
        <a:p>
          <a:endParaRPr lang="es-CO" sz="2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31.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dgm:spPr/>
      <dgm:t>
        <a:bodyPr/>
        <a:lstStyle/>
        <a:p>
          <a:r>
            <a:rPr lang="es-CO"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b="1">
            <a:solidFill>
              <a:sysClr val="windowText" lastClr="000000"/>
            </a:solidFill>
          </a:endParaRPr>
        </a:p>
      </dgm:t>
    </dgm:pt>
    <dgm:pt modelId="{67CE5C2F-1268-470B-A306-E88D174507DF}" type="sibTrans" cxnId="{A4751C46-4FF9-4972-9DCA-10D1A2973D7C}">
      <dgm:prSet/>
      <dgm:spPr/>
      <dgm:t>
        <a:bodyPr/>
        <a:lstStyle/>
        <a:p>
          <a:endParaRPr lang="es-CO" b="1">
            <a:solidFill>
              <a:sysClr val="windowText" lastClr="000000"/>
            </a:solidFill>
          </a:endParaRPr>
        </a:p>
      </dgm:t>
    </dgm:pt>
    <dgm:pt modelId="{CCEC1903-EEB9-4A17-A008-4EF3FC2A9B16}">
      <dgm:prSet phldrT="[Texto]"/>
      <dgm:spPr/>
      <dgm:t>
        <a:bodyPr/>
        <a:lstStyle/>
        <a:p>
          <a:r>
            <a:rPr lang="es-CO"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b="1">
            <a:solidFill>
              <a:sysClr val="windowText" lastClr="000000"/>
            </a:solidFill>
          </a:endParaRPr>
        </a:p>
      </dgm:t>
    </dgm:pt>
    <dgm:pt modelId="{50152946-9D07-4EE0-918E-E73E4E413630}" type="sibTrans" cxnId="{B26B0531-FAEC-487E-B7B1-FA3587A32D32}">
      <dgm:prSet/>
      <dgm:spPr/>
      <dgm:t>
        <a:bodyPr/>
        <a:lstStyle/>
        <a:p>
          <a:endParaRPr lang="es-CO" b="1">
            <a:solidFill>
              <a:sysClr val="windowText" lastClr="000000"/>
            </a:solidFill>
          </a:endParaRPr>
        </a:p>
      </dgm:t>
    </dgm:pt>
    <dgm:pt modelId="{C23BF35F-11CE-41B0-948D-9F6F6996B47A}">
      <dgm:prSet phldrT="[Texto]"/>
      <dgm:spPr/>
      <dgm:t>
        <a:bodyPr/>
        <a:lstStyle/>
        <a:p>
          <a:r>
            <a:rPr lang="es-CO"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b="1">
            <a:solidFill>
              <a:sysClr val="windowText" lastClr="000000"/>
            </a:solidFill>
          </a:endParaRPr>
        </a:p>
      </dgm:t>
    </dgm:pt>
    <dgm:pt modelId="{B05061CD-4813-49A1-8E43-8E5609730B93}" type="sibTrans" cxnId="{24E1BBD7-9A17-4C90-8BF4-6084FBAEE002}">
      <dgm:prSet/>
      <dgm:spPr/>
      <dgm:t>
        <a:bodyPr/>
        <a:lstStyle/>
        <a:p>
          <a:endParaRPr lang="es-CO" b="1">
            <a:solidFill>
              <a:sysClr val="windowText" lastClr="000000"/>
            </a:solidFill>
          </a:endParaRPr>
        </a:p>
      </dgm:t>
    </dgm:pt>
    <dgm:pt modelId="{478F0EF4-37C9-4C42-A564-2E10E5592036}">
      <dgm:prSet phldrT="[Texto]"/>
      <dgm:spPr/>
      <dgm:t>
        <a:bodyPr/>
        <a:lstStyle/>
        <a:p>
          <a:r>
            <a:rPr lang="es-CO"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b="1">
            <a:solidFill>
              <a:sysClr val="windowText" lastClr="000000"/>
            </a:solidFill>
          </a:endParaRPr>
        </a:p>
      </dgm:t>
    </dgm:pt>
    <dgm:pt modelId="{A7C656FF-04CE-44CF-855E-B8D551D5B68F}" type="sibTrans" cxnId="{B5337568-0E59-4F5C-8E7A-5FB2E4CB3ED9}">
      <dgm:prSet/>
      <dgm:spPr/>
      <dgm:t>
        <a:bodyPr/>
        <a:lstStyle/>
        <a:p>
          <a:endParaRPr lang="es-CO" b="1">
            <a:solidFill>
              <a:sysClr val="windowText" lastClr="000000"/>
            </a:solidFill>
          </a:endParaRPr>
        </a:p>
      </dgm:t>
    </dgm:pt>
    <dgm:pt modelId="{77ED72F7-5867-45FB-A572-1D61D2FFCF1B}">
      <dgm:prSet/>
      <dgm:spPr/>
      <dgm:t>
        <a:bodyPr/>
        <a:lstStyle/>
        <a:p>
          <a:r>
            <a:rPr lang="es-CO"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b="1">
            <a:solidFill>
              <a:sysClr val="windowText" lastClr="000000"/>
            </a:solidFill>
          </a:endParaRPr>
        </a:p>
      </dgm:t>
    </dgm:pt>
    <dgm:pt modelId="{BDFDFD82-58C9-462F-8C87-480329CCF865}" type="sibTrans" cxnId="{4DCF760A-4234-411C-9DDD-DEBB4735165A}">
      <dgm:prSet/>
      <dgm:spPr/>
      <dgm:t>
        <a:bodyPr/>
        <a:lstStyle/>
        <a:p>
          <a:endParaRPr lang="es-CO"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32.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5D8257CB-A29E-42F4-A4DE-34486DCBDCC3}">
      <dgm:prSet phldrT="[Texto]" custT="1"/>
      <dgm:spPr/>
      <dgm:t>
        <a:bodyPr/>
        <a:lstStyle/>
        <a:p>
          <a:r>
            <a:rPr lang="es-CO" sz="900" b="1"/>
            <a:t>329901</a:t>
          </a:r>
          <a:endParaRPr lang="es-CO" sz="80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600"/>
        </a:p>
      </dgm:t>
    </dgm:pt>
    <dgm:pt modelId="{E0257DB5-2F25-45B5-8091-CC0A81F4D64D}" type="sibTrans" cxnId="{C2FB71B7-C3A6-4195-9097-03998FB04095}">
      <dgm:prSet/>
      <dgm:spPr/>
      <dgm:t>
        <a:bodyPr/>
        <a:lstStyle/>
        <a:p>
          <a:endParaRPr lang="es-CO" sz="1600"/>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33.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2000" b="1">
            <a:solidFill>
              <a:sysClr val="windowText" lastClr="000000"/>
            </a:solidFill>
          </a:endParaRPr>
        </a:p>
      </dgm:t>
    </dgm:pt>
    <dgm:pt modelId="{67CE5C2F-1268-470B-A306-E88D174507DF}" type="sibTrans" cxnId="{A4751C46-4FF9-4972-9DCA-10D1A2973D7C}">
      <dgm:prSet/>
      <dgm:spPr/>
      <dgm:t>
        <a:bodyPr/>
        <a:lstStyle/>
        <a:p>
          <a:endParaRPr lang="es-CO" sz="2000" b="1">
            <a:solidFill>
              <a:sysClr val="windowText" lastClr="000000"/>
            </a:solidFill>
          </a:endParaRPr>
        </a:p>
      </dgm:t>
    </dgm:pt>
    <dgm:pt modelId="{CCEC1903-EEB9-4A17-A008-4EF3FC2A9B16}">
      <dgm:prSet phldrT="[Texto]" custT="1"/>
      <dgm:spPr/>
      <dgm:t>
        <a:bodyPr/>
        <a:lstStyle/>
        <a:p>
          <a:r>
            <a:rPr lang="es-CO" sz="9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2000" b="1">
            <a:solidFill>
              <a:sysClr val="windowText" lastClr="000000"/>
            </a:solidFill>
          </a:endParaRPr>
        </a:p>
      </dgm:t>
    </dgm:pt>
    <dgm:pt modelId="{50152946-9D07-4EE0-918E-E73E4E413630}" type="sibTrans" cxnId="{B26B0531-FAEC-487E-B7B1-FA3587A32D32}">
      <dgm:prSet/>
      <dgm:spPr/>
      <dgm:t>
        <a:bodyPr/>
        <a:lstStyle/>
        <a:p>
          <a:endParaRPr lang="es-CO" sz="2000" b="1">
            <a:solidFill>
              <a:sysClr val="windowText" lastClr="000000"/>
            </a:solidFill>
          </a:endParaRPr>
        </a:p>
      </dgm:t>
    </dgm:pt>
    <dgm:pt modelId="{C23BF35F-11CE-41B0-948D-9F6F6996B47A}">
      <dgm:prSet phldrT="[Texto]" custT="1"/>
      <dgm:spPr/>
      <dgm:t>
        <a:bodyPr/>
        <a:lstStyle/>
        <a:p>
          <a:r>
            <a:rPr lang="es-CO" sz="9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2000" b="1">
            <a:solidFill>
              <a:sysClr val="windowText" lastClr="000000"/>
            </a:solidFill>
          </a:endParaRPr>
        </a:p>
      </dgm:t>
    </dgm:pt>
    <dgm:pt modelId="{B05061CD-4813-49A1-8E43-8E5609730B93}" type="sibTrans" cxnId="{24E1BBD7-9A17-4C90-8BF4-6084FBAEE002}">
      <dgm:prSet/>
      <dgm:spPr/>
      <dgm:t>
        <a:bodyPr/>
        <a:lstStyle/>
        <a:p>
          <a:endParaRPr lang="es-CO" sz="2000" b="1">
            <a:solidFill>
              <a:sysClr val="windowText" lastClr="000000"/>
            </a:solidFill>
          </a:endParaRPr>
        </a:p>
      </dgm:t>
    </dgm:pt>
    <dgm:pt modelId="{478F0EF4-37C9-4C42-A564-2E10E5592036}">
      <dgm:prSet phldrT="[Texto]" custT="1"/>
      <dgm:spPr/>
      <dgm:t>
        <a:bodyPr/>
        <a:lstStyle/>
        <a:p>
          <a:r>
            <a:rPr lang="es-CO" sz="9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2000" b="1">
            <a:solidFill>
              <a:sysClr val="windowText" lastClr="000000"/>
            </a:solidFill>
          </a:endParaRPr>
        </a:p>
      </dgm:t>
    </dgm:pt>
    <dgm:pt modelId="{A7C656FF-04CE-44CF-855E-B8D551D5B68F}" type="sibTrans" cxnId="{B5337568-0E59-4F5C-8E7A-5FB2E4CB3ED9}">
      <dgm:prSet/>
      <dgm:spPr/>
      <dgm:t>
        <a:bodyPr/>
        <a:lstStyle/>
        <a:p>
          <a:endParaRPr lang="es-CO" sz="2000" b="1">
            <a:solidFill>
              <a:sysClr val="windowText" lastClr="000000"/>
            </a:solidFill>
          </a:endParaRPr>
        </a:p>
      </dgm:t>
    </dgm:pt>
    <dgm:pt modelId="{77ED72F7-5867-45FB-A572-1D61D2FFCF1B}">
      <dgm:prSet custT="1"/>
      <dgm:spPr/>
      <dgm:t>
        <a:bodyPr/>
        <a:lstStyle/>
        <a:p>
          <a:r>
            <a:rPr lang="es-CO" sz="9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2000" b="1">
            <a:solidFill>
              <a:sysClr val="windowText" lastClr="000000"/>
            </a:solidFill>
          </a:endParaRPr>
        </a:p>
      </dgm:t>
    </dgm:pt>
    <dgm:pt modelId="{50F7F6CE-8FB0-41DF-9D1D-BB1D2F7164B4}" type="parTrans" cxnId="{4DCF760A-4234-411C-9DDD-DEBB4735165A}">
      <dgm:prSet/>
      <dgm:spPr/>
      <dgm:t>
        <a:bodyPr/>
        <a:lstStyle/>
        <a:p>
          <a:endParaRPr lang="es-CO" sz="2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34.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50"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1050"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1050"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1050"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77ED72F7-5867-45FB-A572-1D61D2FFCF1B}">
      <dgm:prSet custT="1"/>
      <dgm:spPr/>
      <dgm:t>
        <a:bodyPr/>
        <a:lstStyle/>
        <a:p>
          <a:r>
            <a:rPr lang="es-CO" sz="1050"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sz="1050" b="1">
            <a:solidFill>
              <a:sysClr val="windowText" lastClr="000000"/>
            </a:solidFill>
          </a:endParaRPr>
        </a:p>
      </dgm:t>
    </dgm:pt>
    <dgm:pt modelId="{BDFDFD82-58C9-462F-8C87-480329CCF865}" type="sibTrans" cxnId="{4DCF760A-4234-411C-9DDD-DEBB4735165A}">
      <dgm:prSet/>
      <dgm:spPr/>
      <dgm:t>
        <a:bodyPr/>
        <a:lstStyle/>
        <a:p>
          <a:endParaRPr lang="es-CO" sz="105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35.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1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400" b="1">
            <a:solidFill>
              <a:sysClr val="windowText" lastClr="000000"/>
            </a:solidFill>
          </a:endParaRPr>
        </a:p>
      </dgm:t>
    </dgm:pt>
    <dgm:pt modelId="{67CE5C2F-1268-470B-A306-E88D174507DF}" type="sibTrans" cxnId="{A4751C46-4FF9-4972-9DCA-10D1A2973D7C}">
      <dgm:prSet/>
      <dgm:spPr/>
      <dgm:t>
        <a:bodyPr/>
        <a:lstStyle/>
        <a:p>
          <a:endParaRPr lang="es-CO" sz="1400" b="1">
            <a:solidFill>
              <a:sysClr val="windowText" lastClr="000000"/>
            </a:solidFill>
          </a:endParaRPr>
        </a:p>
      </dgm:t>
    </dgm:pt>
    <dgm:pt modelId="{CCEC1903-EEB9-4A17-A008-4EF3FC2A9B16}">
      <dgm:prSet phldrT="[Texto]" custT="1"/>
      <dgm:spPr/>
      <dgm:t>
        <a:bodyPr/>
        <a:lstStyle/>
        <a:p>
          <a:r>
            <a:rPr lang="es-CO" sz="11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400" b="1">
            <a:solidFill>
              <a:sysClr val="windowText" lastClr="000000"/>
            </a:solidFill>
          </a:endParaRPr>
        </a:p>
      </dgm:t>
    </dgm:pt>
    <dgm:pt modelId="{50152946-9D07-4EE0-918E-E73E4E413630}" type="sibTrans" cxnId="{B26B0531-FAEC-487E-B7B1-FA3587A32D32}">
      <dgm:prSet/>
      <dgm:spPr/>
      <dgm:t>
        <a:bodyPr/>
        <a:lstStyle/>
        <a:p>
          <a:endParaRPr lang="es-CO" sz="1400" b="1">
            <a:solidFill>
              <a:sysClr val="windowText" lastClr="000000"/>
            </a:solidFill>
          </a:endParaRPr>
        </a:p>
      </dgm:t>
    </dgm:pt>
    <dgm:pt modelId="{C23BF35F-11CE-41B0-948D-9F6F6996B47A}">
      <dgm:prSet phldrT="[Texto]" custT="1"/>
      <dgm:spPr/>
      <dgm:t>
        <a:bodyPr/>
        <a:lstStyle/>
        <a:p>
          <a:r>
            <a:rPr lang="es-CO" sz="11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400" b="1">
            <a:solidFill>
              <a:sysClr val="windowText" lastClr="000000"/>
            </a:solidFill>
          </a:endParaRPr>
        </a:p>
      </dgm:t>
    </dgm:pt>
    <dgm:pt modelId="{B05061CD-4813-49A1-8E43-8E5609730B93}" type="sibTrans" cxnId="{24E1BBD7-9A17-4C90-8BF4-6084FBAEE002}">
      <dgm:prSet/>
      <dgm:spPr/>
      <dgm:t>
        <a:bodyPr/>
        <a:lstStyle/>
        <a:p>
          <a:endParaRPr lang="es-CO" sz="1400" b="1">
            <a:solidFill>
              <a:sysClr val="windowText" lastClr="000000"/>
            </a:solidFill>
          </a:endParaRPr>
        </a:p>
      </dgm:t>
    </dgm:pt>
    <dgm:pt modelId="{478F0EF4-37C9-4C42-A564-2E10E5592036}">
      <dgm:prSet phldrT="[Texto]" custT="1"/>
      <dgm:spPr/>
      <dgm:t>
        <a:bodyPr/>
        <a:lstStyle/>
        <a:p>
          <a:r>
            <a:rPr lang="es-CO" sz="11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400" b="1">
            <a:solidFill>
              <a:sysClr val="windowText" lastClr="000000"/>
            </a:solidFill>
          </a:endParaRPr>
        </a:p>
      </dgm:t>
    </dgm:pt>
    <dgm:pt modelId="{A7C656FF-04CE-44CF-855E-B8D551D5B68F}" type="sibTrans" cxnId="{B5337568-0E59-4F5C-8E7A-5FB2E4CB3ED9}">
      <dgm:prSet/>
      <dgm:spPr/>
      <dgm:t>
        <a:bodyPr/>
        <a:lstStyle/>
        <a:p>
          <a:endParaRPr lang="es-CO" sz="1400" b="1">
            <a:solidFill>
              <a:sysClr val="windowText" lastClr="000000"/>
            </a:solidFill>
          </a:endParaRPr>
        </a:p>
      </dgm:t>
    </dgm:pt>
    <dgm:pt modelId="{5D8257CB-A29E-42F4-A4DE-34486DCBDCC3}">
      <dgm:prSet phldrT="[Texto]" custT="1"/>
      <dgm:spPr/>
      <dgm:t>
        <a:bodyPr/>
        <a:lstStyle/>
        <a:p>
          <a:r>
            <a:rPr lang="es-CO" sz="1100" b="1"/>
            <a:t>329901</a:t>
          </a:r>
          <a:endParaRPr lang="es-CO" sz="105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2400" b="1"/>
        </a:p>
      </dgm:t>
    </dgm:pt>
    <dgm:pt modelId="{E0257DB5-2F25-45B5-8091-CC0A81F4D64D}" type="sibTrans" cxnId="{C2FB71B7-C3A6-4195-9097-03998FB04095}">
      <dgm:prSet/>
      <dgm:spPr/>
      <dgm:t>
        <a:bodyPr/>
        <a:lstStyle/>
        <a:p>
          <a:endParaRPr lang="es-CO" sz="2400" b="1"/>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36.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1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100" b="1">
            <a:solidFill>
              <a:sysClr val="windowText" lastClr="000000"/>
            </a:solidFill>
          </a:endParaRPr>
        </a:p>
      </dgm:t>
    </dgm:pt>
    <dgm:pt modelId="{67CE5C2F-1268-470B-A306-E88D174507DF}" type="sibTrans" cxnId="{A4751C46-4FF9-4972-9DCA-10D1A2973D7C}">
      <dgm:prSet/>
      <dgm:spPr/>
      <dgm:t>
        <a:bodyPr/>
        <a:lstStyle/>
        <a:p>
          <a:endParaRPr lang="es-CO" sz="1100" b="1">
            <a:solidFill>
              <a:sysClr val="windowText" lastClr="000000"/>
            </a:solidFill>
          </a:endParaRPr>
        </a:p>
      </dgm:t>
    </dgm:pt>
    <dgm:pt modelId="{CCEC1903-EEB9-4A17-A008-4EF3FC2A9B16}">
      <dgm:prSet phldrT="[Texto]" custT="1"/>
      <dgm:spPr/>
      <dgm:t>
        <a:bodyPr/>
        <a:lstStyle/>
        <a:p>
          <a:r>
            <a:rPr lang="es-CO" sz="11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100" b="1">
            <a:solidFill>
              <a:sysClr val="windowText" lastClr="000000"/>
            </a:solidFill>
          </a:endParaRPr>
        </a:p>
      </dgm:t>
    </dgm:pt>
    <dgm:pt modelId="{50152946-9D07-4EE0-918E-E73E4E413630}" type="sibTrans" cxnId="{B26B0531-FAEC-487E-B7B1-FA3587A32D32}">
      <dgm:prSet/>
      <dgm:spPr/>
      <dgm:t>
        <a:bodyPr/>
        <a:lstStyle/>
        <a:p>
          <a:endParaRPr lang="es-CO" sz="1100" b="1">
            <a:solidFill>
              <a:sysClr val="windowText" lastClr="000000"/>
            </a:solidFill>
          </a:endParaRPr>
        </a:p>
      </dgm:t>
    </dgm:pt>
    <dgm:pt modelId="{C23BF35F-11CE-41B0-948D-9F6F6996B47A}">
      <dgm:prSet phldrT="[Texto]" custT="1"/>
      <dgm:spPr/>
      <dgm:t>
        <a:bodyPr/>
        <a:lstStyle/>
        <a:p>
          <a:r>
            <a:rPr lang="es-CO" sz="11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100" b="1">
            <a:solidFill>
              <a:sysClr val="windowText" lastClr="000000"/>
            </a:solidFill>
          </a:endParaRPr>
        </a:p>
      </dgm:t>
    </dgm:pt>
    <dgm:pt modelId="{B05061CD-4813-49A1-8E43-8E5609730B93}" type="sibTrans" cxnId="{24E1BBD7-9A17-4C90-8BF4-6084FBAEE002}">
      <dgm:prSet/>
      <dgm:spPr/>
      <dgm:t>
        <a:bodyPr/>
        <a:lstStyle/>
        <a:p>
          <a:endParaRPr lang="es-CO" sz="1100" b="1">
            <a:solidFill>
              <a:sysClr val="windowText" lastClr="000000"/>
            </a:solidFill>
          </a:endParaRPr>
        </a:p>
      </dgm:t>
    </dgm:pt>
    <dgm:pt modelId="{478F0EF4-37C9-4C42-A564-2E10E5592036}">
      <dgm:prSet phldrT="[Texto]" custT="1"/>
      <dgm:spPr/>
      <dgm:t>
        <a:bodyPr/>
        <a:lstStyle/>
        <a:p>
          <a:r>
            <a:rPr lang="es-CO" sz="11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100" b="1">
            <a:solidFill>
              <a:sysClr val="windowText" lastClr="000000"/>
            </a:solidFill>
          </a:endParaRPr>
        </a:p>
      </dgm:t>
    </dgm:pt>
    <dgm:pt modelId="{A7C656FF-04CE-44CF-855E-B8D551D5B68F}" type="sibTrans" cxnId="{B5337568-0E59-4F5C-8E7A-5FB2E4CB3ED9}">
      <dgm:prSet/>
      <dgm:spPr/>
      <dgm:t>
        <a:bodyPr/>
        <a:lstStyle/>
        <a:p>
          <a:endParaRPr lang="es-CO" sz="1100" b="1">
            <a:solidFill>
              <a:sysClr val="windowText" lastClr="000000"/>
            </a:solidFill>
          </a:endParaRPr>
        </a:p>
      </dgm:t>
    </dgm:pt>
    <dgm:pt modelId="{77ED72F7-5867-45FB-A572-1D61D2FFCF1B}">
      <dgm:prSet custT="1"/>
      <dgm:spPr/>
      <dgm:t>
        <a:bodyPr/>
        <a:lstStyle/>
        <a:p>
          <a:r>
            <a:rPr lang="es-CO" sz="11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1100" b="1">
            <a:solidFill>
              <a:sysClr val="windowText" lastClr="000000"/>
            </a:solidFill>
          </a:endParaRPr>
        </a:p>
      </dgm:t>
    </dgm:pt>
    <dgm:pt modelId="{50F7F6CE-8FB0-41DF-9D1D-BB1D2F7164B4}" type="parTrans" cxnId="{4DCF760A-4234-411C-9DDD-DEBB4735165A}">
      <dgm:prSet/>
      <dgm:spPr/>
      <dgm:t>
        <a:bodyPr/>
        <a:lstStyle/>
        <a:p>
          <a:endParaRPr lang="es-CO" sz="11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37.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50"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1050"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1050"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1050"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77ED72F7-5867-45FB-A572-1D61D2FFCF1B}">
      <dgm:prSet custT="1"/>
      <dgm:spPr/>
      <dgm:t>
        <a:bodyPr/>
        <a:lstStyle/>
        <a:p>
          <a:r>
            <a:rPr lang="es-CO" sz="1050"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sz="1050" b="1">
            <a:solidFill>
              <a:sysClr val="windowText" lastClr="000000"/>
            </a:solidFill>
          </a:endParaRPr>
        </a:p>
      </dgm:t>
    </dgm:pt>
    <dgm:pt modelId="{BDFDFD82-58C9-462F-8C87-480329CCF865}" type="sibTrans" cxnId="{4DCF760A-4234-411C-9DDD-DEBB4735165A}">
      <dgm:prSet/>
      <dgm:spPr/>
      <dgm:t>
        <a:bodyPr/>
        <a:lstStyle/>
        <a:p>
          <a:endParaRPr lang="es-CO" sz="105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38.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1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400" b="1">
            <a:solidFill>
              <a:sysClr val="windowText" lastClr="000000"/>
            </a:solidFill>
          </a:endParaRPr>
        </a:p>
      </dgm:t>
    </dgm:pt>
    <dgm:pt modelId="{67CE5C2F-1268-470B-A306-E88D174507DF}" type="sibTrans" cxnId="{A4751C46-4FF9-4972-9DCA-10D1A2973D7C}">
      <dgm:prSet/>
      <dgm:spPr/>
      <dgm:t>
        <a:bodyPr/>
        <a:lstStyle/>
        <a:p>
          <a:endParaRPr lang="es-CO" sz="1400" b="1">
            <a:solidFill>
              <a:sysClr val="windowText" lastClr="000000"/>
            </a:solidFill>
          </a:endParaRPr>
        </a:p>
      </dgm:t>
    </dgm:pt>
    <dgm:pt modelId="{CCEC1903-EEB9-4A17-A008-4EF3FC2A9B16}">
      <dgm:prSet phldrT="[Texto]" custT="1"/>
      <dgm:spPr/>
      <dgm:t>
        <a:bodyPr/>
        <a:lstStyle/>
        <a:p>
          <a:r>
            <a:rPr lang="es-CO" sz="11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400" b="1">
            <a:solidFill>
              <a:sysClr val="windowText" lastClr="000000"/>
            </a:solidFill>
          </a:endParaRPr>
        </a:p>
      </dgm:t>
    </dgm:pt>
    <dgm:pt modelId="{50152946-9D07-4EE0-918E-E73E4E413630}" type="sibTrans" cxnId="{B26B0531-FAEC-487E-B7B1-FA3587A32D32}">
      <dgm:prSet/>
      <dgm:spPr/>
      <dgm:t>
        <a:bodyPr/>
        <a:lstStyle/>
        <a:p>
          <a:endParaRPr lang="es-CO" sz="1400" b="1">
            <a:solidFill>
              <a:sysClr val="windowText" lastClr="000000"/>
            </a:solidFill>
          </a:endParaRPr>
        </a:p>
      </dgm:t>
    </dgm:pt>
    <dgm:pt modelId="{C23BF35F-11CE-41B0-948D-9F6F6996B47A}">
      <dgm:prSet phldrT="[Texto]" custT="1"/>
      <dgm:spPr/>
      <dgm:t>
        <a:bodyPr/>
        <a:lstStyle/>
        <a:p>
          <a:r>
            <a:rPr lang="es-CO" sz="11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400" b="1">
            <a:solidFill>
              <a:sysClr val="windowText" lastClr="000000"/>
            </a:solidFill>
          </a:endParaRPr>
        </a:p>
      </dgm:t>
    </dgm:pt>
    <dgm:pt modelId="{B05061CD-4813-49A1-8E43-8E5609730B93}" type="sibTrans" cxnId="{24E1BBD7-9A17-4C90-8BF4-6084FBAEE002}">
      <dgm:prSet/>
      <dgm:spPr/>
      <dgm:t>
        <a:bodyPr/>
        <a:lstStyle/>
        <a:p>
          <a:endParaRPr lang="es-CO" sz="1400" b="1">
            <a:solidFill>
              <a:sysClr val="windowText" lastClr="000000"/>
            </a:solidFill>
          </a:endParaRPr>
        </a:p>
      </dgm:t>
    </dgm:pt>
    <dgm:pt modelId="{478F0EF4-37C9-4C42-A564-2E10E5592036}">
      <dgm:prSet phldrT="[Texto]" custT="1"/>
      <dgm:spPr/>
      <dgm:t>
        <a:bodyPr/>
        <a:lstStyle/>
        <a:p>
          <a:r>
            <a:rPr lang="es-CO" sz="11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400" b="1">
            <a:solidFill>
              <a:sysClr val="windowText" lastClr="000000"/>
            </a:solidFill>
          </a:endParaRPr>
        </a:p>
      </dgm:t>
    </dgm:pt>
    <dgm:pt modelId="{A7C656FF-04CE-44CF-855E-B8D551D5B68F}" type="sibTrans" cxnId="{B5337568-0E59-4F5C-8E7A-5FB2E4CB3ED9}">
      <dgm:prSet/>
      <dgm:spPr/>
      <dgm:t>
        <a:bodyPr/>
        <a:lstStyle/>
        <a:p>
          <a:endParaRPr lang="es-CO" sz="1400" b="1">
            <a:solidFill>
              <a:sysClr val="windowText" lastClr="000000"/>
            </a:solidFill>
          </a:endParaRPr>
        </a:p>
      </dgm:t>
    </dgm:pt>
    <dgm:pt modelId="{5D8257CB-A29E-42F4-A4DE-34486DCBDCC3}">
      <dgm:prSet phldrT="[Texto]" custT="1"/>
      <dgm:spPr/>
      <dgm:t>
        <a:bodyPr/>
        <a:lstStyle/>
        <a:p>
          <a:r>
            <a:rPr lang="es-CO" sz="1100" b="1"/>
            <a:t>329901</a:t>
          </a:r>
          <a:endParaRPr lang="es-CO" sz="105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2400" b="1"/>
        </a:p>
      </dgm:t>
    </dgm:pt>
    <dgm:pt modelId="{E0257DB5-2F25-45B5-8091-CC0A81F4D64D}" type="sibTrans" cxnId="{C2FB71B7-C3A6-4195-9097-03998FB04095}">
      <dgm:prSet/>
      <dgm:spPr/>
      <dgm:t>
        <a:bodyPr/>
        <a:lstStyle/>
        <a:p>
          <a:endParaRPr lang="es-CO" sz="2400" b="1"/>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39.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5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105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105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105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77ED72F7-5867-45FB-A572-1D61D2FFCF1B}">
      <dgm:prSet custT="1"/>
      <dgm:spPr/>
      <dgm:t>
        <a:bodyPr/>
        <a:lstStyle/>
        <a:p>
          <a:r>
            <a:rPr lang="es-CO" sz="105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1050" b="1">
            <a:solidFill>
              <a:sysClr val="windowText" lastClr="000000"/>
            </a:solidFill>
          </a:endParaRPr>
        </a:p>
      </dgm:t>
    </dgm:pt>
    <dgm:pt modelId="{50F7F6CE-8FB0-41DF-9D1D-BB1D2F7164B4}" type="parTrans" cxnId="{4DCF760A-4234-411C-9DDD-DEBB4735165A}">
      <dgm:prSet/>
      <dgm:spPr/>
      <dgm:t>
        <a:bodyPr/>
        <a:lstStyle/>
        <a:p>
          <a:endParaRPr lang="es-CO" sz="105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dgm:spPr/>
      <dgm:t>
        <a:bodyPr/>
        <a:lstStyle/>
        <a:p>
          <a:r>
            <a:rPr lang="es-CO"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b="1">
            <a:solidFill>
              <a:sysClr val="windowText" lastClr="000000"/>
            </a:solidFill>
          </a:endParaRPr>
        </a:p>
      </dgm:t>
    </dgm:pt>
    <dgm:pt modelId="{67CE5C2F-1268-470B-A306-E88D174507DF}" type="sibTrans" cxnId="{A4751C46-4FF9-4972-9DCA-10D1A2973D7C}">
      <dgm:prSet/>
      <dgm:spPr/>
      <dgm:t>
        <a:bodyPr/>
        <a:lstStyle/>
        <a:p>
          <a:endParaRPr lang="es-CO" b="1">
            <a:solidFill>
              <a:sysClr val="windowText" lastClr="000000"/>
            </a:solidFill>
          </a:endParaRPr>
        </a:p>
      </dgm:t>
    </dgm:pt>
    <dgm:pt modelId="{CCEC1903-EEB9-4A17-A008-4EF3FC2A9B16}">
      <dgm:prSet phldrT="[Texto]"/>
      <dgm:spPr/>
      <dgm:t>
        <a:bodyPr/>
        <a:lstStyle/>
        <a:p>
          <a:r>
            <a:rPr lang="es-CO"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b="1">
            <a:solidFill>
              <a:sysClr val="windowText" lastClr="000000"/>
            </a:solidFill>
          </a:endParaRPr>
        </a:p>
      </dgm:t>
    </dgm:pt>
    <dgm:pt modelId="{50152946-9D07-4EE0-918E-E73E4E413630}" type="sibTrans" cxnId="{B26B0531-FAEC-487E-B7B1-FA3587A32D32}">
      <dgm:prSet/>
      <dgm:spPr/>
      <dgm:t>
        <a:bodyPr/>
        <a:lstStyle/>
        <a:p>
          <a:endParaRPr lang="es-CO" b="1">
            <a:solidFill>
              <a:sysClr val="windowText" lastClr="000000"/>
            </a:solidFill>
          </a:endParaRPr>
        </a:p>
      </dgm:t>
    </dgm:pt>
    <dgm:pt modelId="{C23BF35F-11CE-41B0-948D-9F6F6996B47A}">
      <dgm:prSet phldrT="[Texto]"/>
      <dgm:spPr/>
      <dgm:t>
        <a:bodyPr/>
        <a:lstStyle/>
        <a:p>
          <a:r>
            <a:rPr lang="es-CO"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b="1">
            <a:solidFill>
              <a:sysClr val="windowText" lastClr="000000"/>
            </a:solidFill>
          </a:endParaRPr>
        </a:p>
      </dgm:t>
    </dgm:pt>
    <dgm:pt modelId="{B05061CD-4813-49A1-8E43-8E5609730B93}" type="sibTrans" cxnId="{24E1BBD7-9A17-4C90-8BF4-6084FBAEE002}">
      <dgm:prSet/>
      <dgm:spPr/>
      <dgm:t>
        <a:bodyPr/>
        <a:lstStyle/>
        <a:p>
          <a:endParaRPr lang="es-CO" b="1">
            <a:solidFill>
              <a:sysClr val="windowText" lastClr="000000"/>
            </a:solidFill>
          </a:endParaRPr>
        </a:p>
      </dgm:t>
    </dgm:pt>
    <dgm:pt modelId="{478F0EF4-37C9-4C42-A564-2E10E5592036}">
      <dgm:prSet phldrT="[Texto]"/>
      <dgm:spPr/>
      <dgm:t>
        <a:bodyPr/>
        <a:lstStyle/>
        <a:p>
          <a:r>
            <a:rPr lang="es-CO"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b="1">
            <a:solidFill>
              <a:sysClr val="windowText" lastClr="000000"/>
            </a:solidFill>
          </a:endParaRPr>
        </a:p>
      </dgm:t>
    </dgm:pt>
    <dgm:pt modelId="{A7C656FF-04CE-44CF-855E-B8D551D5B68F}" type="sibTrans" cxnId="{B5337568-0E59-4F5C-8E7A-5FB2E4CB3ED9}">
      <dgm:prSet/>
      <dgm:spPr/>
      <dgm:t>
        <a:bodyPr/>
        <a:lstStyle/>
        <a:p>
          <a:endParaRPr lang="es-CO" b="1">
            <a:solidFill>
              <a:sysClr val="windowText" lastClr="000000"/>
            </a:solidFill>
          </a:endParaRPr>
        </a:p>
      </dgm:t>
    </dgm:pt>
    <dgm:pt modelId="{77ED72F7-5867-45FB-A572-1D61D2FFCF1B}">
      <dgm:prSet/>
      <dgm:spPr/>
      <dgm:t>
        <a:bodyPr/>
        <a:lstStyle/>
        <a:p>
          <a:r>
            <a:rPr lang="es-CO"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b="1">
            <a:solidFill>
              <a:sysClr val="windowText" lastClr="000000"/>
            </a:solidFill>
          </a:endParaRPr>
        </a:p>
      </dgm:t>
    </dgm:pt>
    <dgm:pt modelId="{BDFDFD82-58C9-462F-8C87-480329CCF865}" type="sibTrans" cxnId="{4DCF760A-4234-411C-9DDD-DEBB4735165A}">
      <dgm:prSet/>
      <dgm:spPr/>
      <dgm:t>
        <a:bodyPr/>
        <a:lstStyle/>
        <a:p>
          <a:endParaRPr lang="es-CO"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40.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50"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1050"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1050"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1050"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77ED72F7-5867-45FB-A572-1D61D2FFCF1B}">
      <dgm:prSet custT="1"/>
      <dgm:spPr/>
      <dgm:t>
        <a:bodyPr/>
        <a:lstStyle/>
        <a:p>
          <a:r>
            <a:rPr lang="es-CO" sz="1050"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sz="1050" b="1">
            <a:solidFill>
              <a:sysClr val="windowText" lastClr="000000"/>
            </a:solidFill>
          </a:endParaRPr>
        </a:p>
      </dgm:t>
    </dgm:pt>
    <dgm:pt modelId="{BDFDFD82-58C9-462F-8C87-480329CCF865}" type="sibTrans" cxnId="{4DCF760A-4234-411C-9DDD-DEBB4735165A}">
      <dgm:prSet/>
      <dgm:spPr/>
      <dgm:t>
        <a:bodyPr/>
        <a:lstStyle/>
        <a:p>
          <a:endParaRPr lang="es-CO" sz="105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41.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1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400" b="1">
            <a:solidFill>
              <a:sysClr val="windowText" lastClr="000000"/>
            </a:solidFill>
          </a:endParaRPr>
        </a:p>
      </dgm:t>
    </dgm:pt>
    <dgm:pt modelId="{67CE5C2F-1268-470B-A306-E88D174507DF}" type="sibTrans" cxnId="{A4751C46-4FF9-4972-9DCA-10D1A2973D7C}">
      <dgm:prSet/>
      <dgm:spPr/>
      <dgm:t>
        <a:bodyPr/>
        <a:lstStyle/>
        <a:p>
          <a:endParaRPr lang="es-CO" sz="1400" b="1">
            <a:solidFill>
              <a:sysClr val="windowText" lastClr="000000"/>
            </a:solidFill>
          </a:endParaRPr>
        </a:p>
      </dgm:t>
    </dgm:pt>
    <dgm:pt modelId="{CCEC1903-EEB9-4A17-A008-4EF3FC2A9B16}">
      <dgm:prSet phldrT="[Texto]" custT="1"/>
      <dgm:spPr/>
      <dgm:t>
        <a:bodyPr/>
        <a:lstStyle/>
        <a:p>
          <a:r>
            <a:rPr lang="es-CO" sz="11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400" b="1">
            <a:solidFill>
              <a:sysClr val="windowText" lastClr="000000"/>
            </a:solidFill>
          </a:endParaRPr>
        </a:p>
      </dgm:t>
    </dgm:pt>
    <dgm:pt modelId="{50152946-9D07-4EE0-918E-E73E4E413630}" type="sibTrans" cxnId="{B26B0531-FAEC-487E-B7B1-FA3587A32D32}">
      <dgm:prSet/>
      <dgm:spPr/>
      <dgm:t>
        <a:bodyPr/>
        <a:lstStyle/>
        <a:p>
          <a:endParaRPr lang="es-CO" sz="1400" b="1">
            <a:solidFill>
              <a:sysClr val="windowText" lastClr="000000"/>
            </a:solidFill>
          </a:endParaRPr>
        </a:p>
      </dgm:t>
    </dgm:pt>
    <dgm:pt modelId="{C23BF35F-11CE-41B0-948D-9F6F6996B47A}">
      <dgm:prSet phldrT="[Texto]" custT="1"/>
      <dgm:spPr/>
      <dgm:t>
        <a:bodyPr/>
        <a:lstStyle/>
        <a:p>
          <a:r>
            <a:rPr lang="es-CO" sz="11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400" b="1">
            <a:solidFill>
              <a:sysClr val="windowText" lastClr="000000"/>
            </a:solidFill>
          </a:endParaRPr>
        </a:p>
      </dgm:t>
    </dgm:pt>
    <dgm:pt modelId="{B05061CD-4813-49A1-8E43-8E5609730B93}" type="sibTrans" cxnId="{24E1BBD7-9A17-4C90-8BF4-6084FBAEE002}">
      <dgm:prSet/>
      <dgm:spPr/>
      <dgm:t>
        <a:bodyPr/>
        <a:lstStyle/>
        <a:p>
          <a:endParaRPr lang="es-CO" sz="1400" b="1">
            <a:solidFill>
              <a:sysClr val="windowText" lastClr="000000"/>
            </a:solidFill>
          </a:endParaRPr>
        </a:p>
      </dgm:t>
    </dgm:pt>
    <dgm:pt modelId="{478F0EF4-37C9-4C42-A564-2E10E5592036}">
      <dgm:prSet phldrT="[Texto]" custT="1"/>
      <dgm:spPr/>
      <dgm:t>
        <a:bodyPr/>
        <a:lstStyle/>
        <a:p>
          <a:r>
            <a:rPr lang="es-CO" sz="11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400" b="1">
            <a:solidFill>
              <a:sysClr val="windowText" lastClr="000000"/>
            </a:solidFill>
          </a:endParaRPr>
        </a:p>
      </dgm:t>
    </dgm:pt>
    <dgm:pt modelId="{A7C656FF-04CE-44CF-855E-B8D551D5B68F}" type="sibTrans" cxnId="{B5337568-0E59-4F5C-8E7A-5FB2E4CB3ED9}">
      <dgm:prSet/>
      <dgm:spPr/>
      <dgm:t>
        <a:bodyPr/>
        <a:lstStyle/>
        <a:p>
          <a:endParaRPr lang="es-CO" sz="1400" b="1">
            <a:solidFill>
              <a:sysClr val="windowText" lastClr="000000"/>
            </a:solidFill>
          </a:endParaRPr>
        </a:p>
      </dgm:t>
    </dgm:pt>
    <dgm:pt modelId="{5D8257CB-A29E-42F4-A4DE-34486DCBDCC3}">
      <dgm:prSet phldrT="[Texto]" custT="1"/>
      <dgm:spPr/>
      <dgm:t>
        <a:bodyPr/>
        <a:lstStyle/>
        <a:p>
          <a:r>
            <a:rPr lang="es-CO" sz="1100" b="1"/>
            <a:t>329901</a:t>
          </a:r>
          <a:endParaRPr lang="es-CO" sz="105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2400" b="1"/>
        </a:p>
      </dgm:t>
    </dgm:pt>
    <dgm:pt modelId="{E0257DB5-2F25-45B5-8091-CC0A81F4D64D}" type="sibTrans" cxnId="{C2FB71B7-C3A6-4195-9097-03998FB04095}">
      <dgm:prSet/>
      <dgm:spPr/>
      <dgm:t>
        <a:bodyPr/>
        <a:lstStyle/>
        <a:p>
          <a:endParaRPr lang="es-CO" sz="2400" b="1"/>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42.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5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105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105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105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77ED72F7-5867-45FB-A572-1D61D2FFCF1B}">
      <dgm:prSet custT="1"/>
      <dgm:spPr/>
      <dgm:t>
        <a:bodyPr/>
        <a:lstStyle/>
        <a:p>
          <a:r>
            <a:rPr lang="es-CO" sz="105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1050" b="1">
            <a:solidFill>
              <a:sysClr val="windowText" lastClr="000000"/>
            </a:solidFill>
          </a:endParaRPr>
        </a:p>
      </dgm:t>
    </dgm:pt>
    <dgm:pt modelId="{50F7F6CE-8FB0-41DF-9D1D-BB1D2F7164B4}" type="parTrans" cxnId="{4DCF760A-4234-411C-9DDD-DEBB4735165A}">
      <dgm:prSet/>
      <dgm:spPr/>
      <dgm:t>
        <a:bodyPr/>
        <a:lstStyle/>
        <a:p>
          <a:endParaRPr lang="es-CO" sz="105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43.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50"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1050"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1050"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1050"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77ED72F7-5867-45FB-A572-1D61D2FFCF1B}">
      <dgm:prSet custT="1"/>
      <dgm:spPr/>
      <dgm:t>
        <a:bodyPr/>
        <a:lstStyle/>
        <a:p>
          <a:r>
            <a:rPr lang="es-CO" sz="1050"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sz="1050" b="1">
            <a:solidFill>
              <a:sysClr val="windowText" lastClr="000000"/>
            </a:solidFill>
          </a:endParaRPr>
        </a:p>
      </dgm:t>
    </dgm:pt>
    <dgm:pt modelId="{BDFDFD82-58C9-462F-8C87-480329CCF865}" type="sibTrans" cxnId="{4DCF760A-4234-411C-9DDD-DEBB4735165A}">
      <dgm:prSet/>
      <dgm:spPr/>
      <dgm:t>
        <a:bodyPr/>
        <a:lstStyle/>
        <a:p>
          <a:endParaRPr lang="es-CO" sz="105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44.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1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400" b="1">
            <a:solidFill>
              <a:sysClr val="windowText" lastClr="000000"/>
            </a:solidFill>
          </a:endParaRPr>
        </a:p>
      </dgm:t>
    </dgm:pt>
    <dgm:pt modelId="{67CE5C2F-1268-470B-A306-E88D174507DF}" type="sibTrans" cxnId="{A4751C46-4FF9-4972-9DCA-10D1A2973D7C}">
      <dgm:prSet/>
      <dgm:spPr/>
      <dgm:t>
        <a:bodyPr/>
        <a:lstStyle/>
        <a:p>
          <a:endParaRPr lang="es-CO" sz="1400" b="1">
            <a:solidFill>
              <a:sysClr val="windowText" lastClr="000000"/>
            </a:solidFill>
          </a:endParaRPr>
        </a:p>
      </dgm:t>
    </dgm:pt>
    <dgm:pt modelId="{CCEC1903-EEB9-4A17-A008-4EF3FC2A9B16}">
      <dgm:prSet phldrT="[Texto]" custT="1"/>
      <dgm:spPr/>
      <dgm:t>
        <a:bodyPr/>
        <a:lstStyle/>
        <a:p>
          <a:r>
            <a:rPr lang="es-CO" sz="11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400" b="1">
            <a:solidFill>
              <a:sysClr val="windowText" lastClr="000000"/>
            </a:solidFill>
          </a:endParaRPr>
        </a:p>
      </dgm:t>
    </dgm:pt>
    <dgm:pt modelId="{50152946-9D07-4EE0-918E-E73E4E413630}" type="sibTrans" cxnId="{B26B0531-FAEC-487E-B7B1-FA3587A32D32}">
      <dgm:prSet/>
      <dgm:spPr/>
      <dgm:t>
        <a:bodyPr/>
        <a:lstStyle/>
        <a:p>
          <a:endParaRPr lang="es-CO" sz="1400" b="1">
            <a:solidFill>
              <a:sysClr val="windowText" lastClr="000000"/>
            </a:solidFill>
          </a:endParaRPr>
        </a:p>
      </dgm:t>
    </dgm:pt>
    <dgm:pt modelId="{C23BF35F-11CE-41B0-948D-9F6F6996B47A}">
      <dgm:prSet phldrT="[Texto]" custT="1"/>
      <dgm:spPr/>
      <dgm:t>
        <a:bodyPr/>
        <a:lstStyle/>
        <a:p>
          <a:r>
            <a:rPr lang="es-CO" sz="11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400" b="1">
            <a:solidFill>
              <a:sysClr val="windowText" lastClr="000000"/>
            </a:solidFill>
          </a:endParaRPr>
        </a:p>
      </dgm:t>
    </dgm:pt>
    <dgm:pt modelId="{B05061CD-4813-49A1-8E43-8E5609730B93}" type="sibTrans" cxnId="{24E1BBD7-9A17-4C90-8BF4-6084FBAEE002}">
      <dgm:prSet/>
      <dgm:spPr/>
      <dgm:t>
        <a:bodyPr/>
        <a:lstStyle/>
        <a:p>
          <a:endParaRPr lang="es-CO" sz="1400" b="1">
            <a:solidFill>
              <a:sysClr val="windowText" lastClr="000000"/>
            </a:solidFill>
          </a:endParaRPr>
        </a:p>
      </dgm:t>
    </dgm:pt>
    <dgm:pt modelId="{478F0EF4-37C9-4C42-A564-2E10E5592036}">
      <dgm:prSet phldrT="[Texto]" custT="1"/>
      <dgm:spPr/>
      <dgm:t>
        <a:bodyPr/>
        <a:lstStyle/>
        <a:p>
          <a:r>
            <a:rPr lang="es-CO" sz="11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400" b="1">
            <a:solidFill>
              <a:sysClr val="windowText" lastClr="000000"/>
            </a:solidFill>
          </a:endParaRPr>
        </a:p>
      </dgm:t>
    </dgm:pt>
    <dgm:pt modelId="{A7C656FF-04CE-44CF-855E-B8D551D5B68F}" type="sibTrans" cxnId="{B5337568-0E59-4F5C-8E7A-5FB2E4CB3ED9}">
      <dgm:prSet/>
      <dgm:spPr/>
      <dgm:t>
        <a:bodyPr/>
        <a:lstStyle/>
        <a:p>
          <a:endParaRPr lang="es-CO" sz="1400" b="1">
            <a:solidFill>
              <a:sysClr val="windowText" lastClr="000000"/>
            </a:solidFill>
          </a:endParaRPr>
        </a:p>
      </dgm:t>
    </dgm:pt>
    <dgm:pt modelId="{5D8257CB-A29E-42F4-A4DE-34486DCBDCC3}">
      <dgm:prSet phldrT="[Texto]" custT="1"/>
      <dgm:spPr/>
      <dgm:t>
        <a:bodyPr/>
        <a:lstStyle/>
        <a:p>
          <a:r>
            <a:rPr lang="es-CO" sz="1100" b="1"/>
            <a:t>329901</a:t>
          </a:r>
          <a:endParaRPr lang="es-CO" sz="105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2400" b="1"/>
        </a:p>
      </dgm:t>
    </dgm:pt>
    <dgm:pt modelId="{E0257DB5-2F25-45B5-8091-CC0A81F4D64D}" type="sibTrans" cxnId="{C2FB71B7-C3A6-4195-9097-03998FB04095}">
      <dgm:prSet/>
      <dgm:spPr/>
      <dgm:t>
        <a:bodyPr/>
        <a:lstStyle/>
        <a:p>
          <a:endParaRPr lang="es-CO" sz="2400" b="1"/>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45.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5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105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105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105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77ED72F7-5867-45FB-A572-1D61D2FFCF1B}">
      <dgm:prSet custT="1"/>
      <dgm:spPr/>
      <dgm:t>
        <a:bodyPr/>
        <a:lstStyle/>
        <a:p>
          <a:r>
            <a:rPr lang="es-CO" sz="105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1050" b="1">
            <a:solidFill>
              <a:sysClr val="windowText" lastClr="000000"/>
            </a:solidFill>
          </a:endParaRPr>
        </a:p>
      </dgm:t>
    </dgm:pt>
    <dgm:pt modelId="{50F7F6CE-8FB0-41DF-9D1D-BB1D2F7164B4}" type="parTrans" cxnId="{4DCF760A-4234-411C-9DDD-DEBB4735165A}">
      <dgm:prSet/>
      <dgm:spPr/>
      <dgm:t>
        <a:bodyPr/>
        <a:lstStyle/>
        <a:p>
          <a:endParaRPr lang="es-CO" sz="105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46.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50"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1050"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1050"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1050"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77ED72F7-5867-45FB-A572-1D61D2FFCF1B}">
      <dgm:prSet custT="1"/>
      <dgm:spPr/>
      <dgm:t>
        <a:bodyPr/>
        <a:lstStyle/>
        <a:p>
          <a:r>
            <a:rPr lang="es-CO" sz="1050"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sz="1050" b="1">
            <a:solidFill>
              <a:sysClr val="windowText" lastClr="000000"/>
            </a:solidFill>
          </a:endParaRPr>
        </a:p>
      </dgm:t>
    </dgm:pt>
    <dgm:pt modelId="{BDFDFD82-58C9-462F-8C87-480329CCF865}" type="sibTrans" cxnId="{4DCF760A-4234-411C-9DDD-DEBB4735165A}">
      <dgm:prSet/>
      <dgm:spPr/>
      <dgm:t>
        <a:bodyPr/>
        <a:lstStyle/>
        <a:p>
          <a:endParaRPr lang="es-CO" sz="105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47.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1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400" b="1">
            <a:solidFill>
              <a:sysClr val="windowText" lastClr="000000"/>
            </a:solidFill>
          </a:endParaRPr>
        </a:p>
      </dgm:t>
    </dgm:pt>
    <dgm:pt modelId="{67CE5C2F-1268-470B-A306-E88D174507DF}" type="sibTrans" cxnId="{A4751C46-4FF9-4972-9DCA-10D1A2973D7C}">
      <dgm:prSet/>
      <dgm:spPr/>
      <dgm:t>
        <a:bodyPr/>
        <a:lstStyle/>
        <a:p>
          <a:endParaRPr lang="es-CO" sz="1400" b="1">
            <a:solidFill>
              <a:sysClr val="windowText" lastClr="000000"/>
            </a:solidFill>
          </a:endParaRPr>
        </a:p>
      </dgm:t>
    </dgm:pt>
    <dgm:pt modelId="{CCEC1903-EEB9-4A17-A008-4EF3FC2A9B16}">
      <dgm:prSet phldrT="[Texto]" custT="1"/>
      <dgm:spPr/>
      <dgm:t>
        <a:bodyPr/>
        <a:lstStyle/>
        <a:p>
          <a:r>
            <a:rPr lang="es-CO" sz="11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400" b="1">
            <a:solidFill>
              <a:sysClr val="windowText" lastClr="000000"/>
            </a:solidFill>
          </a:endParaRPr>
        </a:p>
      </dgm:t>
    </dgm:pt>
    <dgm:pt modelId="{50152946-9D07-4EE0-918E-E73E4E413630}" type="sibTrans" cxnId="{B26B0531-FAEC-487E-B7B1-FA3587A32D32}">
      <dgm:prSet/>
      <dgm:spPr/>
      <dgm:t>
        <a:bodyPr/>
        <a:lstStyle/>
        <a:p>
          <a:endParaRPr lang="es-CO" sz="1400" b="1">
            <a:solidFill>
              <a:sysClr val="windowText" lastClr="000000"/>
            </a:solidFill>
          </a:endParaRPr>
        </a:p>
      </dgm:t>
    </dgm:pt>
    <dgm:pt modelId="{C23BF35F-11CE-41B0-948D-9F6F6996B47A}">
      <dgm:prSet phldrT="[Texto]" custT="1"/>
      <dgm:spPr/>
      <dgm:t>
        <a:bodyPr/>
        <a:lstStyle/>
        <a:p>
          <a:r>
            <a:rPr lang="es-CO" sz="11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400" b="1">
            <a:solidFill>
              <a:sysClr val="windowText" lastClr="000000"/>
            </a:solidFill>
          </a:endParaRPr>
        </a:p>
      </dgm:t>
    </dgm:pt>
    <dgm:pt modelId="{B05061CD-4813-49A1-8E43-8E5609730B93}" type="sibTrans" cxnId="{24E1BBD7-9A17-4C90-8BF4-6084FBAEE002}">
      <dgm:prSet/>
      <dgm:spPr/>
      <dgm:t>
        <a:bodyPr/>
        <a:lstStyle/>
        <a:p>
          <a:endParaRPr lang="es-CO" sz="1400" b="1">
            <a:solidFill>
              <a:sysClr val="windowText" lastClr="000000"/>
            </a:solidFill>
          </a:endParaRPr>
        </a:p>
      </dgm:t>
    </dgm:pt>
    <dgm:pt modelId="{478F0EF4-37C9-4C42-A564-2E10E5592036}">
      <dgm:prSet phldrT="[Texto]" custT="1"/>
      <dgm:spPr/>
      <dgm:t>
        <a:bodyPr/>
        <a:lstStyle/>
        <a:p>
          <a:r>
            <a:rPr lang="es-CO" sz="11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400" b="1">
            <a:solidFill>
              <a:sysClr val="windowText" lastClr="000000"/>
            </a:solidFill>
          </a:endParaRPr>
        </a:p>
      </dgm:t>
    </dgm:pt>
    <dgm:pt modelId="{A7C656FF-04CE-44CF-855E-B8D551D5B68F}" type="sibTrans" cxnId="{B5337568-0E59-4F5C-8E7A-5FB2E4CB3ED9}">
      <dgm:prSet/>
      <dgm:spPr/>
      <dgm:t>
        <a:bodyPr/>
        <a:lstStyle/>
        <a:p>
          <a:endParaRPr lang="es-CO" sz="1400" b="1">
            <a:solidFill>
              <a:sysClr val="windowText" lastClr="000000"/>
            </a:solidFill>
          </a:endParaRPr>
        </a:p>
      </dgm:t>
    </dgm:pt>
    <dgm:pt modelId="{5D8257CB-A29E-42F4-A4DE-34486DCBDCC3}">
      <dgm:prSet phldrT="[Texto]" custT="1"/>
      <dgm:spPr/>
      <dgm:t>
        <a:bodyPr/>
        <a:lstStyle/>
        <a:p>
          <a:r>
            <a:rPr lang="es-CO" sz="1100" b="1"/>
            <a:t>329901</a:t>
          </a:r>
          <a:endParaRPr lang="es-CO" sz="105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2400" b="1"/>
        </a:p>
      </dgm:t>
    </dgm:pt>
    <dgm:pt modelId="{E0257DB5-2F25-45B5-8091-CC0A81F4D64D}" type="sibTrans" cxnId="{C2FB71B7-C3A6-4195-9097-03998FB04095}">
      <dgm:prSet/>
      <dgm:spPr/>
      <dgm:t>
        <a:bodyPr/>
        <a:lstStyle/>
        <a:p>
          <a:endParaRPr lang="es-CO" sz="2400" b="1"/>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48.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5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105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105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105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77ED72F7-5867-45FB-A572-1D61D2FFCF1B}">
      <dgm:prSet custT="1"/>
      <dgm:spPr/>
      <dgm:t>
        <a:bodyPr/>
        <a:lstStyle/>
        <a:p>
          <a:r>
            <a:rPr lang="es-CO" sz="105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1050" b="1">
            <a:solidFill>
              <a:sysClr val="windowText" lastClr="000000"/>
            </a:solidFill>
          </a:endParaRPr>
        </a:p>
      </dgm:t>
    </dgm:pt>
    <dgm:pt modelId="{50F7F6CE-8FB0-41DF-9D1D-BB1D2F7164B4}" type="parTrans" cxnId="{4DCF760A-4234-411C-9DDD-DEBB4735165A}">
      <dgm:prSet/>
      <dgm:spPr/>
      <dgm:t>
        <a:bodyPr/>
        <a:lstStyle/>
        <a:p>
          <a:endParaRPr lang="es-CO" sz="105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49.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00"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00" b="1">
            <a:solidFill>
              <a:sysClr val="windowText" lastClr="000000"/>
            </a:solidFill>
          </a:endParaRPr>
        </a:p>
      </dgm:t>
    </dgm:pt>
    <dgm:pt modelId="{67CE5C2F-1268-470B-A306-E88D174507DF}" type="sibTrans" cxnId="{A4751C46-4FF9-4972-9DCA-10D1A2973D7C}">
      <dgm:prSet/>
      <dgm:spPr/>
      <dgm:t>
        <a:bodyPr/>
        <a:lstStyle/>
        <a:p>
          <a:endParaRPr lang="es-CO" sz="1000" b="1">
            <a:solidFill>
              <a:sysClr val="windowText" lastClr="000000"/>
            </a:solidFill>
          </a:endParaRPr>
        </a:p>
      </dgm:t>
    </dgm:pt>
    <dgm:pt modelId="{CCEC1903-EEB9-4A17-A008-4EF3FC2A9B16}">
      <dgm:prSet phldrT="[Texto]" custT="1"/>
      <dgm:spPr/>
      <dgm:t>
        <a:bodyPr/>
        <a:lstStyle/>
        <a:p>
          <a:r>
            <a:rPr lang="es-CO" sz="1000"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00" b="1">
            <a:solidFill>
              <a:sysClr val="windowText" lastClr="000000"/>
            </a:solidFill>
          </a:endParaRPr>
        </a:p>
      </dgm:t>
    </dgm:pt>
    <dgm:pt modelId="{50152946-9D07-4EE0-918E-E73E4E413630}" type="sibTrans" cxnId="{B26B0531-FAEC-487E-B7B1-FA3587A32D32}">
      <dgm:prSet/>
      <dgm:spPr/>
      <dgm:t>
        <a:bodyPr/>
        <a:lstStyle/>
        <a:p>
          <a:endParaRPr lang="es-CO" sz="1000" b="1">
            <a:solidFill>
              <a:sysClr val="windowText" lastClr="000000"/>
            </a:solidFill>
          </a:endParaRPr>
        </a:p>
      </dgm:t>
    </dgm:pt>
    <dgm:pt modelId="{C23BF35F-11CE-41B0-948D-9F6F6996B47A}">
      <dgm:prSet phldrT="[Texto]" custT="1"/>
      <dgm:spPr/>
      <dgm:t>
        <a:bodyPr/>
        <a:lstStyle/>
        <a:p>
          <a:r>
            <a:rPr lang="es-CO" sz="1000"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00" b="1">
            <a:solidFill>
              <a:sysClr val="windowText" lastClr="000000"/>
            </a:solidFill>
          </a:endParaRPr>
        </a:p>
      </dgm:t>
    </dgm:pt>
    <dgm:pt modelId="{B05061CD-4813-49A1-8E43-8E5609730B93}" type="sibTrans" cxnId="{24E1BBD7-9A17-4C90-8BF4-6084FBAEE002}">
      <dgm:prSet/>
      <dgm:spPr/>
      <dgm:t>
        <a:bodyPr/>
        <a:lstStyle/>
        <a:p>
          <a:endParaRPr lang="es-CO" sz="1000" b="1">
            <a:solidFill>
              <a:sysClr val="windowText" lastClr="000000"/>
            </a:solidFill>
          </a:endParaRPr>
        </a:p>
      </dgm:t>
    </dgm:pt>
    <dgm:pt modelId="{478F0EF4-37C9-4C42-A564-2E10E5592036}">
      <dgm:prSet phldrT="[Texto]" custT="1"/>
      <dgm:spPr/>
      <dgm:t>
        <a:bodyPr/>
        <a:lstStyle/>
        <a:p>
          <a:r>
            <a:rPr lang="es-CO" sz="1000"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00" b="1">
            <a:solidFill>
              <a:sysClr val="windowText" lastClr="000000"/>
            </a:solidFill>
          </a:endParaRPr>
        </a:p>
      </dgm:t>
    </dgm:pt>
    <dgm:pt modelId="{A7C656FF-04CE-44CF-855E-B8D551D5B68F}" type="sibTrans" cxnId="{B5337568-0E59-4F5C-8E7A-5FB2E4CB3ED9}">
      <dgm:prSet/>
      <dgm:spPr/>
      <dgm:t>
        <a:bodyPr/>
        <a:lstStyle/>
        <a:p>
          <a:endParaRPr lang="es-CO" sz="1000" b="1">
            <a:solidFill>
              <a:sysClr val="windowText" lastClr="000000"/>
            </a:solidFill>
          </a:endParaRPr>
        </a:p>
      </dgm:t>
    </dgm:pt>
    <dgm:pt modelId="{77ED72F7-5867-45FB-A572-1D61D2FFCF1B}">
      <dgm:prSet custT="1"/>
      <dgm:spPr/>
      <dgm:t>
        <a:bodyPr/>
        <a:lstStyle/>
        <a:p>
          <a:r>
            <a:rPr lang="es-CO" sz="1000"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sz="1000" b="1">
            <a:solidFill>
              <a:sysClr val="windowText" lastClr="000000"/>
            </a:solidFill>
          </a:endParaRPr>
        </a:p>
      </dgm:t>
    </dgm:pt>
    <dgm:pt modelId="{BDFDFD82-58C9-462F-8C87-480329CCF865}" type="sibTrans" cxnId="{4DCF760A-4234-411C-9DDD-DEBB4735165A}">
      <dgm:prSet/>
      <dgm:spPr/>
      <dgm:t>
        <a:bodyPr/>
        <a:lstStyle/>
        <a:p>
          <a:endParaRPr lang="es-CO" sz="1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5D8257CB-A29E-42F4-A4DE-34486DCBDCC3}">
      <dgm:prSet phldrT="[Texto]" custT="1"/>
      <dgm:spPr/>
      <dgm:t>
        <a:bodyPr/>
        <a:lstStyle/>
        <a:p>
          <a:r>
            <a:rPr lang="es-CO" sz="900" b="1"/>
            <a:t>329901</a:t>
          </a:r>
          <a:endParaRPr lang="es-CO" sz="80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600"/>
        </a:p>
      </dgm:t>
    </dgm:pt>
    <dgm:pt modelId="{E0257DB5-2F25-45B5-8091-CC0A81F4D64D}" type="sibTrans" cxnId="{C2FB71B7-C3A6-4195-9097-03998FB04095}">
      <dgm:prSet/>
      <dgm:spPr/>
      <dgm:t>
        <a:bodyPr/>
        <a:lstStyle/>
        <a:p>
          <a:endParaRPr lang="es-CO" sz="1600"/>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50.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100" b="1">
            <a:solidFill>
              <a:sysClr val="windowText" lastClr="000000"/>
            </a:solidFill>
          </a:endParaRPr>
        </a:p>
      </dgm:t>
    </dgm:pt>
    <dgm:pt modelId="{67CE5C2F-1268-470B-A306-E88D174507DF}" type="sibTrans" cxnId="{A4751C46-4FF9-4972-9DCA-10D1A2973D7C}">
      <dgm:prSet/>
      <dgm:spPr/>
      <dgm:t>
        <a:bodyPr/>
        <a:lstStyle/>
        <a:p>
          <a:endParaRPr lang="es-CO" sz="1100" b="1">
            <a:solidFill>
              <a:sysClr val="windowText" lastClr="000000"/>
            </a:solidFill>
          </a:endParaRPr>
        </a:p>
      </dgm:t>
    </dgm:pt>
    <dgm:pt modelId="{CCEC1903-EEB9-4A17-A008-4EF3FC2A9B16}">
      <dgm:prSet phldrT="[Texto]" custT="1"/>
      <dgm:spPr/>
      <dgm:t>
        <a:bodyPr/>
        <a:lstStyle/>
        <a:p>
          <a:r>
            <a:rPr lang="es-CO" sz="10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100" b="1">
            <a:solidFill>
              <a:sysClr val="windowText" lastClr="000000"/>
            </a:solidFill>
          </a:endParaRPr>
        </a:p>
      </dgm:t>
    </dgm:pt>
    <dgm:pt modelId="{50152946-9D07-4EE0-918E-E73E4E413630}" type="sibTrans" cxnId="{B26B0531-FAEC-487E-B7B1-FA3587A32D32}">
      <dgm:prSet/>
      <dgm:spPr/>
      <dgm:t>
        <a:bodyPr/>
        <a:lstStyle/>
        <a:p>
          <a:endParaRPr lang="es-CO" sz="1100" b="1">
            <a:solidFill>
              <a:sysClr val="windowText" lastClr="000000"/>
            </a:solidFill>
          </a:endParaRPr>
        </a:p>
      </dgm:t>
    </dgm:pt>
    <dgm:pt modelId="{C23BF35F-11CE-41B0-948D-9F6F6996B47A}">
      <dgm:prSet phldrT="[Texto]" custT="1"/>
      <dgm:spPr/>
      <dgm:t>
        <a:bodyPr/>
        <a:lstStyle/>
        <a:p>
          <a:r>
            <a:rPr lang="es-CO" sz="10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100" b="1">
            <a:solidFill>
              <a:sysClr val="windowText" lastClr="000000"/>
            </a:solidFill>
          </a:endParaRPr>
        </a:p>
      </dgm:t>
    </dgm:pt>
    <dgm:pt modelId="{B05061CD-4813-49A1-8E43-8E5609730B93}" type="sibTrans" cxnId="{24E1BBD7-9A17-4C90-8BF4-6084FBAEE002}">
      <dgm:prSet/>
      <dgm:spPr/>
      <dgm:t>
        <a:bodyPr/>
        <a:lstStyle/>
        <a:p>
          <a:endParaRPr lang="es-CO" sz="1100" b="1">
            <a:solidFill>
              <a:sysClr val="windowText" lastClr="000000"/>
            </a:solidFill>
          </a:endParaRPr>
        </a:p>
      </dgm:t>
    </dgm:pt>
    <dgm:pt modelId="{478F0EF4-37C9-4C42-A564-2E10E5592036}">
      <dgm:prSet phldrT="[Texto]" custT="1"/>
      <dgm:spPr/>
      <dgm:t>
        <a:bodyPr/>
        <a:lstStyle/>
        <a:p>
          <a:r>
            <a:rPr lang="es-CO" sz="10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100" b="1">
            <a:solidFill>
              <a:sysClr val="windowText" lastClr="000000"/>
            </a:solidFill>
          </a:endParaRPr>
        </a:p>
      </dgm:t>
    </dgm:pt>
    <dgm:pt modelId="{A7C656FF-04CE-44CF-855E-B8D551D5B68F}" type="sibTrans" cxnId="{B5337568-0E59-4F5C-8E7A-5FB2E4CB3ED9}">
      <dgm:prSet/>
      <dgm:spPr/>
      <dgm:t>
        <a:bodyPr/>
        <a:lstStyle/>
        <a:p>
          <a:endParaRPr lang="es-CO" sz="1100" b="1">
            <a:solidFill>
              <a:sysClr val="windowText" lastClr="000000"/>
            </a:solidFill>
          </a:endParaRPr>
        </a:p>
      </dgm:t>
    </dgm:pt>
    <dgm:pt modelId="{5D8257CB-A29E-42F4-A4DE-34486DCBDCC3}">
      <dgm:prSet phldrT="[Texto]" custT="1"/>
      <dgm:spPr/>
      <dgm:t>
        <a:bodyPr/>
        <a:lstStyle/>
        <a:p>
          <a:r>
            <a:rPr lang="es-CO" sz="1000" b="1"/>
            <a:t>329901</a:t>
          </a:r>
          <a:endParaRPr lang="es-CO" sz="900" b="1"/>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800" b="1"/>
        </a:p>
      </dgm:t>
    </dgm:pt>
    <dgm:pt modelId="{E0257DB5-2F25-45B5-8091-CC0A81F4D64D}" type="sibTrans" cxnId="{C2FB71B7-C3A6-4195-9097-03998FB04095}">
      <dgm:prSet/>
      <dgm:spPr/>
      <dgm:t>
        <a:bodyPr/>
        <a:lstStyle/>
        <a:p>
          <a:endParaRPr lang="es-CO" sz="1800" b="1"/>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51.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10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00" b="1">
            <a:solidFill>
              <a:sysClr val="windowText" lastClr="000000"/>
            </a:solidFill>
          </a:endParaRPr>
        </a:p>
      </dgm:t>
    </dgm:pt>
    <dgm:pt modelId="{67CE5C2F-1268-470B-A306-E88D174507DF}" type="sibTrans" cxnId="{A4751C46-4FF9-4972-9DCA-10D1A2973D7C}">
      <dgm:prSet/>
      <dgm:spPr/>
      <dgm:t>
        <a:bodyPr/>
        <a:lstStyle/>
        <a:p>
          <a:endParaRPr lang="es-CO" sz="1000" b="1">
            <a:solidFill>
              <a:sysClr val="windowText" lastClr="000000"/>
            </a:solidFill>
          </a:endParaRPr>
        </a:p>
      </dgm:t>
    </dgm:pt>
    <dgm:pt modelId="{CCEC1903-EEB9-4A17-A008-4EF3FC2A9B16}">
      <dgm:prSet phldrT="[Texto]" custT="1"/>
      <dgm:spPr/>
      <dgm:t>
        <a:bodyPr/>
        <a:lstStyle/>
        <a:p>
          <a:r>
            <a:rPr lang="es-CO" sz="10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00" b="1">
            <a:solidFill>
              <a:sysClr val="windowText" lastClr="000000"/>
            </a:solidFill>
          </a:endParaRPr>
        </a:p>
      </dgm:t>
    </dgm:pt>
    <dgm:pt modelId="{50152946-9D07-4EE0-918E-E73E4E413630}" type="sibTrans" cxnId="{B26B0531-FAEC-487E-B7B1-FA3587A32D32}">
      <dgm:prSet/>
      <dgm:spPr/>
      <dgm:t>
        <a:bodyPr/>
        <a:lstStyle/>
        <a:p>
          <a:endParaRPr lang="es-CO" sz="1000" b="1">
            <a:solidFill>
              <a:sysClr val="windowText" lastClr="000000"/>
            </a:solidFill>
          </a:endParaRPr>
        </a:p>
      </dgm:t>
    </dgm:pt>
    <dgm:pt modelId="{C23BF35F-11CE-41B0-948D-9F6F6996B47A}">
      <dgm:prSet phldrT="[Texto]" custT="1"/>
      <dgm:spPr/>
      <dgm:t>
        <a:bodyPr/>
        <a:lstStyle/>
        <a:p>
          <a:r>
            <a:rPr lang="es-CO" sz="10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00" b="1">
            <a:solidFill>
              <a:sysClr val="windowText" lastClr="000000"/>
            </a:solidFill>
          </a:endParaRPr>
        </a:p>
      </dgm:t>
    </dgm:pt>
    <dgm:pt modelId="{B05061CD-4813-49A1-8E43-8E5609730B93}" type="sibTrans" cxnId="{24E1BBD7-9A17-4C90-8BF4-6084FBAEE002}">
      <dgm:prSet/>
      <dgm:spPr/>
      <dgm:t>
        <a:bodyPr/>
        <a:lstStyle/>
        <a:p>
          <a:endParaRPr lang="es-CO" sz="1000" b="1">
            <a:solidFill>
              <a:sysClr val="windowText" lastClr="000000"/>
            </a:solidFill>
          </a:endParaRPr>
        </a:p>
      </dgm:t>
    </dgm:pt>
    <dgm:pt modelId="{478F0EF4-37C9-4C42-A564-2E10E5592036}">
      <dgm:prSet phldrT="[Texto]" custT="1"/>
      <dgm:spPr/>
      <dgm:t>
        <a:bodyPr/>
        <a:lstStyle/>
        <a:p>
          <a:r>
            <a:rPr lang="es-CO" sz="10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00" b="1">
            <a:solidFill>
              <a:sysClr val="windowText" lastClr="000000"/>
            </a:solidFill>
          </a:endParaRPr>
        </a:p>
      </dgm:t>
    </dgm:pt>
    <dgm:pt modelId="{A7C656FF-04CE-44CF-855E-B8D551D5B68F}" type="sibTrans" cxnId="{B5337568-0E59-4F5C-8E7A-5FB2E4CB3ED9}">
      <dgm:prSet/>
      <dgm:spPr/>
      <dgm:t>
        <a:bodyPr/>
        <a:lstStyle/>
        <a:p>
          <a:endParaRPr lang="es-CO" sz="1000" b="1">
            <a:solidFill>
              <a:sysClr val="windowText" lastClr="000000"/>
            </a:solidFill>
          </a:endParaRPr>
        </a:p>
      </dgm:t>
    </dgm:pt>
    <dgm:pt modelId="{77ED72F7-5867-45FB-A572-1D61D2FFCF1B}">
      <dgm:prSet custT="1"/>
      <dgm:spPr/>
      <dgm:t>
        <a:bodyPr/>
        <a:lstStyle/>
        <a:p>
          <a:r>
            <a:rPr lang="es-CO" sz="10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1000" b="1">
            <a:solidFill>
              <a:sysClr val="windowText" lastClr="000000"/>
            </a:solidFill>
          </a:endParaRPr>
        </a:p>
      </dgm:t>
    </dgm:pt>
    <dgm:pt modelId="{50F7F6CE-8FB0-41DF-9D1D-BB1D2F7164B4}" type="parTrans" cxnId="{4DCF760A-4234-411C-9DDD-DEBB4735165A}">
      <dgm:prSet/>
      <dgm:spPr/>
      <dgm:t>
        <a:bodyPr/>
        <a:lstStyle/>
        <a:p>
          <a:endParaRPr lang="es-CO" sz="1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2000" b="1">
            <a:solidFill>
              <a:sysClr val="windowText" lastClr="000000"/>
            </a:solidFill>
          </a:endParaRPr>
        </a:p>
      </dgm:t>
    </dgm:pt>
    <dgm:pt modelId="{67CE5C2F-1268-470B-A306-E88D174507DF}" type="sibTrans" cxnId="{A4751C46-4FF9-4972-9DCA-10D1A2973D7C}">
      <dgm:prSet/>
      <dgm:spPr/>
      <dgm:t>
        <a:bodyPr/>
        <a:lstStyle/>
        <a:p>
          <a:endParaRPr lang="es-CO" sz="2000" b="1">
            <a:solidFill>
              <a:sysClr val="windowText" lastClr="000000"/>
            </a:solidFill>
          </a:endParaRPr>
        </a:p>
      </dgm:t>
    </dgm:pt>
    <dgm:pt modelId="{CCEC1903-EEB9-4A17-A008-4EF3FC2A9B16}">
      <dgm:prSet phldrT="[Texto]" custT="1"/>
      <dgm:spPr/>
      <dgm:t>
        <a:bodyPr/>
        <a:lstStyle/>
        <a:p>
          <a:r>
            <a:rPr lang="es-CO" sz="9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2000" b="1">
            <a:solidFill>
              <a:sysClr val="windowText" lastClr="000000"/>
            </a:solidFill>
          </a:endParaRPr>
        </a:p>
      </dgm:t>
    </dgm:pt>
    <dgm:pt modelId="{50152946-9D07-4EE0-918E-E73E4E413630}" type="sibTrans" cxnId="{B26B0531-FAEC-487E-B7B1-FA3587A32D32}">
      <dgm:prSet/>
      <dgm:spPr/>
      <dgm:t>
        <a:bodyPr/>
        <a:lstStyle/>
        <a:p>
          <a:endParaRPr lang="es-CO" sz="2000" b="1">
            <a:solidFill>
              <a:sysClr val="windowText" lastClr="000000"/>
            </a:solidFill>
          </a:endParaRPr>
        </a:p>
      </dgm:t>
    </dgm:pt>
    <dgm:pt modelId="{C23BF35F-11CE-41B0-948D-9F6F6996B47A}">
      <dgm:prSet phldrT="[Texto]" custT="1"/>
      <dgm:spPr/>
      <dgm:t>
        <a:bodyPr/>
        <a:lstStyle/>
        <a:p>
          <a:r>
            <a:rPr lang="es-CO" sz="9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2000" b="1">
            <a:solidFill>
              <a:sysClr val="windowText" lastClr="000000"/>
            </a:solidFill>
          </a:endParaRPr>
        </a:p>
      </dgm:t>
    </dgm:pt>
    <dgm:pt modelId="{B05061CD-4813-49A1-8E43-8E5609730B93}" type="sibTrans" cxnId="{24E1BBD7-9A17-4C90-8BF4-6084FBAEE002}">
      <dgm:prSet/>
      <dgm:spPr/>
      <dgm:t>
        <a:bodyPr/>
        <a:lstStyle/>
        <a:p>
          <a:endParaRPr lang="es-CO" sz="2000" b="1">
            <a:solidFill>
              <a:sysClr val="windowText" lastClr="000000"/>
            </a:solidFill>
          </a:endParaRPr>
        </a:p>
      </dgm:t>
    </dgm:pt>
    <dgm:pt modelId="{478F0EF4-37C9-4C42-A564-2E10E5592036}">
      <dgm:prSet phldrT="[Texto]" custT="1"/>
      <dgm:spPr/>
      <dgm:t>
        <a:bodyPr/>
        <a:lstStyle/>
        <a:p>
          <a:r>
            <a:rPr lang="es-CO" sz="9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2000" b="1">
            <a:solidFill>
              <a:sysClr val="windowText" lastClr="000000"/>
            </a:solidFill>
          </a:endParaRPr>
        </a:p>
      </dgm:t>
    </dgm:pt>
    <dgm:pt modelId="{A7C656FF-04CE-44CF-855E-B8D551D5B68F}" type="sibTrans" cxnId="{B5337568-0E59-4F5C-8E7A-5FB2E4CB3ED9}">
      <dgm:prSet/>
      <dgm:spPr/>
      <dgm:t>
        <a:bodyPr/>
        <a:lstStyle/>
        <a:p>
          <a:endParaRPr lang="es-CO" sz="2000" b="1">
            <a:solidFill>
              <a:sysClr val="windowText" lastClr="000000"/>
            </a:solidFill>
          </a:endParaRPr>
        </a:p>
      </dgm:t>
    </dgm:pt>
    <dgm:pt modelId="{77ED72F7-5867-45FB-A572-1D61D2FFCF1B}">
      <dgm:prSet custT="1"/>
      <dgm:spPr/>
      <dgm:t>
        <a:bodyPr/>
        <a:lstStyle/>
        <a:p>
          <a:r>
            <a:rPr lang="es-CO" sz="9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2000" b="1">
            <a:solidFill>
              <a:sysClr val="windowText" lastClr="000000"/>
            </a:solidFill>
          </a:endParaRPr>
        </a:p>
      </dgm:t>
    </dgm:pt>
    <dgm:pt modelId="{50F7F6CE-8FB0-41DF-9D1D-BB1D2F7164B4}" type="parTrans" cxnId="{4DCF760A-4234-411C-9DDD-DEBB4735165A}">
      <dgm:prSet/>
      <dgm:spPr/>
      <dgm:t>
        <a:bodyPr/>
        <a:lstStyle/>
        <a:p>
          <a:endParaRPr lang="es-CO" sz="2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dgm:spPr/>
      <dgm:t>
        <a:bodyPr/>
        <a:lstStyle/>
        <a:p>
          <a:r>
            <a:rPr lang="es-CO" b="1"/>
            <a:t>320203</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b="1">
            <a:solidFill>
              <a:sysClr val="windowText" lastClr="000000"/>
            </a:solidFill>
          </a:endParaRPr>
        </a:p>
      </dgm:t>
    </dgm:pt>
    <dgm:pt modelId="{67CE5C2F-1268-470B-A306-E88D174507DF}" type="sibTrans" cxnId="{A4751C46-4FF9-4972-9DCA-10D1A2973D7C}">
      <dgm:prSet/>
      <dgm:spPr/>
      <dgm:t>
        <a:bodyPr/>
        <a:lstStyle/>
        <a:p>
          <a:endParaRPr lang="es-CO" b="1">
            <a:solidFill>
              <a:sysClr val="windowText" lastClr="000000"/>
            </a:solidFill>
          </a:endParaRPr>
        </a:p>
      </dgm:t>
    </dgm:pt>
    <dgm:pt modelId="{CCEC1903-EEB9-4A17-A008-4EF3FC2A9B16}">
      <dgm:prSet phldrT="[Texto]"/>
      <dgm:spPr/>
      <dgm:t>
        <a:bodyPr/>
        <a:lstStyle/>
        <a:p>
          <a:r>
            <a:rPr lang="es-CO" b="1"/>
            <a:t>320301</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b="1">
            <a:solidFill>
              <a:sysClr val="windowText" lastClr="000000"/>
            </a:solidFill>
          </a:endParaRPr>
        </a:p>
      </dgm:t>
    </dgm:pt>
    <dgm:pt modelId="{50152946-9D07-4EE0-918E-E73E4E413630}" type="sibTrans" cxnId="{B26B0531-FAEC-487E-B7B1-FA3587A32D32}">
      <dgm:prSet/>
      <dgm:spPr/>
      <dgm:t>
        <a:bodyPr/>
        <a:lstStyle/>
        <a:p>
          <a:endParaRPr lang="es-CO" b="1">
            <a:solidFill>
              <a:sysClr val="windowText" lastClr="000000"/>
            </a:solidFill>
          </a:endParaRPr>
        </a:p>
      </dgm:t>
    </dgm:pt>
    <dgm:pt modelId="{C23BF35F-11CE-41B0-948D-9F6F6996B47A}">
      <dgm:prSet phldrT="[Texto]"/>
      <dgm:spPr/>
      <dgm:t>
        <a:bodyPr/>
        <a:lstStyle/>
        <a:p>
          <a:r>
            <a:rPr lang="es-CO" b="1"/>
            <a:t>320302</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b="1">
            <a:solidFill>
              <a:sysClr val="windowText" lastClr="000000"/>
            </a:solidFill>
          </a:endParaRPr>
        </a:p>
      </dgm:t>
    </dgm:pt>
    <dgm:pt modelId="{B05061CD-4813-49A1-8E43-8E5609730B93}" type="sibTrans" cxnId="{24E1BBD7-9A17-4C90-8BF4-6084FBAEE002}">
      <dgm:prSet/>
      <dgm:spPr/>
      <dgm:t>
        <a:bodyPr/>
        <a:lstStyle/>
        <a:p>
          <a:endParaRPr lang="es-CO" b="1">
            <a:solidFill>
              <a:sysClr val="windowText" lastClr="000000"/>
            </a:solidFill>
          </a:endParaRPr>
        </a:p>
      </dgm:t>
    </dgm:pt>
    <dgm:pt modelId="{478F0EF4-37C9-4C42-A564-2E10E5592036}">
      <dgm:prSet phldrT="[Texto]"/>
      <dgm:spPr/>
      <dgm:t>
        <a:bodyPr/>
        <a:lstStyle/>
        <a:p>
          <a:r>
            <a:rPr lang="es-CO" b="1"/>
            <a:t>320401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b="1">
            <a:solidFill>
              <a:sysClr val="windowText" lastClr="000000"/>
            </a:solidFill>
          </a:endParaRPr>
        </a:p>
      </dgm:t>
    </dgm:pt>
    <dgm:pt modelId="{A7C656FF-04CE-44CF-855E-B8D551D5B68F}" type="sibTrans" cxnId="{B5337568-0E59-4F5C-8E7A-5FB2E4CB3ED9}">
      <dgm:prSet/>
      <dgm:spPr/>
      <dgm:t>
        <a:bodyPr/>
        <a:lstStyle/>
        <a:p>
          <a:endParaRPr lang="es-CO" b="1">
            <a:solidFill>
              <a:sysClr val="windowText" lastClr="000000"/>
            </a:solidFill>
          </a:endParaRPr>
        </a:p>
      </dgm:t>
    </dgm:pt>
    <dgm:pt modelId="{77ED72F7-5867-45FB-A572-1D61D2FFCF1B}">
      <dgm:prSet/>
      <dgm:spPr/>
      <dgm:t>
        <a:bodyPr/>
        <a:lstStyle/>
        <a:p>
          <a:r>
            <a:rPr lang="es-CO" b="1"/>
            <a:t>320501</a:t>
          </a:r>
        </a:p>
      </dgm:t>
      <dgm:extLst>
        <a:ext uri="{E40237B7-FDA0-4F09-8148-C483321AD2D9}">
          <dgm14:cNvPr xmlns:dgm14="http://schemas.microsoft.com/office/drawing/2010/diagram" id="0" name="">
            <a:hlinkClick xmlns:r="http://schemas.openxmlformats.org/officeDocument/2006/relationships" r:id="rId5"/>
          </dgm14:cNvPr>
        </a:ext>
      </dgm:extLst>
    </dgm:pt>
    <dgm:pt modelId="{50F7F6CE-8FB0-41DF-9D1D-BB1D2F7164B4}" type="parTrans" cxnId="{4DCF760A-4234-411C-9DDD-DEBB4735165A}">
      <dgm:prSet/>
      <dgm:spPr/>
      <dgm:t>
        <a:bodyPr/>
        <a:lstStyle/>
        <a:p>
          <a:endParaRPr lang="es-CO" b="1">
            <a:solidFill>
              <a:sysClr val="windowText" lastClr="000000"/>
            </a:solidFill>
          </a:endParaRPr>
        </a:p>
      </dgm:t>
    </dgm:pt>
    <dgm:pt modelId="{BDFDFD82-58C9-462F-8C87-480329CCF865}" type="sibTrans" cxnId="{4DCF760A-4234-411C-9DDD-DEBB4735165A}">
      <dgm:prSet/>
      <dgm:spPr/>
      <dgm:t>
        <a:bodyPr/>
        <a:lstStyle/>
        <a:p>
          <a:endParaRPr lang="es-CO"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320502</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1050" b="1">
            <a:solidFill>
              <a:sysClr val="windowText" lastClr="000000"/>
            </a:solidFill>
          </a:endParaRPr>
        </a:p>
      </dgm:t>
    </dgm:pt>
    <dgm:pt modelId="{67CE5C2F-1268-470B-A306-E88D174507DF}" type="sibTrans" cxnId="{A4751C46-4FF9-4972-9DCA-10D1A2973D7C}">
      <dgm:prSet/>
      <dgm:spPr/>
      <dgm:t>
        <a:bodyPr/>
        <a:lstStyle/>
        <a:p>
          <a:endParaRPr lang="es-CO" sz="1050" b="1">
            <a:solidFill>
              <a:sysClr val="windowText" lastClr="000000"/>
            </a:solidFill>
          </a:endParaRPr>
        </a:p>
      </dgm:t>
    </dgm:pt>
    <dgm:pt modelId="{CCEC1903-EEB9-4A17-A008-4EF3FC2A9B16}">
      <dgm:prSet phldrT="[Texto]" custT="1"/>
      <dgm:spPr/>
      <dgm:t>
        <a:bodyPr/>
        <a:lstStyle/>
        <a:p>
          <a:r>
            <a:rPr lang="es-CO" sz="900" b="1"/>
            <a:t>320503</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1050" b="1">
            <a:solidFill>
              <a:sysClr val="windowText" lastClr="000000"/>
            </a:solidFill>
          </a:endParaRPr>
        </a:p>
      </dgm:t>
    </dgm:pt>
    <dgm:pt modelId="{50152946-9D07-4EE0-918E-E73E4E413630}" type="sibTrans" cxnId="{B26B0531-FAEC-487E-B7B1-FA3587A32D32}">
      <dgm:prSet/>
      <dgm:spPr/>
      <dgm:t>
        <a:bodyPr/>
        <a:lstStyle/>
        <a:p>
          <a:endParaRPr lang="es-CO" sz="1050" b="1">
            <a:solidFill>
              <a:sysClr val="windowText" lastClr="000000"/>
            </a:solidFill>
          </a:endParaRPr>
        </a:p>
      </dgm:t>
    </dgm:pt>
    <dgm:pt modelId="{C23BF35F-11CE-41B0-948D-9F6F6996B47A}">
      <dgm:prSet phldrT="[Texto]" custT="1"/>
      <dgm:spPr/>
      <dgm:t>
        <a:bodyPr/>
        <a:lstStyle/>
        <a:p>
          <a:r>
            <a:rPr lang="es-CO" sz="900" b="1"/>
            <a:t>320601</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1050" b="1">
            <a:solidFill>
              <a:sysClr val="windowText" lastClr="000000"/>
            </a:solidFill>
          </a:endParaRPr>
        </a:p>
      </dgm:t>
    </dgm:pt>
    <dgm:pt modelId="{B05061CD-4813-49A1-8E43-8E5609730B93}" type="sibTrans" cxnId="{24E1BBD7-9A17-4C90-8BF4-6084FBAEE002}">
      <dgm:prSet/>
      <dgm:spPr/>
      <dgm:t>
        <a:bodyPr/>
        <a:lstStyle/>
        <a:p>
          <a:endParaRPr lang="es-CO" sz="1050" b="1">
            <a:solidFill>
              <a:sysClr val="windowText" lastClr="000000"/>
            </a:solidFill>
          </a:endParaRPr>
        </a:p>
      </dgm:t>
    </dgm:pt>
    <dgm:pt modelId="{478F0EF4-37C9-4C42-A564-2E10E5592036}">
      <dgm:prSet phldrT="[Texto]" custT="1"/>
      <dgm:spPr/>
      <dgm:t>
        <a:bodyPr/>
        <a:lstStyle/>
        <a:p>
          <a:r>
            <a:rPr lang="es-CO" sz="900" b="1"/>
            <a:t>320801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1050" b="1">
            <a:solidFill>
              <a:sysClr val="windowText" lastClr="000000"/>
            </a:solidFill>
          </a:endParaRPr>
        </a:p>
      </dgm:t>
    </dgm:pt>
    <dgm:pt modelId="{A7C656FF-04CE-44CF-855E-B8D551D5B68F}" type="sibTrans" cxnId="{B5337568-0E59-4F5C-8E7A-5FB2E4CB3ED9}">
      <dgm:prSet/>
      <dgm:spPr/>
      <dgm:t>
        <a:bodyPr/>
        <a:lstStyle/>
        <a:p>
          <a:endParaRPr lang="es-CO" sz="1050" b="1">
            <a:solidFill>
              <a:sysClr val="windowText" lastClr="000000"/>
            </a:solidFill>
          </a:endParaRPr>
        </a:p>
      </dgm:t>
    </dgm:pt>
    <dgm:pt modelId="{5D8257CB-A29E-42F4-A4DE-34486DCBDCC3}">
      <dgm:prSet phldrT="[Texto]" custT="1"/>
      <dgm:spPr/>
      <dgm:t>
        <a:bodyPr/>
        <a:lstStyle/>
        <a:p>
          <a:r>
            <a:rPr lang="es-CO" sz="800" b="1"/>
            <a:t>329901</a:t>
          </a:r>
        </a:p>
      </dgm:t>
      <dgm:extLst>
        <a:ext uri="{E40237B7-FDA0-4F09-8148-C483321AD2D9}">
          <dgm14:cNvPr xmlns:dgm14="http://schemas.microsoft.com/office/drawing/2010/diagram" id="0" name="">
            <a:hlinkClick xmlns:r="http://schemas.openxmlformats.org/officeDocument/2006/relationships" r:id="rId5"/>
          </dgm14:cNvPr>
        </a:ext>
      </dgm:extLst>
    </dgm:pt>
    <dgm:pt modelId="{97F1A262-AE60-4B77-9084-105636961CBD}" type="parTrans" cxnId="{C2FB71B7-C3A6-4195-9097-03998FB04095}">
      <dgm:prSet/>
      <dgm:spPr/>
      <dgm:t>
        <a:bodyPr/>
        <a:lstStyle/>
        <a:p>
          <a:endParaRPr lang="es-CO" sz="1600"/>
        </a:p>
      </dgm:t>
    </dgm:pt>
    <dgm:pt modelId="{E0257DB5-2F25-45B5-8091-CC0A81F4D64D}" type="sibTrans" cxnId="{C2FB71B7-C3A6-4195-9097-03998FB04095}">
      <dgm:prSet/>
      <dgm:spPr/>
      <dgm:t>
        <a:bodyPr/>
        <a:lstStyle/>
        <a:p>
          <a:endParaRPr lang="es-CO" sz="1600"/>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3E8D2E5A-542B-4653-919E-B8C9EC856305}" type="pres">
      <dgm:prSet presAssocID="{A7C656FF-04CE-44CF-855E-B8D551D5B68F}" presName="parTxOnlySpace" presStyleCnt="0"/>
      <dgm:spPr/>
    </dgm:pt>
    <dgm:pt modelId="{7021A1DD-66A0-409A-92DE-0FCCADEF3D39}" type="pres">
      <dgm:prSet presAssocID="{5D8257CB-A29E-42F4-A4DE-34486DCBDCC3}" presName="parTxOnly" presStyleLbl="node1" presStyleIdx="4" presStyleCnt="5">
        <dgm:presLayoutVars>
          <dgm:chMax val="0"/>
          <dgm:chPref val="0"/>
          <dgm:bulletEnabled val="1"/>
        </dgm:presLayoutVars>
      </dgm:prSet>
      <dgm:spPr/>
      <dgm:t>
        <a:bodyPr/>
        <a:lstStyle/>
        <a:p>
          <a:endParaRPr lang="es-ES"/>
        </a:p>
      </dgm:t>
    </dgm:pt>
  </dgm:ptLst>
  <dgm:cxnLst>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B5337568-0E59-4F5C-8E7A-5FB2E4CB3ED9}" srcId="{A9BE5407-7205-4184-853E-319B43B2CC54}" destId="{478F0EF4-37C9-4C42-A564-2E10E5592036}" srcOrd="3" destOrd="0" parTransId="{059A4A4C-BF9B-4757-855C-4D7902BEADB9}" sibTransId="{A7C656FF-04CE-44CF-855E-B8D551D5B68F}"/>
    <dgm:cxn modelId="{C2FB71B7-C3A6-4195-9097-03998FB04095}" srcId="{A9BE5407-7205-4184-853E-319B43B2CC54}" destId="{5D8257CB-A29E-42F4-A4DE-34486DCBDCC3}" srcOrd="4" destOrd="0" parTransId="{97F1A262-AE60-4B77-9084-105636961CBD}" sibTransId="{E0257DB5-2F25-45B5-8091-CC0A81F4D64D}"/>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AB3E1808-9E83-41B2-8691-D117251591DE}" type="presOf" srcId="{5D8257CB-A29E-42F4-A4DE-34486DCBDCC3}" destId="{7021A1DD-66A0-409A-92DE-0FCCADEF3D39}" srcOrd="0" destOrd="0" presId="urn:microsoft.com/office/officeart/2005/8/layout/chevron1"/>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94A7A549-6701-4C13-AD60-516E89DC2746}" type="presParOf" srcId="{FCC0C7C0-82FA-445D-9A69-D4913FD14235}" destId="{3E8D2E5A-542B-4653-919E-B8C9EC856305}" srcOrd="7" destOrd="0" presId="urn:microsoft.com/office/officeart/2005/8/layout/chevron1"/>
    <dgm:cxn modelId="{BB48D88E-8641-4459-89C8-23E9E52ABB6F}" type="presParOf" srcId="{FCC0C7C0-82FA-445D-9A69-D4913FD14235}" destId="{7021A1DD-66A0-409A-92DE-0FCCADEF3D39}"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A9BE5407-7205-4184-853E-319B43B2CC54}" type="doc">
      <dgm:prSet loTypeId="urn:microsoft.com/office/officeart/2005/8/layout/chevron1" loCatId="process" qsTypeId="urn:microsoft.com/office/officeart/2005/8/quickstyle/simple1" qsCatId="simple" csTypeId="urn:microsoft.com/office/officeart/2005/8/colors/accent0_1" csCatId="mainScheme" phldr="1"/>
      <dgm:spPr/>
      <dgm:t>
        <a:bodyPr/>
        <a:lstStyle/>
        <a:p>
          <a:endParaRPr lang="es-CO"/>
        </a:p>
      </dgm:t>
    </dgm:pt>
    <dgm:pt modelId="{89D66372-AE02-423A-87A2-EAF45454293B}">
      <dgm:prSet phldrT="[Texto]" custT="1"/>
      <dgm:spPr/>
      <dgm:t>
        <a:bodyPr/>
        <a:lstStyle/>
        <a:p>
          <a:r>
            <a:rPr lang="es-CO" sz="900" b="1"/>
            <a:t>320101</a:t>
          </a:r>
        </a:p>
      </dgm:t>
      <dgm:extLst>
        <a:ext uri="{E40237B7-FDA0-4F09-8148-C483321AD2D9}">
          <dgm14:cNvPr xmlns:dgm14="http://schemas.microsoft.com/office/drawing/2010/diagram" id="0" name="">
            <a:hlinkClick xmlns:r="http://schemas.openxmlformats.org/officeDocument/2006/relationships" r:id="rId1"/>
          </dgm14:cNvPr>
        </a:ext>
      </dgm:extLst>
    </dgm:pt>
    <dgm:pt modelId="{CC024796-24E5-4889-82DA-8D70606F48B1}" type="parTrans" cxnId="{A4751C46-4FF9-4972-9DCA-10D1A2973D7C}">
      <dgm:prSet/>
      <dgm:spPr/>
      <dgm:t>
        <a:bodyPr/>
        <a:lstStyle/>
        <a:p>
          <a:endParaRPr lang="es-CO" sz="2000" b="1">
            <a:solidFill>
              <a:sysClr val="windowText" lastClr="000000"/>
            </a:solidFill>
          </a:endParaRPr>
        </a:p>
      </dgm:t>
    </dgm:pt>
    <dgm:pt modelId="{67CE5C2F-1268-470B-A306-E88D174507DF}" type="sibTrans" cxnId="{A4751C46-4FF9-4972-9DCA-10D1A2973D7C}">
      <dgm:prSet/>
      <dgm:spPr/>
      <dgm:t>
        <a:bodyPr/>
        <a:lstStyle/>
        <a:p>
          <a:endParaRPr lang="es-CO" sz="2000" b="1">
            <a:solidFill>
              <a:sysClr val="windowText" lastClr="000000"/>
            </a:solidFill>
          </a:endParaRPr>
        </a:p>
      </dgm:t>
    </dgm:pt>
    <dgm:pt modelId="{CCEC1903-EEB9-4A17-A008-4EF3FC2A9B16}">
      <dgm:prSet phldrT="[Texto]" custT="1"/>
      <dgm:spPr/>
      <dgm:t>
        <a:bodyPr/>
        <a:lstStyle/>
        <a:p>
          <a:r>
            <a:rPr lang="es-CO" sz="900" b="1"/>
            <a:t>320102</a:t>
          </a:r>
        </a:p>
      </dgm:t>
      <dgm:extLst>
        <a:ext uri="{E40237B7-FDA0-4F09-8148-C483321AD2D9}">
          <dgm14:cNvPr xmlns:dgm14="http://schemas.microsoft.com/office/drawing/2010/diagram" id="0" name="">
            <a:hlinkClick xmlns:r="http://schemas.openxmlformats.org/officeDocument/2006/relationships" r:id="rId2"/>
          </dgm14:cNvPr>
        </a:ext>
      </dgm:extLst>
    </dgm:pt>
    <dgm:pt modelId="{9A70F634-7631-4DC8-B9AB-B126499C1CE9}" type="parTrans" cxnId="{B26B0531-FAEC-487E-B7B1-FA3587A32D32}">
      <dgm:prSet/>
      <dgm:spPr/>
      <dgm:t>
        <a:bodyPr/>
        <a:lstStyle/>
        <a:p>
          <a:endParaRPr lang="es-CO" sz="2000" b="1">
            <a:solidFill>
              <a:sysClr val="windowText" lastClr="000000"/>
            </a:solidFill>
          </a:endParaRPr>
        </a:p>
      </dgm:t>
    </dgm:pt>
    <dgm:pt modelId="{50152946-9D07-4EE0-918E-E73E4E413630}" type="sibTrans" cxnId="{B26B0531-FAEC-487E-B7B1-FA3587A32D32}">
      <dgm:prSet/>
      <dgm:spPr/>
      <dgm:t>
        <a:bodyPr/>
        <a:lstStyle/>
        <a:p>
          <a:endParaRPr lang="es-CO" sz="2000" b="1">
            <a:solidFill>
              <a:sysClr val="windowText" lastClr="000000"/>
            </a:solidFill>
          </a:endParaRPr>
        </a:p>
      </dgm:t>
    </dgm:pt>
    <dgm:pt modelId="{C23BF35F-11CE-41B0-948D-9F6F6996B47A}">
      <dgm:prSet phldrT="[Texto]" custT="1"/>
      <dgm:spPr/>
      <dgm:t>
        <a:bodyPr/>
        <a:lstStyle/>
        <a:p>
          <a:r>
            <a:rPr lang="es-CO" sz="900" b="1"/>
            <a:t>320103</a:t>
          </a:r>
        </a:p>
      </dgm:t>
      <dgm:extLst>
        <a:ext uri="{E40237B7-FDA0-4F09-8148-C483321AD2D9}">
          <dgm14:cNvPr xmlns:dgm14="http://schemas.microsoft.com/office/drawing/2010/diagram" id="0" name="">
            <a:hlinkClick xmlns:r="http://schemas.openxmlformats.org/officeDocument/2006/relationships" r:id="rId3"/>
          </dgm14:cNvPr>
        </a:ext>
      </dgm:extLst>
    </dgm:pt>
    <dgm:pt modelId="{CB433106-4710-4738-83F7-91A9D3BE4E48}" type="parTrans" cxnId="{24E1BBD7-9A17-4C90-8BF4-6084FBAEE002}">
      <dgm:prSet/>
      <dgm:spPr/>
      <dgm:t>
        <a:bodyPr/>
        <a:lstStyle/>
        <a:p>
          <a:endParaRPr lang="es-CO" sz="2000" b="1">
            <a:solidFill>
              <a:sysClr val="windowText" lastClr="000000"/>
            </a:solidFill>
          </a:endParaRPr>
        </a:p>
      </dgm:t>
    </dgm:pt>
    <dgm:pt modelId="{B05061CD-4813-49A1-8E43-8E5609730B93}" type="sibTrans" cxnId="{24E1BBD7-9A17-4C90-8BF4-6084FBAEE002}">
      <dgm:prSet/>
      <dgm:spPr/>
      <dgm:t>
        <a:bodyPr/>
        <a:lstStyle/>
        <a:p>
          <a:endParaRPr lang="es-CO" sz="2000" b="1">
            <a:solidFill>
              <a:sysClr val="windowText" lastClr="000000"/>
            </a:solidFill>
          </a:endParaRPr>
        </a:p>
      </dgm:t>
    </dgm:pt>
    <dgm:pt modelId="{478F0EF4-37C9-4C42-A564-2E10E5592036}">
      <dgm:prSet phldrT="[Texto]" custT="1"/>
      <dgm:spPr/>
      <dgm:t>
        <a:bodyPr/>
        <a:lstStyle/>
        <a:p>
          <a:r>
            <a:rPr lang="es-CO" sz="900" b="1"/>
            <a:t>320201</a:t>
          </a:r>
        </a:p>
      </dgm:t>
      <dgm:extLst>
        <a:ext uri="{E40237B7-FDA0-4F09-8148-C483321AD2D9}">
          <dgm14:cNvPr xmlns:dgm14="http://schemas.microsoft.com/office/drawing/2010/diagram" id="0" name="">
            <a:hlinkClick xmlns:r="http://schemas.openxmlformats.org/officeDocument/2006/relationships" r:id="rId4"/>
          </dgm14:cNvPr>
        </a:ext>
      </dgm:extLst>
    </dgm:pt>
    <dgm:pt modelId="{059A4A4C-BF9B-4757-855C-4D7902BEADB9}" type="parTrans" cxnId="{B5337568-0E59-4F5C-8E7A-5FB2E4CB3ED9}">
      <dgm:prSet/>
      <dgm:spPr/>
      <dgm:t>
        <a:bodyPr/>
        <a:lstStyle/>
        <a:p>
          <a:endParaRPr lang="es-CO" sz="2000" b="1">
            <a:solidFill>
              <a:sysClr val="windowText" lastClr="000000"/>
            </a:solidFill>
          </a:endParaRPr>
        </a:p>
      </dgm:t>
    </dgm:pt>
    <dgm:pt modelId="{A7C656FF-04CE-44CF-855E-B8D551D5B68F}" type="sibTrans" cxnId="{B5337568-0E59-4F5C-8E7A-5FB2E4CB3ED9}">
      <dgm:prSet/>
      <dgm:spPr/>
      <dgm:t>
        <a:bodyPr/>
        <a:lstStyle/>
        <a:p>
          <a:endParaRPr lang="es-CO" sz="2000" b="1">
            <a:solidFill>
              <a:sysClr val="windowText" lastClr="000000"/>
            </a:solidFill>
          </a:endParaRPr>
        </a:p>
      </dgm:t>
    </dgm:pt>
    <dgm:pt modelId="{77ED72F7-5867-45FB-A572-1D61D2FFCF1B}">
      <dgm:prSet custT="1"/>
      <dgm:spPr/>
      <dgm:t>
        <a:bodyPr/>
        <a:lstStyle/>
        <a:p>
          <a:r>
            <a:rPr lang="es-CO" sz="900" b="1"/>
            <a:t>320202</a:t>
          </a:r>
        </a:p>
      </dgm:t>
      <dgm:extLst>
        <a:ext uri="{E40237B7-FDA0-4F09-8148-C483321AD2D9}">
          <dgm14:cNvPr xmlns:dgm14="http://schemas.microsoft.com/office/drawing/2010/diagram" id="0" name="">
            <a:hlinkClick xmlns:r="http://schemas.openxmlformats.org/officeDocument/2006/relationships" r:id="rId5"/>
          </dgm14:cNvPr>
        </a:ext>
      </dgm:extLst>
    </dgm:pt>
    <dgm:pt modelId="{BDFDFD82-58C9-462F-8C87-480329CCF865}" type="sibTrans" cxnId="{4DCF760A-4234-411C-9DDD-DEBB4735165A}">
      <dgm:prSet/>
      <dgm:spPr/>
      <dgm:t>
        <a:bodyPr/>
        <a:lstStyle/>
        <a:p>
          <a:endParaRPr lang="es-CO" sz="2000" b="1">
            <a:solidFill>
              <a:sysClr val="windowText" lastClr="000000"/>
            </a:solidFill>
          </a:endParaRPr>
        </a:p>
      </dgm:t>
    </dgm:pt>
    <dgm:pt modelId="{50F7F6CE-8FB0-41DF-9D1D-BB1D2F7164B4}" type="parTrans" cxnId="{4DCF760A-4234-411C-9DDD-DEBB4735165A}">
      <dgm:prSet/>
      <dgm:spPr/>
      <dgm:t>
        <a:bodyPr/>
        <a:lstStyle/>
        <a:p>
          <a:endParaRPr lang="es-CO" sz="2000" b="1">
            <a:solidFill>
              <a:sysClr val="windowText" lastClr="000000"/>
            </a:solidFill>
          </a:endParaRPr>
        </a:p>
      </dgm:t>
    </dgm:pt>
    <dgm:pt modelId="{FCC0C7C0-82FA-445D-9A69-D4913FD14235}" type="pres">
      <dgm:prSet presAssocID="{A9BE5407-7205-4184-853E-319B43B2CC54}" presName="Name0" presStyleCnt="0">
        <dgm:presLayoutVars>
          <dgm:dir/>
          <dgm:animLvl val="lvl"/>
          <dgm:resizeHandles val="exact"/>
        </dgm:presLayoutVars>
      </dgm:prSet>
      <dgm:spPr/>
      <dgm:t>
        <a:bodyPr/>
        <a:lstStyle/>
        <a:p>
          <a:endParaRPr lang="es-ES"/>
        </a:p>
      </dgm:t>
    </dgm:pt>
    <dgm:pt modelId="{4BF2A877-E299-472A-8790-6AEC51F5DF24}" type="pres">
      <dgm:prSet presAssocID="{89D66372-AE02-423A-87A2-EAF45454293B}" presName="parTxOnly" presStyleLbl="node1" presStyleIdx="0" presStyleCnt="5">
        <dgm:presLayoutVars>
          <dgm:chMax val="0"/>
          <dgm:chPref val="0"/>
          <dgm:bulletEnabled val="1"/>
        </dgm:presLayoutVars>
      </dgm:prSet>
      <dgm:spPr/>
      <dgm:t>
        <a:bodyPr/>
        <a:lstStyle/>
        <a:p>
          <a:endParaRPr lang="es-ES"/>
        </a:p>
      </dgm:t>
    </dgm:pt>
    <dgm:pt modelId="{F44DDEDE-2123-4313-A009-4DAD954022DC}" type="pres">
      <dgm:prSet presAssocID="{67CE5C2F-1268-470B-A306-E88D174507DF}" presName="parTxOnlySpace" presStyleCnt="0"/>
      <dgm:spPr/>
    </dgm:pt>
    <dgm:pt modelId="{2A250F37-BD2B-4D24-8BC5-A8327FA2BBC6}" type="pres">
      <dgm:prSet presAssocID="{CCEC1903-EEB9-4A17-A008-4EF3FC2A9B16}" presName="parTxOnly" presStyleLbl="node1" presStyleIdx="1" presStyleCnt="5">
        <dgm:presLayoutVars>
          <dgm:chMax val="0"/>
          <dgm:chPref val="0"/>
          <dgm:bulletEnabled val="1"/>
        </dgm:presLayoutVars>
      </dgm:prSet>
      <dgm:spPr/>
      <dgm:t>
        <a:bodyPr/>
        <a:lstStyle/>
        <a:p>
          <a:endParaRPr lang="es-ES"/>
        </a:p>
      </dgm:t>
    </dgm:pt>
    <dgm:pt modelId="{A5837020-9C81-499A-87E4-3C00F43390BC}" type="pres">
      <dgm:prSet presAssocID="{50152946-9D07-4EE0-918E-E73E4E413630}" presName="parTxOnlySpace" presStyleCnt="0"/>
      <dgm:spPr/>
    </dgm:pt>
    <dgm:pt modelId="{3A4EF9E9-D1CC-4DB1-9C2A-DBA65A75B745}" type="pres">
      <dgm:prSet presAssocID="{C23BF35F-11CE-41B0-948D-9F6F6996B47A}" presName="parTxOnly" presStyleLbl="node1" presStyleIdx="2" presStyleCnt="5">
        <dgm:presLayoutVars>
          <dgm:chMax val="0"/>
          <dgm:chPref val="0"/>
          <dgm:bulletEnabled val="1"/>
        </dgm:presLayoutVars>
      </dgm:prSet>
      <dgm:spPr/>
      <dgm:t>
        <a:bodyPr/>
        <a:lstStyle/>
        <a:p>
          <a:endParaRPr lang="es-ES"/>
        </a:p>
      </dgm:t>
    </dgm:pt>
    <dgm:pt modelId="{1E8536E8-CFB1-4952-AF8A-C1CBFA6CF070}" type="pres">
      <dgm:prSet presAssocID="{B05061CD-4813-49A1-8E43-8E5609730B93}" presName="parTxOnlySpace" presStyleCnt="0"/>
      <dgm:spPr/>
    </dgm:pt>
    <dgm:pt modelId="{5CA4166A-DEF4-4160-9B25-C26A1B076B08}" type="pres">
      <dgm:prSet presAssocID="{478F0EF4-37C9-4C42-A564-2E10E5592036}" presName="parTxOnly" presStyleLbl="node1" presStyleIdx="3" presStyleCnt="5">
        <dgm:presLayoutVars>
          <dgm:chMax val="0"/>
          <dgm:chPref val="0"/>
          <dgm:bulletEnabled val="1"/>
        </dgm:presLayoutVars>
      </dgm:prSet>
      <dgm:spPr/>
      <dgm:t>
        <a:bodyPr/>
        <a:lstStyle/>
        <a:p>
          <a:endParaRPr lang="es-ES"/>
        </a:p>
      </dgm:t>
    </dgm:pt>
    <dgm:pt modelId="{2DB263BB-68BA-40B8-B30E-0A96A61C6C92}" type="pres">
      <dgm:prSet presAssocID="{A7C656FF-04CE-44CF-855E-B8D551D5B68F}" presName="parTxOnlySpace" presStyleCnt="0"/>
      <dgm:spPr/>
    </dgm:pt>
    <dgm:pt modelId="{EA67D822-099B-4586-8EEA-708296281414}" type="pres">
      <dgm:prSet presAssocID="{77ED72F7-5867-45FB-A572-1D61D2FFCF1B}" presName="parTxOnly" presStyleLbl="node1" presStyleIdx="4" presStyleCnt="5">
        <dgm:presLayoutVars>
          <dgm:chMax val="0"/>
          <dgm:chPref val="0"/>
          <dgm:bulletEnabled val="1"/>
        </dgm:presLayoutVars>
      </dgm:prSet>
      <dgm:spPr/>
      <dgm:t>
        <a:bodyPr/>
        <a:lstStyle/>
        <a:p>
          <a:endParaRPr lang="es-ES"/>
        </a:p>
      </dgm:t>
    </dgm:pt>
  </dgm:ptLst>
  <dgm:cxnLst>
    <dgm:cxn modelId="{3C87501D-888F-420A-AF71-BA675DD3732C}" type="presOf" srcId="{77ED72F7-5867-45FB-A572-1D61D2FFCF1B}" destId="{EA67D822-099B-4586-8EEA-708296281414}" srcOrd="0" destOrd="0" presId="urn:microsoft.com/office/officeart/2005/8/layout/chevron1"/>
    <dgm:cxn modelId="{24E1BBD7-9A17-4C90-8BF4-6084FBAEE002}" srcId="{A9BE5407-7205-4184-853E-319B43B2CC54}" destId="{C23BF35F-11CE-41B0-948D-9F6F6996B47A}" srcOrd="2" destOrd="0" parTransId="{CB433106-4710-4738-83F7-91A9D3BE4E48}" sibTransId="{B05061CD-4813-49A1-8E43-8E5609730B93}"/>
    <dgm:cxn modelId="{EBF2B68E-761A-4650-AAF2-0902CE38FA9E}" type="presOf" srcId="{C23BF35F-11CE-41B0-948D-9F6F6996B47A}" destId="{3A4EF9E9-D1CC-4DB1-9C2A-DBA65A75B745}" srcOrd="0" destOrd="0" presId="urn:microsoft.com/office/officeart/2005/8/layout/chevron1"/>
    <dgm:cxn modelId="{B26B0531-FAEC-487E-B7B1-FA3587A32D32}" srcId="{A9BE5407-7205-4184-853E-319B43B2CC54}" destId="{CCEC1903-EEB9-4A17-A008-4EF3FC2A9B16}" srcOrd="1" destOrd="0" parTransId="{9A70F634-7631-4DC8-B9AB-B126499C1CE9}" sibTransId="{50152946-9D07-4EE0-918E-E73E4E413630}"/>
    <dgm:cxn modelId="{10727431-AFF9-4528-B721-980AFAEF97E6}" type="presOf" srcId="{A9BE5407-7205-4184-853E-319B43B2CC54}" destId="{FCC0C7C0-82FA-445D-9A69-D4913FD14235}" srcOrd="0" destOrd="0" presId="urn:microsoft.com/office/officeart/2005/8/layout/chevron1"/>
    <dgm:cxn modelId="{116F5885-0F86-4D33-82F8-0EF26C81CA93}" type="presOf" srcId="{CCEC1903-EEB9-4A17-A008-4EF3FC2A9B16}" destId="{2A250F37-BD2B-4D24-8BC5-A8327FA2BBC6}" srcOrd="0" destOrd="0" presId="urn:microsoft.com/office/officeart/2005/8/layout/chevron1"/>
    <dgm:cxn modelId="{4DCF760A-4234-411C-9DDD-DEBB4735165A}" srcId="{A9BE5407-7205-4184-853E-319B43B2CC54}" destId="{77ED72F7-5867-45FB-A572-1D61D2FFCF1B}" srcOrd="4" destOrd="0" parTransId="{50F7F6CE-8FB0-41DF-9D1D-BB1D2F7164B4}" sibTransId="{BDFDFD82-58C9-462F-8C87-480329CCF865}"/>
    <dgm:cxn modelId="{B5337568-0E59-4F5C-8E7A-5FB2E4CB3ED9}" srcId="{A9BE5407-7205-4184-853E-319B43B2CC54}" destId="{478F0EF4-37C9-4C42-A564-2E10E5592036}" srcOrd="3" destOrd="0" parTransId="{059A4A4C-BF9B-4757-855C-4D7902BEADB9}" sibTransId="{A7C656FF-04CE-44CF-855E-B8D551D5B68F}"/>
    <dgm:cxn modelId="{523492FE-89D6-4820-A408-7C20DBED6736}" type="presOf" srcId="{478F0EF4-37C9-4C42-A564-2E10E5592036}" destId="{5CA4166A-DEF4-4160-9B25-C26A1B076B08}" srcOrd="0" destOrd="0" presId="urn:microsoft.com/office/officeart/2005/8/layout/chevron1"/>
    <dgm:cxn modelId="{A4751C46-4FF9-4972-9DCA-10D1A2973D7C}" srcId="{A9BE5407-7205-4184-853E-319B43B2CC54}" destId="{89D66372-AE02-423A-87A2-EAF45454293B}" srcOrd="0" destOrd="0" parTransId="{CC024796-24E5-4889-82DA-8D70606F48B1}" sibTransId="{67CE5C2F-1268-470B-A306-E88D174507DF}"/>
    <dgm:cxn modelId="{6CA35772-DBF6-4603-96E4-567E5A854FE8}" type="presOf" srcId="{89D66372-AE02-423A-87A2-EAF45454293B}" destId="{4BF2A877-E299-472A-8790-6AEC51F5DF24}" srcOrd="0" destOrd="0" presId="urn:microsoft.com/office/officeart/2005/8/layout/chevron1"/>
    <dgm:cxn modelId="{4A44F136-048B-4381-9E91-B3F61D746FA9}" type="presParOf" srcId="{FCC0C7C0-82FA-445D-9A69-D4913FD14235}" destId="{4BF2A877-E299-472A-8790-6AEC51F5DF24}" srcOrd="0" destOrd="0" presId="urn:microsoft.com/office/officeart/2005/8/layout/chevron1"/>
    <dgm:cxn modelId="{7992286F-21FD-4958-9176-60614E572763}" type="presParOf" srcId="{FCC0C7C0-82FA-445D-9A69-D4913FD14235}" destId="{F44DDEDE-2123-4313-A009-4DAD954022DC}" srcOrd="1" destOrd="0" presId="urn:microsoft.com/office/officeart/2005/8/layout/chevron1"/>
    <dgm:cxn modelId="{09621F36-687C-48AA-B8DE-3C4389BA2F72}" type="presParOf" srcId="{FCC0C7C0-82FA-445D-9A69-D4913FD14235}" destId="{2A250F37-BD2B-4D24-8BC5-A8327FA2BBC6}" srcOrd="2" destOrd="0" presId="urn:microsoft.com/office/officeart/2005/8/layout/chevron1"/>
    <dgm:cxn modelId="{E4D975FF-5F59-451F-829A-A88EA63B03A2}" type="presParOf" srcId="{FCC0C7C0-82FA-445D-9A69-D4913FD14235}" destId="{A5837020-9C81-499A-87E4-3C00F43390BC}" srcOrd="3" destOrd="0" presId="urn:microsoft.com/office/officeart/2005/8/layout/chevron1"/>
    <dgm:cxn modelId="{8FC11FA1-3D08-49AF-8C5F-548E6AEA228F}" type="presParOf" srcId="{FCC0C7C0-82FA-445D-9A69-D4913FD14235}" destId="{3A4EF9E9-D1CC-4DB1-9C2A-DBA65A75B745}" srcOrd="4" destOrd="0" presId="urn:microsoft.com/office/officeart/2005/8/layout/chevron1"/>
    <dgm:cxn modelId="{A4CE62EC-F0F7-4486-BBD4-485975708542}" type="presParOf" srcId="{FCC0C7C0-82FA-445D-9A69-D4913FD14235}" destId="{1E8536E8-CFB1-4952-AF8A-C1CBFA6CF070}" srcOrd="5" destOrd="0" presId="urn:microsoft.com/office/officeart/2005/8/layout/chevron1"/>
    <dgm:cxn modelId="{98D8366B-7FA4-4C26-A964-F0821BE950C5}" type="presParOf" srcId="{FCC0C7C0-82FA-445D-9A69-D4913FD14235}" destId="{5CA4166A-DEF4-4160-9B25-C26A1B076B08}" srcOrd="6" destOrd="0" presId="urn:microsoft.com/office/officeart/2005/8/layout/chevron1"/>
    <dgm:cxn modelId="{4CE51073-67F7-4BFC-99F8-1AFE316C55FD}" type="presParOf" srcId="{FCC0C7C0-82FA-445D-9A69-D4913FD14235}" destId="{2DB263BB-68BA-40B8-B30E-0A96A61C6C92}" srcOrd="7" destOrd="0" presId="urn:microsoft.com/office/officeart/2005/8/layout/chevron1"/>
    <dgm:cxn modelId="{A944A89D-D0CD-42EA-B556-890026E900E2}" type="presParOf" srcId="{FCC0C7C0-82FA-445D-9A69-D4913FD14235}" destId="{EA67D822-099B-4586-8EEA-708296281414}" srcOrd="8" destOrd="0" presId="urn:microsoft.com/office/officeart/2005/8/layout/chevron1"/>
  </dgm:cxnLst>
  <dgm:bg>
    <a:solidFill>
      <a:srgbClr val="FFC000"/>
    </a:solidFill>
  </dgm:bg>
  <dgm:whole/>
  <dgm:extLst>
    <a:ext uri="http://schemas.microsoft.com/office/drawing/2008/diagram">
      <dsp:dataModelExt xmlns:dsp="http://schemas.microsoft.com/office/drawing/2008/diagram" relId="rId1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74" y="28193"/>
          <a:ext cx="689260" cy="27570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320203</a:t>
          </a:r>
        </a:p>
      </dsp:txBody>
      <dsp:txXfrm>
        <a:off x="138626" y="28193"/>
        <a:ext cx="413556" cy="275704"/>
      </dsp:txXfrm>
    </dsp:sp>
    <dsp:sp modelId="{2A250F37-BD2B-4D24-8BC5-A8327FA2BBC6}">
      <dsp:nvSpPr>
        <dsp:cNvPr id="0" name=""/>
        <dsp:cNvSpPr/>
      </dsp:nvSpPr>
      <dsp:spPr>
        <a:xfrm>
          <a:off x="621108" y="28193"/>
          <a:ext cx="689260" cy="27570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320301</a:t>
          </a:r>
        </a:p>
      </dsp:txBody>
      <dsp:txXfrm>
        <a:off x="758960" y="28193"/>
        <a:ext cx="413556" cy="275704"/>
      </dsp:txXfrm>
    </dsp:sp>
    <dsp:sp modelId="{3A4EF9E9-D1CC-4DB1-9C2A-DBA65A75B745}">
      <dsp:nvSpPr>
        <dsp:cNvPr id="0" name=""/>
        <dsp:cNvSpPr/>
      </dsp:nvSpPr>
      <dsp:spPr>
        <a:xfrm>
          <a:off x="1241442" y="28193"/>
          <a:ext cx="689260" cy="27570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320302</a:t>
          </a:r>
        </a:p>
      </dsp:txBody>
      <dsp:txXfrm>
        <a:off x="1379294" y="28193"/>
        <a:ext cx="413556" cy="275704"/>
      </dsp:txXfrm>
    </dsp:sp>
    <dsp:sp modelId="{5CA4166A-DEF4-4160-9B25-C26A1B076B08}">
      <dsp:nvSpPr>
        <dsp:cNvPr id="0" name=""/>
        <dsp:cNvSpPr/>
      </dsp:nvSpPr>
      <dsp:spPr>
        <a:xfrm>
          <a:off x="1861776" y="28193"/>
          <a:ext cx="689260" cy="27570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320401</a:t>
          </a:r>
        </a:p>
      </dsp:txBody>
      <dsp:txXfrm>
        <a:off x="1999628" y="28193"/>
        <a:ext cx="413556" cy="275704"/>
      </dsp:txXfrm>
    </dsp:sp>
    <dsp:sp modelId="{EA67D822-099B-4586-8EEA-708296281414}">
      <dsp:nvSpPr>
        <dsp:cNvPr id="0" name=""/>
        <dsp:cNvSpPr/>
      </dsp:nvSpPr>
      <dsp:spPr>
        <a:xfrm>
          <a:off x="2482110" y="28193"/>
          <a:ext cx="689260" cy="27570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320501</a:t>
          </a:r>
        </a:p>
      </dsp:txBody>
      <dsp:txXfrm>
        <a:off x="2619962" y="28193"/>
        <a:ext cx="413556" cy="275704"/>
      </dsp:txXfrm>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951" y="15784"/>
          <a:ext cx="846552" cy="33862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320203</a:t>
          </a:r>
        </a:p>
      </dsp:txBody>
      <dsp:txXfrm>
        <a:off x="170262" y="15784"/>
        <a:ext cx="507931" cy="338621"/>
      </dsp:txXfrm>
    </dsp:sp>
    <dsp:sp modelId="{2A250F37-BD2B-4D24-8BC5-A8327FA2BBC6}">
      <dsp:nvSpPr>
        <dsp:cNvPr id="0" name=""/>
        <dsp:cNvSpPr/>
      </dsp:nvSpPr>
      <dsp:spPr>
        <a:xfrm>
          <a:off x="762848" y="15784"/>
          <a:ext cx="846552" cy="33862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320301</a:t>
          </a:r>
        </a:p>
      </dsp:txBody>
      <dsp:txXfrm>
        <a:off x="932159" y="15784"/>
        <a:ext cx="507931" cy="338621"/>
      </dsp:txXfrm>
    </dsp:sp>
    <dsp:sp modelId="{3A4EF9E9-D1CC-4DB1-9C2A-DBA65A75B745}">
      <dsp:nvSpPr>
        <dsp:cNvPr id="0" name=""/>
        <dsp:cNvSpPr/>
      </dsp:nvSpPr>
      <dsp:spPr>
        <a:xfrm>
          <a:off x="1524746" y="15784"/>
          <a:ext cx="846552" cy="33862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320302</a:t>
          </a:r>
        </a:p>
      </dsp:txBody>
      <dsp:txXfrm>
        <a:off x="1694057" y="15784"/>
        <a:ext cx="507931" cy="338621"/>
      </dsp:txXfrm>
    </dsp:sp>
    <dsp:sp modelId="{5CA4166A-DEF4-4160-9B25-C26A1B076B08}">
      <dsp:nvSpPr>
        <dsp:cNvPr id="0" name=""/>
        <dsp:cNvSpPr/>
      </dsp:nvSpPr>
      <dsp:spPr>
        <a:xfrm>
          <a:off x="2286643" y="15784"/>
          <a:ext cx="846552" cy="33862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320401</a:t>
          </a:r>
        </a:p>
      </dsp:txBody>
      <dsp:txXfrm>
        <a:off x="2455954" y="15784"/>
        <a:ext cx="507931" cy="338621"/>
      </dsp:txXfrm>
    </dsp:sp>
    <dsp:sp modelId="{EA67D822-099B-4586-8EEA-708296281414}">
      <dsp:nvSpPr>
        <dsp:cNvPr id="0" name=""/>
        <dsp:cNvSpPr/>
      </dsp:nvSpPr>
      <dsp:spPr>
        <a:xfrm>
          <a:off x="3048541" y="15784"/>
          <a:ext cx="846552" cy="33862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320501</a:t>
          </a:r>
        </a:p>
      </dsp:txBody>
      <dsp:txXfrm>
        <a:off x="3217852" y="15784"/>
        <a:ext cx="507931" cy="338621"/>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956" y="0"/>
          <a:ext cx="851413" cy="25021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320502</a:t>
          </a:r>
        </a:p>
      </dsp:txBody>
      <dsp:txXfrm>
        <a:off x="126066" y="0"/>
        <a:ext cx="601194" cy="250219"/>
      </dsp:txXfrm>
    </dsp:sp>
    <dsp:sp modelId="{2A250F37-BD2B-4D24-8BC5-A8327FA2BBC6}">
      <dsp:nvSpPr>
        <dsp:cNvPr id="0" name=""/>
        <dsp:cNvSpPr/>
      </dsp:nvSpPr>
      <dsp:spPr>
        <a:xfrm>
          <a:off x="767228" y="0"/>
          <a:ext cx="851413" cy="25021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320503</a:t>
          </a:r>
        </a:p>
      </dsp:txBody>
      <dsp:txXfrm>
        <a:off x="892338" y="0"/>
        <a:ext cx="601194" cy="250219"/>
      </dsp:txXfrm>
    </dsp:sp>
    <dsp:sp modelId="{3A4EF9E9-D1CC-4DB1-9C2A-DBA65A75B745}">
      <dsp:nvSpPr>
        <dsp:cNvPr id="0" name=""/>
        <dsp:cNvSpPr/>
      </dsp:nvSpPr>
      <dsp:spPr>
        <a:xfrm>
          <a:off x="1533500" y="0"/>
          <a:ext cx="851413" cy="25021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320601</a:t>
          </a:r>
        </a:p>
      </dsp:txBody>
      <dsp:txXfrm>
        <a:off x="1658610" y="0"/>
        <a:ext cx="601194" cy="250219"/>
      </dsp:txXfrm>
    </dsp:sp>
    <dsp:sp modelId="{5CA4166A-DEF4-4160-9B25-C26A1B076B08}">
      <dsp:nvSpPr>
        <dsp:cNvPr id="0" name=""/>
        <dsp:cNvSpPr/>
      </dsp:nvSpPr>
      <dsp:spPr>
        <a:xfrm>
          <a:off x="2299772" y="0"/>
          <a:ext cx="851413" cy="25021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320801</a:t>
          </a:r>
        </a:p>
      </dsp:txBody>
      <dsp:txXfrm>
        <a:off x="2424882" y="0"/>
        <a:ext cx="601194" cy="250219"/>
      </dsp:txXfrm>
    </dsp:sp>
    <dsp:sp modelId="{7021A1DD-66A0-409A-92DE-0FCCADEF3D39}">
      <dsp:nvSpPr>
        <dsp:cNvPr id="0" name=""/>
        <dsp:cNvSpPr/>
      </dsp:nvSpPr>
      <dsp:spPr>
        <a:xfrm>
          <a:off x="3066044" y="0"/>
          <a:ext cx="851413" cy="25021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329901</a:t>
          </a:r>
        </a:p>
      </dsp:txBody>
      <dsp:txXfrm>
        <a:off x="3191154" y="0"/>
        <a:ext cx="601194" cy="250219"/>
      </dsp:txXfrm>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959" y="0"/>
          <a:ext cx="854308"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320101</a:t>
          </a:r>
        </a:p>
      </dsp:txBody>
      <dsp:txXfrm>
        <a:off x="109828" y="0"/>
        <a:ext cx="636571" cy="217737"/>
      </dsp:txXfrm>
    </dsp:sp>
    <dsp:sp modelId="{2A250F37-BD2B-4D24-8BC5-A8327FA2BBC6}">
      <dsp:nvSpPr>
        <dsp:cNvPr id="0" name=""/>
        <dsp:cNvSpPr/>
      </dsp:nvSpPr>
      <dsp:spPr>
        <a:xfrm>
          <a:off x="769837" y="0"/>
          <a:ext cx="854308"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320102</a:t>
          </a:r>
        </a:p>
      </dsp:txBody>
      <dsp:txXfrm>
        <a:off x="878706" y="0"/>
        <a:ext cx="636571" cy="217737"/>
      </dsp:txXfrm>
    </dsp:sp>
    <dsp:sp modelId="{3A4EF9E9-D1CC-4DB1-9C2A-DBA65A75B745}">
      <dsp:nvSpPr>
        <dsp:cNvPr id="0" name=""/>
        <dsp:cNvSpPr/>
      </dsp:nvSpPr>
      <dsp:spPr>
        <a:xfrm>
          <a:off x="1538715" y="0"/>
          <a:ext cx="854308"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320103</a:t>
          </a:r>
        </a:p>
      </dsp:txBody>
      <dsp:txXfrm>
        <a:off x="1647584" y="0"/>
        <a:ext cx="636571" cy="217737"/>
      </dsp:txXfrm>
    </dsp:sp>
    <dsp:sp modelId="{5CA4166A-DEF4-4160-9B25-C26A1B076B08}">
      <dsp:nvSpPr>
        <dsp:cNvPr id="0" name=""/>
        <dsp:cNvSpPr/>
      </dsp:nvSpPr>
      <dsp:spPr>
        <a:xfrm>
          <a:off x="2307592" y="0"/>
          <a:ext cx="854308"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320201</a:t>
          </a:r>
        </a:p>
      </dsp:txBody>
      <dsp:txXfrm>
        <a:off x="2416461" y="0"/>
        <a:ext cx="636571" cy="217737"/>
      </dsp:txXfrm>
    </dsp:sp>
    <dsp:sp modelId="{EA67D822-099B-4586-8EEA-708296281414}">
      <dsp:nvSpPr>
        <dsp:cNvPr id="0" name=""/>
        <dsp:cNvSpPr/>
      </dsp:nvSpPr>
      <dsp:spPr>
        <a:xfrm>
          <a:off x="3076470" y="0"/>
          <a:ext cx="854308"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320202</a:t>
          </a:r>
        </a:p>
      </dsp:txBody>
      <dsp:txXfrm>
        <a:off x="3185339" y="0"/>
        <a:ext cx="636571" cy="217737"/>
      </dsp:txXfrm>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95" y="0"/>
          <a:ext cx="796881" cy="2463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320203</a:t>
          </a:r>
        </a:p>
      </dsp:txBody>
      <dsp:txXfrm>
        <a:off x="124078" y="0"/>
        <a:ext cx="550515" cy="246366"/>
      </dsp:txXfrm>
    </dsp:sp>
    <dsp:sp modelId="{2A250F37-BD2B-4D24-8BC5-A8327FA2BBC6}">
      <dsp:nvSpPr>
        <dsp:cNvPr id="0" name=""/>
        <dsp:cNvSpPr/>
      </dsp:nvSpPr>
      <dsp:spPr>
        <a:xfrm>
          <a:off x="718088" y="0"/>
          <a:ext cx="796881" cy="2463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320301</a:t>
          </a:r>
        </a:p>
      </dsp:txBody>
      <dsp:txXfrm>
        <a:off x="841271" y="0"/>
        <a:ext cx="550515" cy="246366"/>
      </dsp:txXfrm>
    </dsp:sp>
    <dsp:sp modelId="{3A4EF9E9-D1CC-4DB1-9C2A-DBA65A75B745}">
      <dsp:nvSpPr>
        <dsp:cNvPr id="0" name=""/>
        <dsp:cNvSpPr/>
      </dsp:nvSpPr>
      <dsp:spPr>
        <a:xfrm>
          <a:off x="1435281" y="0"/>
          <a:ext cx="796881" cy="2463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320302</a:t>
          </a:r>
        </a:p>
      </dsp:txBody>
      <dsp:txXfrm>
        <a:off x="1558464" y="0"/>
        <a:ext cx="550515" cy="246366"/>
      </dsp:txXfrm>
    </dsp:sp>
    <dsp:sp modelId="{5CA4166A-DEF4-4160-9B25-C26A1B076B08}">
      <dsp:nvSpPr>
        <dsp:cNvPr id="0" name=""/>
        <dsp:cNvSpPr/>
      </dsp:nvSpPr>
      <dsp:spPr>
        <a:xfrm>
          <a:off x="2152475" y="0"/>
          <a:ext cx="796881" cy="2463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320401</a:t>
          </a:r>
        </a:p>
      </dsp:txBody>
      <dsp:txXfrm>
        <a:off x="2275658" y="0"/>
        <a:ext cx="550515" cy="246366"/>
      </dsp:txXfrm>
    </dsp:sp>
    <dsp:sp modelId="{EA67D822-099B-4586-8EEA-708296281414}">
      <dsp:nvSpPr>
        <dsp:cNvPr id="0" name=""/>
        <dsp:cNvSpPr/>
      </dsp:nvSpPr>
      <dsp:spPr>
        <a:xfrm>
          <a:off x="2869668" y="0"/>
          <a:ext cx="796881" cy="2463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320501</a:t>
          </a:r>
        </a:p>
      </dsp:txBody>
      <dsp:txXfrm>
        <a:off x="2992851" y="0"/>
        <a:ext cx="550515" cy="246366"/>
      </dsp:txXfrm>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900" y="0"/>
          <a:ext cx="801742" cy="22164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320502</a:t>
          </a:r>
        </a:p>
      </dsp:txBody>
      <dsp:txXfrm>
        <a:off x="111722" y="0"/>
        <a:ext cx="580098" cy="221644"/>
      </dsp:txXfrm>
    </dsp:sp>
    <dsp:sp modelId="{2A250F37-BD2B-4D24-8BC5-A8327FA2BBC6}">
      <dsp:nvSpPr>
        <dsp:cNvPr id="0" name=""/>
        <dsp:cNvSpPr/>
      </dsp:nvSpPr>
      <dsp:spPr>
        <a:xfrm>
          <a:off x="722468" y="0"/>
          <a:ext cx="801742" cy="22164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320503</a:t>
          </a:r>
        </a:p>
      </dsp:txBody>
      <dsp:txXfrm>
        <a:off x="833290" y="0"/>
        <a:ext cx="580098" cy="221644"/>
      </dsp:txXfrm>
    </dsp:sp>
    <dsp:sp modelId="{3A4EF9E9-D1CC-4DB1-9C2A-DBA65A75B745}">
      <dsp:nvSpPr>
        <dsp:cNvPr id="0" name=""/>
        <dsp:cNvSpPr/>
      </dsp:nvSpPr>
      <dsp:spPr>
        <a:xfrm>
          <a:off x="1444036" y="0"/>
          <a:ext cx="801742" cy="22164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320601</a:t>
          </a:r>
        </a:p>
      </dsp:txBody>
      <dsp:txXfrm>
        <a:off x="1554858" y="0"/>
        <a:ext cx="580098" cy="221644"/>
      </dsp:txXfrm>
    </dsp:sp>
    <dsp:sp modelId="{5CA4166A-DEF4-4160-9B25-C26A1B076B08}">
      <dsp:nvSpPr>
        <dsp:cNvPr id="0" name=""/>
        <dsp:cNvSpPr/>
      </dsp:nvSpPr>
      <dsp:spPr>
        <a:xfrm>
          <a:off x="2165604" y="0"/>
          <a:ext cx="801742" cy="22164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320801</a:t>
          </a:r>
        </a:p>
      </dsp:txBody>
      <dsp:txXfrm>
        <a:off x="2276426" y="0"/>
        <a:ext cx="580098" cy="221644"/>
      </dsp:txXfrm>
    </dsp:sp>
    <dsp:sp modelId="{7021A1DD-66A0-409A-92DE-0FCCADEF3D39}">
      <dsp:nvSpPr>
        <dsp:cNvPr id="0" name=""/>
        <dsp:cNvSpPr/>
      </dsp:nvSpPr>
      <dsp:spPr>
        <a:xfrm>
          <a:off x="2887172" y="0"/>
          <a:ext cx="801742" cy="22164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329901</a:t>
          </a:r>
        </a:p>
      </dsp:txBody>
      <dsp:txXfrm>
        <a:off x="2997994" y="0"/>
        <a:ext cx="580098" cy="221644"/>
      </dsp:txXfrm>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904" y="0"/>
          <a:ext cx="804637"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320101</a:t>
          </a:r>
        </a:p>
      </dsp:txBody>
      <dsp:txXfrm>
        <a:off x="109773" y="0"/>
        <a:ext cx="586900" cy="217737"/>
      </dsp:txXfrm>
    </dsp:sp>
    <dsp:sp modelId="{2A250F37-BD2B-4D24-8BC5-A8327FA2BBC6}">
      <dsp:nvSpPr>
        <dsp:cNvPr id="0" name=""/>
        <dsp:cNvSpPr/>
      </dsp:nvSpPr>
      <dsp:spPr>
        <a:xfrm>
          <a:off x="725077" y="0"/>
          <a:ext cx="804637"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320102</a:t>
          </a:r>
        </a:p>
      </dsp:txBody>
      <dsp:txXfrm>
        <a:off x="833946" y="0"/>
        <a:ext cx="586900" cy="217737"/>
      </dsp:txXfrm>
    </dsp:sp>
    <dsp:sp modelId="{3A4EF9E9-D1CC-4DB1-9C2A-DBA65A75B745}">
      <dsp:nvSpPr>
        <dsp:cNvPr id="0" name=""/>
        <dsp:cNvSpPr/>
      </dsp:nvSpPr>
      <dsp:spPr>
        <a:xfrm>
          <a:off x="1449250" y="0"/>
          <a:ext cx="804637"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320103</a:t>
          </a:r>
        </a:p>
      </dsp:txBody>
      <dsp:txXfrm>
        <a:off x="1558119" y="0"/>
        <a:ext cx="586900" cy="217737"/>
      </dsp:txXfrm>
    </dsp:sp>
    <dsp:sp modelId="{5CA4166A-DEF4-4160-9B25-C26A1B076B08}">
      <dsp:nvSpPr>
        <dsp:cNvPr id="0" name=""/>
        <dsp:cNvSpPr/>
      </dsp:nvSpPr>
      <dsp:spPr>
        <a:xfrm>
          <a:off x="2173424" y="0"/>
          <a:ext cx="804637"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320201</a:t>
          </a:r>
        </a:p>
      </dsp:txBody>
      <dsp:txXfrm>
        <a:off x="2282293" y="0"/>
        <a:ext cx="586900" cy="217737"/>
      </dsp:txXfrm>
    </dsp:sp>
    <dsp:sp modelId="{EA67D822-099B-4586-8EEA-708296281414}">
      <dsp:nvSpPr>
        <dsp:cNvPr id="0" name=""/>
        <dsp:cNvSpPr/>
      </dsp:nvSpPr>
      <dsp:spPr>
        <a:xfrm>
          <a:off x="2897597" y="0"/>
          <a:ext cx="804637"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320202</a:t>
          </a:r>
        </a:p>
      </dsp:txBody>
      <dsp:txXfrm>
        <a:off x="3006466" y="0"/>
        <a:ext cx="586900" cy="217737"/>
      </dsp:txXfrm>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909" y="52466"/>
          <a:ext cx="809229" cy="32369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320203</a:t>
          </a:r>
        </a:p>
      </dsp:txBody>
      <dsp:txXfrm>
        <a:off x="162755" y="52466"/>
        <a:ext cx="485538" cy="323691"/>
      </dsp:txXfrm>
    </dsp:sp>
    <dsp:sp modelId="{2A250F37-BD2B-4D24-8BC5-A8327FA2BBC6}">
      <dsp:nvSpPr>
        <dsp:cNvPr id="0" name=""/>
        <dsp:cNvSpPr/>
      </dsp:nvSpPr>
      <dsp:spPr>
        <a:xfrm>
          <a:off x="729215" y="52466"/>
          <a:ext cx="809229" cy="32369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320301</a:t>
          </a:r>
        </a:p>
      </dsp:txBody>
      <dsp:txXfrm>
        <a:off x="891061" y="52466"/>
        <a:ext cx="485538" cy="323691"/>
      </dsp:txXfrm>
    </dsp:sp>
    <dsp:sp modelId="{3A4EF9E9-D1CC-4DB1-9C2A-DBA65A75B745}">
      <dsp:nvSpPr>
        <dsp:cNvPr id="0" name=""/>
        <dsp:cNvSpPr/>
      </dsp:nvSpPr>
      <dsp:spPr>
        <a:xfrm>
          <a:off x="1457522" y="52466"/>
          <a:ext cx="809229" cy="32369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320302</a:t>
          </a:r>
        </a:p>
      </dsp:txBody>
      <dsp:txXfrm>
        <a:off x="1619368" y="52466"/>
        <a:ext cx="485538" cy="323691"/>
      </dsp:txXfrm>
    </dsp:sp>
    <dsp:sp modelId="{5CA4166A-DEF4-4160-9B25-C26A1B076B08}">
      <dsp:nvSpPr>
        <dsp:cNvPr id="0" name=""/>
        <dsp:cNvSpPr/>
      </dsp:nvSpPr>
      <dsp:spPr>
        <a:xfrm>
          <a:off x="2185828" y="52466"/>
          <a:ext cx="809229" cy="32369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320401</a:t>
          </a:r>
        </a:p>
      </dsp:txBody>
      <dsp:txXfrm>
        <a:off x="2347674" y="52466"/>
        <a:ext cx="485538" cy="323691"/>
      </dsp:txXfrm>
    </dsp:sp>
    <dsp:sp modelId="{EA67D822-099B-4586-8EEA-708296281414}">
      <dsp:nvSpPr>
        <dsp:cNvPr id="0" name=""/>
        <dsp:cNvSpPr/>
      </dsp:nvSpPr>
      <dsp:spPr>
        <a:xfrm>
          <a:off x="2914135" y="52466"/>
          <a:ext cx="809229" cy="32369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320501</a:t>
          </a:r>
        </a:p>
      </dsp:txBody>
      <dsp:txXfrm>
        <a:off x="3075981" y="52466"/>
        <a:ext cx="485538" cy="323691"/>
      </dsp:txXfrm>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923" y="0"/>
          <a:ext cx="821647" cy="31432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320502</a:t>
          </a:r>
        </a:p>
      </dsp:txBody>
      <dsp:txXfrm>
        <a:off x="158086" y="0"/>
        <a:ext cx="507321" cy="314326"/>
      </dsp:txXfrm>
    </dsp:sp>
    <dsp:sp modelId="{2A250F37-BD2B-4D24-8BC5-A8327FA2BBC6}">
      <dsp:nvSpPr>
        <dsp:cNvPr id="0" name=""/>
        <dsp:cNvSpPr/>
      </dsp:nvSpPr>
      <dsp:spPr>
        <a:xfrm>
          <a:off x="740406" y="0"/>
          <a:ext cx="821647" cy="31432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320503</a:t>
          </a:r>
        </a:p>
      </dsp:txBody>
      <dsp:txXfrm>
        <a:off x="897569" y="0"/>
        <a:ext cx="507321" cy="314326"/>
      </dsp:txXfrm>
    </dsp:sp>
    <dsp:sp modelId="{3A4EF9E9-D1CC-4DB1-9C2A-DBA65A75B745}">
      <dsp:nvSpPr>
        <dsp:cNvPr id="0" name=""/>
        <dsp:cNvSpPr/>
      </dsp:nvSpPr>
      <dsp:spPr>
        <a:xfrm>
          <a:off x="1479889" y="0"/>
          <a:ext cx="821647" cy="31432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320601</a:t>
          </a:r>
        </a:p>
      </dsp:txBody>
      <dsp:txXfrm>
        <a:off x="1637052" y="0"/>
        <a:ext cx="507321" cy="314326"/>
      </dsp:txXfrm>
    </dsp:sp>
    <dsp:sp modelId="{5CA4166A-DEF4-4160-9B25-C26A1B076B08}">
      <dsp:nvSpPr>
        <dsp:cNvPr id="0" name=""/>
        <dsp:cNvSpPr/>
      </dsp:nvSpPr>
      <dsp:spPr>
        <a:xfrm>
          <a:off x="2219372" y="0"/>
          <a:ext cx="821647" cy="31432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320801</a:t>
          </a:r>
        </a:p>
      </dsp:txBody>
      <dsp:txXfrm>
        <a:off x="2376535" y="0"/>
        <a:ext cx="507321" cy="314326"/>
      </dsp:txXfrm>
    </dsp:sp>
    <dsp:sp modelId="{7021A1DD-66A0-409A-92DE-0FCCADEF3D39}">
      <dsp:nvSpPr>
        <dsp:cNvPr id="0" name=""/>
        <dsp:cNvSpPr/>
      </dsp:nvSpPr>
      <dsp:spPr>
        <a:xfrm>
          <a:off x="2958855" y="0"/>
          <a:ext cx="821647" cy="31432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329901</a:t>
          </a:r>
          <a:endParaRPr lang="es-CO" sz="800" b="1" kern="1200"/>
        </a:p>
      </dsp:txBody>
      <dsp:txXfrm>
        <a:off x="3116018" y="0"/>
        <a:ext cx="507321" cy="314326"/>
      </dsp:txXfrm>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905" y="5461"/>
          <a:ext cx="806125" cy="32245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320101</a:t>
          </a:r>
        </a:p>
      </dsp:txBody>
      <dsp:txXfrm>
        <a:off x="162130" y="5461"/>
        <a:ext cx="483675" cy="322450"/>
      </dsp:txXfrm>
    </dsp:sp>
    <dsp:sp modelId="{2A250F37-BD2B-4D24-8BC5-A8327FA2BBC6}">
      <dsp:nvSpPr>
        <dsp:cNvPr id="0" name=""/>
        <dsp:cNvSpPr/>
      </dsp:nvSpPr>
      <dsp:spPr>
        <a:xfrm>
          <a:off x="726418" y="5461"/>
          <a:ext cx="806125" cy="32245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320102</a:t>
          </a:r>
        </a:p>
      </dsp:txBody>
      <dsp:txXfrm>
        <a:off x="887643" y="5461"/>
        <a:ext cx="483675" cy="322450"/>
      </dsp:txXfrm>
    </dsp:sp>
    <dsp:sp modelId="{3A4EF9E9-D1CC-4DB1-9C2A-DBA65A75B745}">
      <dsp:nvSpPr>
        <dsp:cNvPr id="0" name=""/>
        <dsp:cNvSpPr/>
      </dsp:nvSpPr>
      <dsp:spPr>
        <a:xfrm>
          <a:off x="1451931" y="5461"/>
          <a:ext cx="806125" cy="32245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320103</a:t>
          </a:r>
        </a:p>
      </dsp:txBody>
      <dsp:txXfrm>
        <a:off x="1613156" y="5461"/>
        <a:ext cx="483675" cy="322450"/>
      </dsp:txXfrm>
    </dsp:sp>
    <dsp:sp modelId="{5CA4166A-DEF4-4160-9B25-C26A1B076B08}">
      <dsp:nvSpPr>
        <dsp:cNvPr id="0" name=""/>
        <dsp:cNvSpPr/>
      </dsp:nvSpPr>
      <dsp:spPr>
        <a:xfrm>
          <a:off x="2177444" y="5461"/>
          <a:ext cx="806125" cy="32245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320201</a:t>
          </a:r>
        </a:p>
      </dsp:txBody>
      <dsp:txXfrm>
        <a:off x="2338669" y="5461"/>
        <a:ext cx="483675" cy="322450"/>
      </dsp:txXfrm>
    </dsp:sp>
    <dsp:sp modelId="{EA67D822-099B-4586-8EEA-708296281414}">
      <dsp:nvSpPr>
        <dsp:cNvPr id="0" name=""/>
        <dsp:cNvSpPr/>
      </dsp:nvSpPr>
      <dsp:spPr>
        <a:xfrm>
          <a:off x="2902956" y="5461"/>
          <a:ext cx="806125" cy="32245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320202</a:t>
          </a:r>
        </a:p>
      </dsp:txBody>
      <dsp:txXfrm>
        <a:off x="3064181" y="5461"/>
        <a:ext cx="483675" cy="322450"/>
      </dsp:txXfrm>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77" y="37805"/>
          <a:ext cx="692035" cy="27681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320203</a:t>
          </a:r>
        </a:p>
      </dsp:txBody>
      <dsp:txXfrm>
        <a:off x="139184" y="37805"/>
        <a:ext cx="415221" cy="276814"/>
      </dsp:txXfrm>
    </dsp:sp>
    <dsp:sp modelId="{2A250F37-BD2B-4D24-8BC5-A8327FA2BBC6}">
      <dsp:nvSpPr>
        <dsp:cNvPr id="0" name=""/>
        <dsp:cNvSpPr/>
      </dsp:nvSpPr>
      <dsp:spPr>
        <a:xfrm>
          <a:off x="623609" y="37805"/>
          <a:ext cx="692035" cy="27681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320301</a:t>
          </a:r>
        </a:p>
      </dsp:txBody>
      <dsp:txXfrm>
        <a:off x="762016" y="37805"/>
        <a:ext cx="415221" cy="276814"/>
      </dsp:txXfrm>
    </dsp:sp>
    <dsp:sp modelId="{3A4EF9E9-D1CC-4DB1-9C2A-DBA65A75B745}">
      <dsp:nvSpPr>
        <dsp:cNvPr id="0" name=""/>
        <dsp:cNvSpPr/>
      </dsp:nvSpPr>
      <dsp:spPr>
        <a:xfrm>
          <a:off x="1246442" y="37805"/>
          <a:ext cx="692035" cy="27681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320302</a:t>
          </a:r>
        </a:p>
      </dsp:txBody>
      <dsp:txXfrm>
        <a:off x="1384849" y="37805"/>
        <a:ext cx="415221" cy="276814"/>
      </dsp:txXfrm>
    </dsp:sp>
    <dsp:sp modelId="{5CA4166A-DEF4-4160-9B25-C26A1B076B08}">
      <dsp:nvSpPr>
        <dsp:cNvPr id="0" name=""/>
        <dsp:cNvSpPr/>
      </dsp:nvSpPr>
      <dsp:spPr>
        <a:xfrm>
          <a:off x="1869274" y="37805"/>
          <a:ext cx="692035" cy="27681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320401</a:t>
          </a:r>
        </a:p>
      </dsp:txBody>
      <dsp:txXfrm>
        <a:off x="2007681" y="37805"/>
        <a:ext cx="415221" cy="276814"/>
      </dsp:txXfrm>
    </dsp:sp>
    <dsp:sp modelId="{EA67D822-099B-4586-8EEA-708296281414}">
      <dsp:nvSpPr>
        <dsp:cNvPr id="0" name=""/>
        <dsp:cNvSpPr/>
      </dsp:nvSpPr>
      <dsp:spPr>
        <a:xfrm>
          <a:off x="2492106" y="37805"/>
          <a:ext cx="692035" cy="27681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320501</a:t>
          </a:r>
        </a:p>
      </dsp:txBody>
      <dsp:txXfrm>
        <a:off x="2630513" y="37805"/>
        <a:ext cx="415221" cy="27681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79" y="8813"/>
          <a:ext cx="694120" cy="27764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320502</a:t>
          </a:r>
        </a:p>
      </dsp:txBody>
      <dsp:txXfrm>
        <a:off x="139603" y="8813"/>
        <a:ext cx="416472" cy="277648"/>
      </dsp:txXfrm>
    </dsp:sp>
    <dsp:sp modelId="{2A250F37-BD2B-4D24-8BC5-A8327FA2BBC6}">
      <dsp:nvSpPr>
        <dsp:cNvPr id="0" name=""/>
        <dsp:cNvSpPr/>
      </dsp:nvSpPr>
      <dsp:spPr>
        <a:xfrm>
          <a:off x="625488" y="8813"/>
          <a:ext cx="694120" cy="27764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320503</a:t>
          </a:r>
        </a:p>
      </dsp:txBody>
      <dsp:txXfrm>
        <a:off x="764312" y="8813"/>
        <a:ext cx="416472" cy="277648"/>
      </dsp:txXfrm>
    </dsp:sp>
    <dsp:sp modelId="{3A4EF9E9-D1CC-4DB1-9C2A-DBA65A75B745}">
      <dsp:nvSpPr>
        <dsp:cNvPr id="0" name=""/>
        <dsp:cNvSpPr/>
      </dsp:nvSpPr>
      <dsp:spPr>
        <a:xfrm>
          <a:off x="1250197" y="8813"/>
          <a:ext cx="694120" cy="27764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320601</a:t>
          </a:r>
        </a:p>
      </dsp:txBody>
      <dsp:txXfrm>
        <a:off x="1389021" y="8813"/>
        <a:ext cx="416472" cy="277648"/>
      </dsp:txXfrm>
    </dsp:sp>
    <dsp:sp modelId="{5CA4166A-DEF4-4160-9B25-C26A1B076B08}">
      <dsp:nvSpPr>
        <dsp:cNvPr id="0" name=""/>
        <dsp:cNvSpPr/>
      </dsp:nvSpPr>
      <dsp:spPr>
        <a:xfrm>
          <a:off x="1874905" y="8813"/>
          <a:ext cx="694120" cy="27764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320801</a:t>
          </a:r>
        </a:p>
      </dsp:txBody>
      <dsp:txXfrm>
        <a:off x="2013729" y="8813"/>
        <a:ext cx="416472" cy="277648"/>
      </dsp:txXfrm>
    </dsp:sp>
    <dsp:sp modelId="{7021A1DD-66A0-409A-92DE-0FCCADEF3D39}">
      <dsp:nvSpPr>
        <dsp:cNvPr id="0" name=""/>
        <dsp:cNvSpPr/>
      </dsp:nvSpPr>
      <dsp:spPr>
        <a:xfrm>
          <a:off x="2499614" y="8813"/>
          <a:ext cx="694120" cy="27764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329901</a:t>
          </a:r>
        </a:p>
      </dsp:txBody>
      <dsp:txXfrm>
        <a:off x="2638438" y="8813"/>
        <a:ext cx="416472" cy="277648"/>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67" y="68191"/>
          <a:ext cx="682981" cy="273192"/>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320502</a:t>
          </a:r>
        </a:p>
      </dsp:txBody>
      <dsp:txXfrm>
        <a:off x="137363" y="68191"/>
        <a:ext cx="409789" cy="273192"/>
      </dsp:txXfrm>
    </dsp:sp>
    <dsp:sp modelId="{2A250F37-BD2B-4D24-8BC5-A8327FA2BBC6}">
      <dsp:nvSpPr>
        <dsp:cNvPr id="0" name=""/>
        <dsp:cNvSpPr/>
      </dsp:nvSpPr>
      <dsp:spPr>
        <a:xfrm>
          <a:off x="615450" y="68191"/>
          <a:ext cx="682981" cy="273192"/>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320503</a:t>
          </a:r>
        </a:p>
      </dsp:txBody>
      <dsp:txXfrm>
        <a:off x="752046" y="68191"/>
        <a:ext cx="409789" cy="273192"/>
      </dsp:txXfrm>
    </dsp:sp>
    <dsp:sp modelId="{3A4EF9E9-D1CC-4DB1-9C2A-DBA65A75B745}">
      <dsp:nvSpPr>
        <dsp:cNvPr id="0" name=""/>
        <dsp:cNvSpPr/>
      </dsp:nvSpPr>
      <dsp:spPr>
        <a:xfrm>
          <a:off x="1230134" y="68191"/>
          <a:ext cx="682981" cy="273192"/>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320601</a:t>
          </a:r>
        </a:p>
      </dsp:txBody>
      <dsp:txXfrm>
        <a:off x="1366730" y="68191"/>
        <a:ext cx="409789" cy="273192"/>
      </dsp:txXfrm>
    </dsp:sp>
    <dsp:sp modelId="{5CA4166A-DEF4-4160-9B25-C26A1B076B08}">
      <dsp:nvSpPr>
        <dsp:cNvPr id="0" name=""/>
        <dsp:cNvSpPr/>
      </dsp:nvSpPr>
      <dsp:spPr>
        <a:xfrm>
          <a:off x="1844817" y="68191"/>
          <a:ext cx="682981" cy="273192"/>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320801</a:t>
          </a:r>
        </a:p>
      </dsp:txBody>
      <dsp:txXfrm>
        <a:off x="1981413" y="68191"/>
        <a:ext cx="409789" cy="273192"/>
      </dsp:txXfrm>
    </dsp:sp>
    <dsp:sp modelId="{7021A1DD-66A0-409A-92DE-0FCCADEF3D39}">
      <dsp:nvSpPr>
        <dsp:cNvPr id="0" name=""/>
        <dsp:cNvSpPr/>
      </dsp:nvSpPr>
      <dsp:spPr>
        <a:xfrm>
          <a:off x="2459501" y="68191"/>
          <a:ext cx="682981" cy="273192"/>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329901</a:t>
          </a:r>
          <a:endParaRPr lang="es-CO" sz="800" b="1" kern="1200"/>
        </a:p>
      </dsp:txBody>
      <dsp:txXfrm>
        <a:off x="2596097" y="68191"/>
        <a:ext cx="409789" cy="273192"/>
      </dsp:txXfrm>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76" y="28503"/>
          <a:ext cx="690915" cy="2763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320101</a:t>
          </a:r>
        </a:p>
      </dsp:txBody>
      <dsp:txXfrm>
        <a:off x="138959" y="28503"/>
        <a:ext cx="414549" cy="276366"/>
      </dsp:txXfrm>
    </dsp:sp>
    <dsp:sp modelId="{2A250F37-BD2B-4D24-8BC5-A8327FA2BBC6}">
      <dsp:nvSpPr>
        <dsp:cNvPr id="0" name=""/>
        <dsp:cNvSpPr/>
      </dsp:nvSpPr>
      <dsp:spPr>
        <a:xfrm>
          <a:off x="622600" y="28503"/>
          <a:ext cx="690915" cy="2763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320102</a:t>
          </a:r>
        </a:p>
      </dsp:txBody>
      <dsp:txXfrm>
        <a:off x="760783" y="28503"/>
        <a:ext cx="414549" cy="276366"/>
      </dsp:txXfrm>
    </dsp:sp>
    <dsp:sp modelId="{3A4EF9E9-D1CC-4DB1-9C2A-DBA65A75B745}">
      <dsp:nvSpPr>
        <dsp:cNvPr id="0" name=""/>
        <dsp:cNvSpPr/>
      </dsp:nvSpPr>
      <dsp:spPr>
        <a:xfrm>
          <a:off x="1244423" y="28503"/>
          <a:ext cx="690915" cy="2763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320103</a:t>
          </a:r>
        </a:p>
      </dsp:txBody>
      <dsp:txXfrm>
        <a:off x="1382606" y="28503"/>
        <a:ext cx="414549" cy="276366"/>
      </dsp:txXfrm>
    </dsp:sp>
    <dsp:sp modelId="{5CA4166A-DEF4-4160-9B25-C26A1B076B08}">
      <dsp:nvSpPr>
        <dsp:cNvPr id="0" name=""/>
        <dsp:cNvSpPr/>
      </dsp:nvSpPr>
      <dsp:spPr>
        <a:xfrm>
          <a:off x="1866247" y="28503"/>
          <a:ext cx="690915" cy="2763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320201</a:t>
          </a:r>
        </a:p>
      </dsp:txBody>
      <dsp:txXfrm>
        <a:off x="2004430" y="28503"/>
        <a:ext cx="414549" cy="276366"/>
      </dsp:txXfrm>
    </dsp:sp>
    <dsp:sp modelId="{EA67D822-099B-4586-8EEA-708296281414}">
      <dsp:nvSpPr>
        <dsp:cNvPr id="0" name=""/>
        <dsp:cNvSpPr/>
      </dsp:nvSpPr>
      <dsp:spPr>
        <a:xfrm>
          <a:off x="2488071" y="28503"/>
          <a:ext cx="690915" cy="2763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320202</a:t>
          </a:r>
        </a:p>
      </dsp:txBody>
      <dsp:txXfrm>
        <a:off x="2626254" y="28503"/>
        <a:ext cx="414549" cy="276366"/>
      </dsp:txXfrm>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02" y="66744"/>
          <a:ext cx="714025"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320203</a:t>
          </a:r>
        </a:p>
      </dsp:txBody>
      <dsp:txXfrm>
        <a:off x="143607" y="66744"/>
        <a:ext cx="428415" cy="285610"/>
      </dsp:txXfrm>
    </dsp:sp>
    <dsp:sp modelId="{2A250F37-BD2B-4D24-8BC5-A8327FA2BBC6}">
      <dsp:nvSpPr>
        <dsp:cNvPr id="0" name=""/>
        <dsp:cNvSpPr/>
      </dsp:nvSpPr>
      <dsp:spPr>
        <a:xfrm>
          <a:off x="643425" y="66744"/>
          <a:ext cx="714025"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320301</a:t>
          </a:r>
        </a:p>
      </dsp:txBody>
      <dsp:txXfrm>
        <a:off x="786230" y="66744"/>
        <a:ext cx="428415" cy="285610"/>
      </dsp:txXfrm>
    </dsp:sp>
    <dsp:sp modelId="{3A4EF9E9-D1CC-4DB1-9C2A-DBA65A75B745}">
      <dsp:nvSpPr>
        <dsp:cNvPr id="0" name=""/>
        <dsp:cNvSpPr/>
      </dsp:nvSpPr>
      <dsp:spPr>
        <a:xfrm>
          <a:off x="1286049" y="66744"/>
          <a:ext cx="714025"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320302</a:t>
          </a:r>
        </a:p>
      </dsp:txBody>
      <dsp:txXfrm>
        <a:off x="1428854" y="66744"/>
        <a:ext cx="428415" cy="285610"/>
      </dsp:txXfrm>
    </dsp:sp>
    <dsp:sp modelId="{5CA4166A-DEF4-4160-9B25-C26A1B076B08}">
      <dsp:nvSpPr>
        <dsp:cNvPr id="0" name=""/>
        <dsp:cNvSpPr/>
      </dsp:nvSpPr>
      <dsp:spPr>
        <a:xfrm>
          <a:off x="1928672" y="66744"/>
          <a:ext cx="714025"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320401</a:t>
          </a:r>
        </a:p>
      </dsp:txBody>
      <dsp:txXfrm>
        <a:off x="2071477" y="66744"/>
        <a:ext cx="428415" cy="285610"/>
      </dsp:txXfrm>
    </dsp:sp>
    <dsp:sp modelId="{EA67D822-099B-4586-8EEA-708296281414}">
      <dsp:nvSpPr>
        <dsp:cNvPr id="0" name=""/>
        <dsp:cNvSpPr/>
      </dsp:nvSpPr>
      <dsp:spPr>
        <a:xfrm>
          <a:off x="2571295" y="66744"/>
          <a:ext cx="714025"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320501</a:t>
          </a:r>
        </a:p>
      </dsp:txBody>
      <dsp:txXfrm>
        <a:off x="2714100" y="66744"/>
        <a:ext cx="428415" cy="285610"/>
      </dsp:txXfrm>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99" y="484"/>
          <a:ext cx="711956" cy="284782"/>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320502</a:t>
          </a:r>
        </a:p>
      </dsp:txBody>
      <dsp:txXfrm>
        <a:off x="143190" y="484"/>
        <a:ext cx="427174" cy="284782"/>
      </dsp:txXfrm>
    </dsp:sp>
    <dsp:sp modelId="{2A250F37-BD2B-4D24-8BC5-A8327FA2BBC6}">
      <dsp:nvSpPr>
        <dsp:cNvPr id="0" name=""/>
        <dsp:cNvSpPr/>
      </dsp:nvSpPr>
      <dsp:spPr>
        <a:xfrm>
          <a:off x="641560" y="484"/>
          <a:ext cx="711956" cy="284782"/>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320503</a:t>
          </a:r>
        </a:p>
      </dsp:txBody>
      <dsp:txXfrm>
        <a:off x="783951" y="484"/>
        <a:ext cx="427174" cy="284782"/>
      </dsp:txXfrm>
    </dsp:sp>
    <dsp:sp modelId="{3A4EF9E9-D1CC-4DB1-9C2A-DBA65A75B745}">
      <dsp:nvSpPr>
        <dsp:cNvPr id="0" name=""/>
        <dsp:cNvSpPr/>
      </dsp:nvSpPr>
      <dsp:spPr>
        <a:xfrm>
          <a:off x="1282321" y="484"/>
          <a:ext cx="711956" cy="284782"/>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320601</a:t>
          </a:r>
        </a:p>
      </dsp:txBody>
      <dsp:txXfrm>
        <a:off x="1424712" y="484"/>
        <a:ext cx="427174" cy="284782"/>
      </dsp:txXfrm>
    </dsp:sp>
    <dsp:sp modelId="{5CA4166A-DEF4-4160-9B25-C26A1B076B08}">
      <dsp:nvSpPr>
        <dsp:cNvPr id="0" name=""/>
        <dsp:cNvSpPr/>
      </dsp:nvSpPr>
      <dsp:spPr>
        <a:xfrm>
          <a:off x="1923082" y="484"/>
          <a:ext cx="711956" cy="284782"/>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320801</a:t>
          </a:r>
        </a:p>
      </dsp:txBody>
      <dsp:txXfrm>
        <a:off x="2065473" y="484"/>
        <a:ext cx="427174" cy="284782"/>
      </dsp:txXfrm>
    </dsp:sp>
    <dsp:sp modelId="{7021A1DD-66A0-409A-92DE-0FCCADEF3D39}">
      <dsp:nvSpPr>
        <dsp:cNvPr id="0" name=""/>
        <dsp:cNvSpPr/>
      </dsp:nvSpPr>
      <dsp:spPr>
        <a:xfrm>
          <a:off x="2563843" y="484"/>
          <a:ext cx="711956" cy="284782"/>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329901</a:t>
          </a:r>
          <a:endParaRPr lang="es-CO" sz="800" b="1" kern="1200"/>
        </a:p>
      </dsp:txBody>
      <dsp:txXfrm>
        <a:off x="2706234" y="484"/>
        <a:ext cx="427174" cy="284782"/>
      </dsp:txXfrm>
    </dsp:sp>
  </dsp:spTree>
</dsp:drawing>
</file>

<file path=xl/diagrams/drawing2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97" y="67675"/>
          <a:ext cx="709369" cy="28374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320101</a:t>
          </a:r>
        </a:p>
      </dsp:txBody>
      <dsp:txXfrm>
        <a:off x="142671" y="67675"/>
        <a:ext cx="425622" cy="283747"/>
      </dsp:txXfrm>
    </dsp:sp>
    <dsp:sp modelId="{2A250F37-BD2B-4D24-8BC5-A8327FA2BBC6}">
      <dsp:nvSpPr>
        <dsp:cNvPr id="0" name=""/>
        <dsp:cNvSpPr/>
      </dsp:nvSpPr>
      <dsp:spPr>
        <a:xfrm>
          <a:off x="639229" y="67675"/>
          <a:ext cx="709369" cy="28374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320102</a:t>
          </a:r>
        </a:p>
      </dsp:txBody>
      <dsp:txXfrm>
        <a:off x="781103" y="67675"/>
        <a:ext cx="425622" cy="283747"/>
      </dsp:txXfrm>
    </dsp:sp>
    <dsp:sp modelId="{3A4EF9E9-D1CC-4DB1-9C2A-DBA65A75B745}">
      <dsp:nvSpPr>
        <dsp:cNvPr id="0" name=""/>
        <dsp:cNvSpPr/>
      </dsp:nvSpPr>
      <dsp:spPr>
        <a:xfrm>
          <a:off x="1277662" y="67675"/>
          <a:ext cx="709369" cy="28374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320103</a:t>
          </a:r>
        </a:p>
      </dsp:txBody>
      <dsp:txXfrm>
        <a:off x="1419536" y="67675"/>
        <a:ext cx="425622" cy="283747"/>
      </dsp:txXfrm>
    </dsp:sp>
    <dsp:sp modelId="{5CA4166A-DEF4-4160-9B25-C26A1B076B08}">
      <dsp:nvSpPr>
        <dsp:cNvPr id="0" name=""/>
        <dsp:cNvSpPr/>
      </dsp:nvSpPr>
      <dsp:spPr>
        <a:xfrm>
          <a:off x="1916094" y="67675"/>
          <a:ext cx="709369" cy="28374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320201</a:t>
          </a:r>
        </a:p>
      </dsp:txBody>
      <dsp:txXfrm>
        <a:off x="2057968" y="67675"/>
        <a:ext cx="425622" cy="283747"/>
      </dsp:txXfrm>
    </dsp:sp>
    <dsp:sp modelId="{EA67D822-099B-4586-8EEA-708296281414}">
      <dsp:nvSpPr>
        <dsp:cNvPr id="0" name=""/>
        <dsp:cNvSpPr/>
      </dsp:nvSpPr>
      <dsp:spPr>
        <a:xfrm>
          <a:off x="2554527" y="67675"/>
          <a:ext cx="709369" cy="28374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320202</a:t>
          </a:r>
        </a:p>
      </dsp:txBody>
      <dsp:txXfrm>
        <a:off x="2696401" y="67675"/>
        <a:ext cx="425622" cy="283747"/>
      </dsp:txXfrm>
    </dsp:sp>
  </dsp:spTree>
</dsp:drawing>
</file>

<file path=xl/diagrams/drawing2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695" y="9585"/>
          <a:ext cx="618822" cy="24752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320203</a:t>
          </a:r>
        </a:p>
      </dsp:txBody>
      <dsp:txXfrm>
        <a:off x="124459" y="9585"/>
        <a:ext cx="371294" cy="247528"/>
      </dsp:txXfrm>
    </dsp:sp>
    <dsp:sp modelId="{2A250F37-BD2B-4D24-8BC5-A8327FA2BBC6}">
      <dsp:nvSpPr>
        <dsp:cNvPr id="0" name=""/>
        <dsp:cNvSpPr/>
      </dsp:nvSpPr>
      <dsp:spPr>
        <a:xfrm>
          <a:off x="557635" y="9585"/>
          <a:ext cx="618822" cy="24752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320301</a:t>
          </a:r>
        </a:p>
      </dsp:txBody>
      <dsp:txXfrm>
        <a:off x="681399" y="9585"/>
        <a:ext cx="371294" cy="247528"/>
      </dsp:txXfrm>
    </dsp:sp>
    <dsp:sp modelId="{3A4EF9E9-D1CC-4DB1-9C2A-DBA65A75B745}">
      <dsp:nvSpPr>
        <dsp:cNvPr id="0" name=""/>
        <dsp:cNvSpPr/>
      </dsp:nvSpPr>
      <dsp:spPr>
        <a:xfrm>
          <a:off x="1114575" y="9585"/>
          <a:ext cx="618822" cy="24752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320302</a:t>
          </a:r>
        </a:p>
      </dsp:txBody>
      <dsp:txXfrm>
        <a:off x="1238339" y="9585"/>
        <a:ext cx="371294" cy="247528"/>
      </dsp:txXfrm>
    </dsp:sp>
    <dsp:sp modelId="{5CA4166A-DEF4-4160-9B25-C26A1B076B08}">
      <dsp:nvSpPr>
        <dsp:cNvPr id="0" name=""/>
        <dsp:cNvSpPr/>
      </dsp:nvSpPr>
      <dsp:spPr>
        <a:xfrm>
          <a:off x="1671515" y="9585"/>
          <a:ext cx="618822" cy="24752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320401</a:t>
          </a:r>
        </a:p>
      </dsp:txBody>
      <dsp:txXfrm>
        <a:off x="1795279" y="9585"/>
        <a:ext cx="371294" cy="247528"/>
      </dsp:txXfrm>
    </dsp:sp>
    <dsp:sp modelId="{EA67D822-099B-4586-8EEA-708296281414}">
      <dsp:nvSpPr>
        <dsp:cNvPr id="0" name=""/>
        <dsp:cNvSpPr/>
      </dsp:nvSpPr>
      <dsp:spPr>
        <a:xfrm>
          <a:off x="2228456" y="9585"/>
          <a:ext cx="618822" cy="24752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320501</a:t>
          </a:r>
        </a:p>
      </dsp:txBody>
      <dsp:txXfrm>
        <a:off x="2352220" y="9585"/>
        <a:ext cx="371294" cy="247528"/>
      </dsp:txXfrm>
    </dsp:sp>
  </dsp:spTree>
</dsp:drawing>
</file>

<file path=xl/diagrams/drawing2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695" y="0"/>
          <a:ext cx="618822" cy="21907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320502</a:t>
          </a:r>
        </a:p>
      </dsp:txBody>
      <dsp:txXfrm>
        <a:off x="110233" y="0"/>
        <a:ext cx="399746" cy="219076"/>
      </dsp:txXfrm>
    </dsp:sp>
    <dsp:sp modelId="{2A250F37-BD2B-4D24-8BC5-A8327FA2BBC6}">
      <dsp:nvSpPr>
        <dsp:cNvPr id="0" name=""/>
        <dsp:cNvSpPr/>
      </dsp:nvSpPr>
      <dsp:spPr>
        <a:xfrm>
          <a:off x="557635" y="0"/>
          <a:ext cx="618822" cy="21907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320503</a:t>
          </a:r>
        </a:p>
      </dsp:txBody>
      <dsp:txXfrm>
        <a:off x="667173" y="0"/>
        <a:ext cx="399746" cy="219076"/>
      </dsp:txXfrm>
    </dsp:sp>
    <dsp:sp modelId="{3A4EF9E9-D1CC-4DB1-9C2A-DBA65A75B745}">
      <dsp:nvSpPr>
        <dsp:cNvPr id="0" name=""/>
        <dsp:cNvSpPr/>
      </dsp:nvSpPr>
      <dsp:spPr>
        <a:xfrm>
          <a:off x="1114576" y="0"/>
          <a:ext cx="618822" cy="21907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320601</a:t>
          </a:r>
        </a:p>
      </dsp:txBody>
      <dsp:txXfrm>
        <a:off x="1224114" y="0"/>
        <a:ext cx="399746" cy="219076"/>
      </dsp:txXfrm>
    </dsp:sp>
    <dsp:sp modelId="{5CA4166A-DEF4-4160-9B25-C26A1B076B08}">
      <dsp:nvSpPr>
        <dsp:cNvPr id="0" name=""/>
        <dsp:cNvSpPr/>
      </dsp:nvSpPr>
      <dsp:spPr>
        <a:xfrm>
          <a:off x="1671516" y="0"/>
          <a:ext cx="618822" cy="21907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320801</a:t>
          </a:r>
        </a:p>
      </dsp:txBody>
      <dsp:txXfrm>
        <a:off x="1781054" y="0"/>
        <a:ext cx="399746" cy="219076"/>
      </dsp:txXfrm>
    </dsp:sp>
    <dsp:sp modelId="{7021A1DD-66A0-409A-92DE-0FCCADEF3D39}">
      <dsp:nvSpPr>
        <dsp:cNvPr id="0" name=""/>
        <dsp:cNvSpPr/>
      </dsp:nvSpPr>
      <dsp:spPr>
        <a:xfrm>
          <a:off x="2228457" y="0"/>
          <a:ext cx="618822" cy="21907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329901</a:t>
          </a:r>
          <a:endParaRPr lang="es-CO" sz="800" b="1" kern="1200"/>
        </a:p>
      </dsp:txBody>
      <dsp:txXfrm>
        <a:off x="2337995" y="0"/>
        <a:ext cx="399746" cy="219076"/>
      </dsp:txXfrm>
    </dsp:sp>
  </dsp:spTree>
</dsp:drawing>
</file>

<file path=xl/diagrams/drawing2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16" y="58247"/>
          <a:ext cx="637449" cy="25497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320101</a:t>
          </a:r>
        </a:p>
      </dsp:txBody>
      <dsp:txXfrm>
        <a:off x="128206" y="58247"/>
        <a:ext cx="382470" cy="254979"/>
      </dsp:txXfrm>
    </dsp:sp>
    <dsp:sp modelId="{2A250F37-BD2B-4D24-8BC5-A8327FA2BBC6}">
      <dsp:nvSpPr>
        <dsp:cNvPr id="0" name=""/>
        <dsp:cNvSpPr/>
      </dsp:nvSpPr>
      <dsp:spPr>
        <a:xfrm>
          <a:off x="574420" y="58247"/>
          <a:ext cx="637449" cy="25497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320102</a:t>
          </a:r>
        </a:p>
      </dsp:txBody>
      <dsp:txXfrm>
        <a:off x="701910" y="58247"/>
        <a:ext cx="382470" cy="254979"/>
      </dsp:txXfrm>
    </dsp:sp>
    <dsp:sp modelId="{3A4EF9E9-D1CC-4DB1-9C2A-DBA65A75B745}">
      <dsp:nvSpPr>
        <dsp:cNvPr id="0" name=""/>
        <dsp:cNvSpPr/>
      </dsp:nvSpPr>
      <dsp:spPr>
        <a:xfrm>
          <a:off x="1148125" y="58247"/>
          <a:ext cx="637449" cy="25497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320103</a:t>
          </a:r>
        </a:p>
      </dsp:txBody>
      <dsp:txXfrm>
        <a:off x="1275615" y="58247"/>
        <a:ext cx="382470" cy="254979"/>
      </dsp:txXfrm>
    </dsp:sp>
    <dsp:sp modelId="{5CA4166A-DEF4-4160-9B25-C26A1B076B08}">
      <dsp:nvSpPr>
        <dsp:cNvPr id="0" name=""/>
        <dsp:cNvSpPr/>
      </dsp:nvSpPr>
      <dsp:spPr>
        <a:xfrm>
          <a:off x="1721829" y="58247"/>
          <a:ext cx="637449" cy="25497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320201</a:t>
          </a:r>
        </a:p>
      </dsp:txBody>
      <dsp:txXfrm>
        <a:off x="1849319" y="58247"/>
        <a:ext cx="382470" cy="254979"/>
      </dsp:txXfrm>
    </dsp:sp>
    <dsp:sp modelId="{EA67D822-099B-4586-8EEA-708296281414}">
      <dsp:nvSpPr>
        <dsp:cNvPr id="0" name=""/>
        <dsp:cNvSpPr/>
      </dsp:nvSpPr>
      <dsp:spPr>
        <a:xfrm>
          <a:off x="2295534" y="58247"/>
          <a:ext cx="637449" cy="25497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320202</a:t>
          </a:r>
        </a:p>
      </dsp:txBody>
      <dsp:txXfrm>
        <a:off x="2423024" y="58247"/>
        <a:ext cx="382470" cy="254979"/>
      </dsp:txXfrm>
    </dsp:sp>
  </dsp:spTree>
</dsp:drawing>
</file>

<file path=xl/diagrams/drawing2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88" y="21603"/>
          <a:ext cx="701608" cy="280643"/>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320203</a:t>
          </a:r>
        </a:p>
      </dsp:txBody>
      <dsp:txXfrm>
        <a:off x="141110" y="21603"/>
        <a:ext cx="420965" cy="280643"/>
      </dsp:txXfrm>
    </dsp:sp>
    <dsp:sp modelId="{2A250F37-BD2B-4D24-8BC5-A8327FA2BBC6}">
      <dsp:nvSpPr>
        <dsp:cNvPr id="0" name=""/>
        <dsp:cNvSpPr/>
      </dsp:nvSpPr>
      <dsp:spPr>
        <a:xfrm>
          <a:off x="632235" y="21603"/>
          <a:ext cx="701608" cy="280643"/>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320301</a:t>
          </a:r>
        </a:p>
      </dsp:txBody>
      <dsp:txXfrm>
        <a:off x="772557" y="21603"/>
        <a:ext cx="420965" cy="280643"/>
      </dsp:txXfrm>
    </dsp:sp>
    <dsp:sp modelId="{3A4EF9E9-D1CC-4DB1-9C2A-DBA65A75B745}">
      <dsp:nvSpPr>
        <dsp:cNvPr id="0" name=""/>
        <dsp:cNvSpPr/>
      </dsp:nvSpPr>
      <dsp:spPr>
        <a:xfrm>
          <a:off x="1263682" y="21603"/>
          <a:ext cx="701608" cy="280643"/>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320302</a:t>
          </a:r>
        </a:p>
      </dsp:txBody>
      <dsp:txXfrm>
        <a:off x="1404004" y="21603"/>
        <a:ext cx="420965" cy="280643"/>
      </dsp:txXfrm>
    </dsp:sp>
    <dsp:sp modelId="{5CA4166A-DEF4-4160-9B25-C26A1B076B08}">
      <dsp:nvSpPr>
        <dsp:cNvPr id="0" name=""/>
        <dsp:cNvSpPr/>
      </dsp:nvSpPr>
      <dsp:spPr>
        <a:xfrm>
          <a:off x="1895130" y="21603"/>
          <a:ext cx="701608" cy="280643"/>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320401</a:t>
          </a:r>
        </a:p>
      </dsp:txBody>
      <dsp:txXfrm>
        <a:off x="2035452" y="21603"/>
        <a:ext cx="420965" cy="280643"/>
      </dsp:txXfrm>
    </dsp:sp>
    <dsp:sp modelId="{EA67D822-099B-4586-8EEA-708296281414}">
      <dsp:nvSpPr>
        <dsp:cNvPr id="0" name=""/>
        <dsp:cNvSpPr/>
      </dsp:nvSpPr>
      <dsp:spPr>
        <a:xfrm>
          <a:off x="2526577" y="21603"/>
          <a:ext cx="701608" cy="280643"/>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320501</a:t>
          </a:r>
        </a:p>
      </dsp:txBody>
      <dsp:txXfrm>
        <a:off x="2666899" y="21603"/>
        <a:ext cx="420965" cy="280643"/>
      </dsp:txXfrm>
    </dsp:sp>
  </dsp:spTree>
</dsp:drawing>
</file>

<file path=xl/diagrams/drawing2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02" y="23882"/>
          <a:ext cx="714026"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320502</a:t>
          </a:r>
        </a:p>
      </dsp:txBody>
      <dsp:txXfrm>
        <a:off x="143607" y="23882"/>
        <a:ext cx="428416" cy="285610"/>
      </dsp:txXfrm>
    </dsp:sp>
    <dsp:sp modelId="{2A250F37-BD2B-4D24-8BC5-A8327FA2BBC6}">
      <dsp:nvSpPr>
        <dsp:cNvPr id="0" name=""/>
        <dsp:cNvSpPr/>
      </dsp:nvSpPr>
      <dsp:spPr>
        <a:xfrm>
          <a:off x="643426" y="23882"/>
          <a:ext cx="714026"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320503</a:t>
          </a:r>
        </a:p>
      </dsp:txBody>
      <dsp:txXfrm>
        <a:off x="786231" y="23882"/>
        <a:ext cx="428416" cy="285610"/>
      </dsp:txXfrm>
    </dsp:sp>
    <dsp:sp modelId="{3A4EF9E9-D1CC-4DB1-9C2A-DBA65A75B745}">
      <dsp:nvSpPr>
        <dsp:cNvPr id="0" name=""/>
        <dsp:cNvSpPr/>
      </dsp:nvSpPr>
      <dsp:spPr>
        <a:xfrm>
          <a:off x="1286049" y="23882"/>
          <a:ext cx="714026"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320601</a:t>
          </a:r>
        </a:p>
      </dsp:txBody>
      <dsp:txXfrm>
        <a:off x="1428854" y="23882"/>
        <a:ext cx="428416" cy="285610"/>
      </dsp:txXfrm>
    </dsp:sp>
    <dsp:sp modelId="{5CA4166A-DEF4-4160-9B25-C26A1B076B08}">
      <dsp:nvSpPr>
        <dsp:cNvPr id="0" name=""/>
        <dsp:cNvSpPr/>
      </dsp:nvSpPr>
      <dsp:spPr>
        <a:xfrm>
          <a:off x="1928673" y="23882"/>
          <a:ext cx="714026"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320801</a:t>
          </a:r>
        </a:p>
      </dsp:txBody>
      <dsp:txXfrm>
        <a:off x="2071478" y="23882"/>
        <a:ext cx="428416" cy="285610"/>
      </dsp:txXfrm>
    </dsp:sp>
    <dsp:sp modelId="{7021A1DD-66A0-409A-92DE-0FCCADEF3D39}">
      <dsp:nvSpPr>
        <dsp:cNvPr id="0" name=""/>
        <dsp:cNvSpPr/>
      </dsp:nvSpPr>
      <dsp:spPr>
        <a:xfrm>
          <a:off x="2571297" y="23882"/>
          <a:ext cx="714026"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329901</a:t>
          </a:r>
          <a:endParaRPr lang="es-CO" sz="800" b="1" kern="1200"/>
        </a:p>
      </dsp:txBody>
      <dsp:txXfrm>
        <a:off x="2714102" y="23882"/>
        <a:ext cx="428416" cy="285610"/>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83" y="24902"/>
          <a:ext cx="697015" cy="27880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320101</a:t>
          </a:r>
        </a:p>
      </dsp:txBody>
      <dsp:txXfrm>
        <a:off x="140186" y="24902"/>
        <a:ext cx="418209" cy="278806"/>
      </dsp:txXfrm>
    </dsp:sp>
    <dsp:sp modelId="{2A250F37-BD2B-4D24-8BC5-A8327FA2BBC6}">
      <dsp:nvSpPr>
        <dsp:cNvPr id="0" name=""/>
        <dsp:cNvSpPr/>
      </dsp:nvSpPr>
      <dsp:spPr>
        <a:xfrm>
          <a:off x="628097" y="24902"/>
          <a:ext cx="697015" cy="27880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320102</a:t>
          </a:r>
        </a:p>
      </dsp:txBody>
      <dsp:txXfrm>
        <a:off x="767500" y="24902"/>
        <a:ext cx="418209" cy="278806"/>
      </dsp:txXfrm>
    </dsp:sp>
    <dsp:sp modelId="{3A4EF9E9-D1CC-4DB1-9C2A-DBA65A75B745}">
      <dsp:nvSpPr>
        <dsp:cNvPr id="0" name=""/>
        <dsp:cNvSpPr/>
      </dsp:nvSpPr>
      <dsp:spPr>
        <a:xfrm>
          <a:off x="1255411" y="24902"/>
          <a:ext cx="697015" cy="27880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320103</a:t>
          </a:r>
        </a:p>
      </dsp:txBody>
      <dsp:txXfrm>
        <a:off x="1394814" y="24902"/>
        <a:ext cx="418209" cy="278806"/>
      </dsp:txXfrm>
    </dsp:sp>
    <dsp:sp modelId="{5CA4166A-DEF4-4160-9B25-C26A1B076B08}">
      <dsp:nvSpPr>
        <dsp:cNvPr id="0" name=""/>
        <dsp:cNvSpPr/>
      </dsp:nvSpPr>
      <dsp:spPr>
        <a:xfrm>
          <a:off x="1882725" y="24902"/>
          <a:ext cx="697015" cy="27880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320201</a:t>
          </a:r>
        </a:p>
      </dsp:txBody>
      <dsp:txXfrm>
        <a:off x="2022128" y="24902"/>
        <a:ext cx="418209" cy="278806"/>
      </dsp:txXfrm>
    </dsp:sp>
    <dsp:sp modelId="{EA67D822-099B-4586-8EEA-708296281414}">
      <dsp:nvSpPr>
        <dsp:cNvPr id="0" name=""/>
        <dsp:cNvSpPr/>
      </dsp:nvSpPr>
      <dsp:spPr>
        <a:xfrm>
          <a:off x="2510040" y="24902"/>
          <a:ext cx="697015" cy="27880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320202</a:t>
          </a:r>
        </a:p>
      </dsp:txBody>
      <dsp:txXfrm>
        <a:off x="2649443" y="24902"/>
        <a:ext cx="418209" cy="278806"/>
      </dsp:txXfrm>
    </dsp:sp>
  </dsp:spTree>
</dsp:drawing>
</file>

<file path=xl/diagrams/drawing3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84" y="3173"/>
          <a:ext cx="698503" cy="27940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320101</a:t>
          </a:r>
        </a:p>
      </dsp:txBody>
      <dsp:txXfrm>
        <a:off x="140485" y="3173"/>
        <a:ext cx="419102" cy="279401"/>
      </dsp:txXfrm>
    </dsp:sp>
    <dsp:sp modelId="{2A250F37-BD2B-4D24-8BC5-A8327FA2BBC6}">
      <dsp:nvSpPr>
        <dsp:cNvPr id="0" name=""/>
        <dsp:cNvSpPr/>
      </dsp:nvSpPr>
      <dsp:spPr>
        <a:xfrm>
          <a:off x="629438" y="3173"/>
          <a:ext cx="698503" cy="27940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320102</a:t>
          </a:r>
        </a:p>
      </dsp:txBody>
      <dsp:txXfrm>
        <a:off x="769139" y="3173"/>
        <a:ext cx="419102" cy="279401"/>
      </dsp:txXfrm>
    </dsp:sp>
    <dsp:sp modelId="{3A4EF9E9-D1CC-4DB1-9C2A-DBA65A75B745}">
      <dsp:nvSpPr>
        <dsp:cNvPr id="0" name=""/>
        <dsp:cNvSpPr/>
      </dsp:nvSpPr>
      <dsp:spPr>
        <a:xfrm>
          <a:off x="1258092" y="3173"/>
          <a:ext cx="698503" cy="27940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320103</a:t>
          </a:r>
        </a:p>
      </dsp:txBody>
      <dsp:txXfrm>
        <a:off x="1397793" y="3173"/>
        <a:ext cx="419102" cy="279401"/>
      </dsp:txXfrm>
    </dsp:sp>
    <dsp:sp modelId="{5CA4166A-DEF4-4160-9B25-C26A1B076B08}">
      <dsp:nvSpPr>
        <dsp:cNvPr id="0" name=""/>
        <dsp:cNvSpPr/>
      </dsp:nvSpPr>
      <dsp:spPr>
        <a:xfrm>
          <a:off x="1886745" y="3173"/>
          <a:ext cx="698503" cy="27940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320201</a:t>
          </a:r>
        </a:p>
      </dsp:txBody>
      <dsp:txXfrm>
        <a:off x="2026446" y="3173"/>
        <a:ext cx="419102" cy="279401"/>
      </dsp:txXfrm>
    </dsp:sp>
    <dsp:sp modelId="{EA67D822-099B-4586-8EEA-708296281414}">
      <dsp:nvSpPr>
        <dsp:cNvPr id="0" name=""/>
        <dsp:cNvSpPr/>
      </dsp:nvSpPr>
      <dsp:spPr>
        <a:xfrm>
          <a:off x="2515399" y="3173"/>
          <a:ext cx="698503" cy="27940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320202</a:t>
          </a:r>
        </a:p>
      </dsp:txBody>
      <dsp:txXfrm>
        <a:off x="2655100" y="3173"/>
        <a:ext cx="419102" cy="279401"/>
      </dsp:txXfrm>
    </dsp:sp>
  </dsp:spTree>
</dsp:drawing>
</file>

<file path=xl/diagrams/drawing3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90" y="84353"/>
          <a:ext cx="792672" cy="31706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320203</a:t>
          </a:r>
        </a:p>
      </dsp:txBody>
      <dsp:txXfrm>
        <a:off x="159424" y="84353"/>
        <a:ext cx="475604" cy="317068"/>
      </dsp:txXfrm>
    </dsp:sp>
    <dsp:sp modelId="{2A250F37-BD2B-4D24-8BC5-A8327FA2BBC6}">
      <dsp:nvSpPr>
        <dsp:cNvPr id="0" name=""/>
        <dsp:cNvSpPr/>
      </dsp:nvSpPr>
      <dsp:spPr>
        <a:xfrm>
          <a:off x="714295" y="84353"/>
          <a:ext cx="792672" cy="31706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320301</a:t>
          </a:r>
        </a:p>
      </dsp:txBody>
      <dsp:txXfrm>
        <a:off x="872829" y="84353"/>
        <a:ext cx="475604" cy="317068"/>
      </dsp:txXfrm>
    </dsp:sp>
    <dsp:sp modelId="{3A4EF9E9-D1CC-4DB1-9C2A-DBA65A75B745}">
      <dsp:nvSpPr>
        <dsp:cNvPr id="0" name=""/>
        <dsp:cNvSpPr/>
      </dsp:nvSpPr>
      <dsp:spPr>
        <a:xfrm>
          <a:off x="1427700" y="84353"/>
          <a:ext cx="792672" cy="31706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320302</a:t>
          </a:r>
        </a:p>
      </dsp:txBody>
      <dsp:txXfrm>
        <a:off x="1586234" y="84353"/>
        <a:ext cx="475604" cy="317068"/>
      </dsp:txXfrm>
    </dsp:sp>
    <dsp:sp modelId="{5CA4166A-DEF4-4160-9B25-C26A1B076B08}">
      <dsp:nvSpPr>
        <dsp:cNvPr id="0" name=""/>
        <dsp:cNvSpPr/>
      </dsp:nvSpPr>
      <dsp:spPr>
        <a:xfrm>
          <a:off x="2141105" y="84353"/>
          <a:ext cx="792672" cy="31706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320401</a:t>
          </a:r>
        </a:p>
      </dsp:txBody>
      <dsp:txXfrm>
        <a:off x="2299639" y="84353"/>
        <a:ext cx="475604" cy="317068"/>
      </dsp:txXfrm>
    </dsp:sp>
    <dsp:sp modelId="{EA67D822-099B-4586-8EEA-708296281414}">
      <dsp:nvSpPr>
        <dsp:cNvPr id="0" name=""/>
        <dsp:cNvSpPr/>
      </dsp:nvSpPr>
      <dsp:spPr>
        <a:xfrm>
          <a:off x="2854511" y="84353"/>
          <a:ext cx="792672" cy="31706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320501</a:t>
          </a:r>
        </a:p>
      </dsp:txBody>
      <dsp:txXfrm>
        <a:off x="3013045" y="84353"/>
        <a:ext cx="475604" cy="317068"/>
      </dsp:txXfrm>
    </dsp:sp>
  </dsp:spTree>
</dsp:drawing>
</file>

<file path=xl/diagrams/drawing3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16" y="0"/>
          <a:ext cx="726444" cy="23812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320502</a:t>
          </a:r>
        </a:p>
      </dsp:txBody>
      <dsp:txXfrm>
        <a:off x="119879" y="0"/>
        <a:ext cx="488318" cy="238126"/>
      </dsp:txXfrm>
    </dsp:sp>
    <dsp:sp modelId="{2A250F37-BD2B-4D24-8BC5-A8327FA2BBC6}">
      <dsp:nvSpPr>
        <dsp:cNvPr id="0" name=""/>
        <dsp:cNvSpPr/>
      </dsp:nvSpPr>
      <dsp:spPr>
        <a:xfrm>
          <a:off x="654615" y="0"/>
          <a:ext cx="726444" cy="23812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320503</a:t>
          </a:r>
        </a:p>
      </dsp:txBody>
      <dsp:txXfrm>
        <a:off x="773678" y="0"/>
        <a:ext cx="488318" cy="238126"/>
      </dsp:txXfrm>
    </dsp:sp>
    <dsp:sp modelId="{3A4EF9E9-D1CC-4DB1-9C2A-DBA65A75B745}">
      <dsp:nvSpPr>
        <dsp:cNvPr id="0" name=""/>
        <dsp:cNvSpPr/>
      </dsp:nvSpPr>
      <dsp:spPr>
        <a:xfrm>
          <a:off x="1308415" y="0"/>
          <a:ext cx="726444" cy="23812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320601</a:t>
          </a:r>
        </a:p>
      </dsp:txBody>
      <dsp:txXfrm>
        <a:off x="1427478" y="0"/>
        <a:ext cx="488318" cy="238126"/>
      </dsp:txXfrm>
    </dsp:sp>
    <dsp:sp modelId="{5CA4166A-DEF4-4160-9B25-C26A1B076B08}">
      <dsp:nvSpPr>
        <dsp:cNvPr id="0" name=""/>
        <dsp:cNvSpPr/>
      </dsp:nvSpPr>
      <dsp:spPr>
        <a:xfrm>
          <a:off x="1962215" y="0"/>
          <a:ext cx="726444" cy="23812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320801</a:t>
          </a:r>
        </a:p>
      </dsp:txBody>
      <dsp:txXfrm>
        <a:off x="2081278" y="0"/>
        <a:ext cx="488318" cy="238126"/>
      </dsp:txXfrm>
    </dsp:sp>
    <dsp:sp modelId="{7021A1DD-66A0-409A-92DE-0FCCADEF3D39}">
      <dsp:nvSpPr>
        <dsp:cNvPr id="0" name=""/>
        <dsp:cNvSpPr/>
      </dsp:nvSpPr>
      <dsp:spPr>
        <a:xfrm>
          <a:off x="2616014" y="0"/>
          <a:ext cx="726444" cy="23812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329901</a:t>
          </a:r>
          <a:endParaRPr lang="es-CO" sz="800" b="1" kern="1200"/>
        </a:p>
      </dsp:txBody>
      <dsp:txXfrm>
        <a:off x="2735077" y="0"/>
        <a:ext cx="488318" cy="238126"/>
      </dsp:txXfrm>
    </dsp:sp>
  </dsp:spTree>
</dsp:drawing>
</file>

<file path=xl/diagrams/drawing3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87" y="0"/>
          <a:ext cx="789568"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320101</a:t>
          </a:r>
        </a:p>
      </dsp:txBody>
      <dsp:txXfrm>
        <a:off x="143762" y="0"/>
        <a:ext cx="503819" cy="285749"/>
      </dsp:txXfrm>
    </dsp:sp>
    <dsp:sp modelId="{2A250F37-BD2B-4D24-8BC5-A8327FA2BBC6}">
      <dsp:nvSpPr>
        <dsp:cNvPr id="0" name=""/>
        <dsp:cNvSpPr/>
      </dsp:nvSpPr>
      <dsp:spPr>
        <a:xfrm>
          <a:off x="711498" y="0"/>
          <a:ext cx="789568"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320102</a:t>
          </a:r>
        </a:p>
      </dsp:txBody>
      <dsp:txXfrm>
        <a:off x="854373" y="0"/>
        <a:ext cx="503819" cy="285749"/>
      </dsp:txXfrm>
    </dsp:sp>
    <dsp:sp modelId="{3A4EF9E9-D1CC-4DB1-9C2A-DBA65A75B745}">
      <dsp:nvSpPr>
        <dsp:cNvPr id="0" name=""/>
        <dsp:cNvSpPr/>
      </dsp:nvSpPr>
      <dsp:spPr>
        <a:xfrm>
          <a:off x="1422109" y="0"/>
          <a:ext cx="789568"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320103</a:t>
          </a:r>
        </a:p>
      </dsp:txBody>
      <dsp:txXfrm>
        <a:off x="1564984" y="0"/>
        <a:ext cx="503819" cy="285749"/>
      </dsp:txXfrm>
    </dsp:sp>
    <dsp:sp modelId="{5CA4166A-DEF4-4160-9B25-C26A1B076B08}">
      <dsp:nvSpPr>
        <dsp:cNvPr id="0" name=""/>
        <dsp:cNvSpPr/>
      </dsp:nvSpPr>
      <dsp:spPr>
        <a:xfrm>
          <a:off x="2132721" y="0"/>
          <a:ext cx="789568"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320201</a:t>
          </a:r>
        </a:p>
      </dsp:txBody>
      <dsp:txXfrm>
        <a:off x="2275596" y="0"/>
        <a:ext cx="503819" cy="285749"/>
      </dsp:txXfrm>
    </dsp:sp>
    <dsp:sp modelId="{EA67D822-099B-4586-8EEA-708296281414}">
      <dsp:nvSpPr>
        <dsp:cNvPr id="0" name=""/>
        <dsp:cNvSpPr/>
      </dsp:nvSpPr>
      <dsp:spPr>
        <a:xfrm>
          <a:off x="2843332" y="0"/>
          <a:ext cx="789568"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320202</a:t>
          </a:r>
        </a:p>
      </dsp:txBody>
      <dsp:txXfrm>
        <a:off x="2986207" y="0"/>
        <a:ext cx="503819" cy="285749"/>
      </dsp:txXfrm>
    </dsp:sp>
  </dsp:spTree>
</dsp:drawing>
</file>

<file path=xl/diagrams/drawing3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88" y="0"/>
          <a:ext cx="790602" cy="2476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320203</a:t>
          </a:r>
        </a:p>
      </dsp:txBody>
      <dsp:txXfrm>
        <a:off x="124713" y="0"/>
        <a:ext cx="542953" cy="247649"/>
      </dsp:txXfrm>
    </dsp:sp>
    <dsp:sp modelId="{2A250F37-BD2B-4D24-8BC5-A8327FA2BBC6}">
      <dsp:nvSpPr>
        <dsp:cNvPr id="0" name=""/>
        <dsp:cNvSpPr/>
      </dsp:nvSpPr>
      <dsp:spPr>
        <a:xfrm>
          <a:off x="712430" y="0"/>
          <a:ext cx="790602" cy="2476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320301</a:t>
          </a:r>
        </a:p>
      </dsp:txBody>
      <dsp:txXfrm>
        <a:off x="836255" y="0"/>
        <a:ext cx="542953" cy="247649"/>
      </dsp:txXfrm>
    </dsp:sp>
    <dsp:sp modelId="{3A4EF9E9-D1CC-4DB1-9C2A-DBA65A75B745}">
      <dsp:nvSpPr>
        <dsp:cNvPr id="0" name=""/>
        <dsp:cNvSpPr/>
      </dsp:nvSpPr>
      <dsp:spPr>
        <a:xfrm>
          <a:off x="1423973" y="0"/>
          <a:ext cx="790602" cy="2476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320302</a:t>
          </a:r>
        </a:p>
      </dsp:txBody>
      <dsp:txXfrm>
        <a:off x="1547798" y="0"/>
        <a:ext cx="542953" cy="247649"/>
      </dsp:txXfrm>
    </dsp:sp>
    <dsp:sp modelId="{5CA4166A-DEF4-4160-9B25-C26A1B076B08}">
      <dsp:nvSpPr>
        <dsp:cNvPr id="0" name=""/>
        <dsp:cNvSpPr/>
      </dsp:nvSpPr>
      <dsp:spPr>
        <a:xfrm>
          <a:off x="2135515" y="0"/>
          <a:ext cx="790602" cy="2476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320401</a:t>
          </a:r>
        </a:p>
      </dsp:txBody>
      <dsp:txXfrm>
        <a:off x="2259340" y="0"/>
        <a:ext cx="542953" cy="247649"/>
      </dsp:txXfrm>
    </dsp:sp>
    <dsp:sp modelId="{EA67D822-099B-4586-8EEA-708296281414}">
      <dsp:nvSpPr>
        <dsp:cNvPr id="0" name=""/>
        <dsp:cNvSpPr/>
      </dsp:nvSpPr>
      <dsp:spPr>
        <a:xfrm>
          <a:off x="2847057" y="0"/>
          <a:ext cx="790602" cy="2476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320501</a:t>
          </a:r>
        </a:p>
      </dsp:txBody>
      <dsp:txXfrm>
        <a:off x="2970882" y="0"/>
        <a:ext cx="542953" cy="247649"/>
      </dsp:txXfrm>
    </dsp:sp>
  </dsp:spTree>
</dsp:drawing>
</file>

<file path=xl/diagrams/drawing3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90" y="0"/>
          <a:ext cx="792672" cy="238125"/>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320502</a:t>
          </a:r>
        </a:p>
      </dsp:txBody>
      <dsp:txXfrm>
        <a:off x="119953" y="0"/>
        <a:ext cx="554547" cy="238125"/>
      </dsp:txXfrm>
    </dsp:sp>
    <dsp:sp modelId="{2A250F37-BD2B-4D24-8BC5-A8327FA2BBC6}">
      <dsp:nvSpPr>
        <dsp:cNvPr id="0" name=""/>
        <dsp:cNvSpPr/>
      </dsp:nvSpPr>
      <dsp:spPr>
        <a:xfrm>
          <a:off x="714295" y="0"/>
          <a:ext cx="792672" cy="238125"/>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320503</a:t>
          </a:r>
        </a:p>
      </dsp:txBody>
      <dsp:txXfrm>
        <a:off x="833358" y="0"/>
        <a:ext cx="554547" cy="238125"/>
      </dsp:txXfrm>
    </dsp:sp>
    <dsp:sp modelId="{3A4EF9E9-D1CC-4DB1-9C2A-DBA65A75B745}">
      <dsp:nvSpPr>
        <dsp:cNvPr id="0" name=""/>
        <dsp:cNvSpPr/>
      </dsp:nvSpPr>
      <dsp:spPr>
        <a:xfrm>
          <a:off x="1427701" y="0"/>
          <a:ext cx="792672" cy="238125"/>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320601</a:t>
          </a:r>
        </a:p>
      </dsp:txBody>
      <dsp:txXfrm>
        <a:off x="1546764" y="0"/>
        <a:ext cx="554547" cy="238125"/>
      </dsp:txXfrm>
    </dsp:sp>
    <dsp:sp modelId="{5CA4166A-DEF4-4160-9B25-C26A1B076B08}">
      <dsp:nvSpPr>
        <dsp:cNvPr id="0" name=""/>
        <dsp:cNvSpPr/>
      </dsp:nvSpPr>
      <dsp:spPr>
        <a:xfrm>
          <a:off x="2141106" y="0"/>
          <a:ext cx="792672" cy="238125"/>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320801</a:t>
          </a:r>
        </a:p>
      </dsp:txBody>
      <dsp:txXfrm>
        <a:off x="2260169" y="0"/>
        <a:ext cx="554547" cy="238125"/>
      </dsp:txXfrm>
    </dsp:sp>
    <dsp:sp modelId="{7021A1DD-66A0-409A-92DE-0FCCADEF3D39}">
      <dsp:nvSpPr>
        <dsp:cNvPr id="0" name=""/>
        <dsp:cNvSpPr/>
      </dsp:nvSpPr>
      <dsp:spPr>
        <a:xfrm>
          <a:off x="2854511" y="0"/>
          <a:ext cx="792672" cy="238125"/>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329901</a:t>
          </a:r>
          <a:endParaRPr lang="es-CO" sz="1050" b="1" kern="1200"/>
        </a:p>
      </dsp:txBody>
      <dsp:txXfrm>
        <a:off x="2973574" y="0"/>
        <a:ext cx="554547" cy="238125"/>
      </dsp:txXfrm>
    </dsp:sp>
  </dsp:spTree>
</dsp:drawing>
</file>

<file path=xl/diagrams/drawing3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24" y="0"/>
          <a:ext cx="733687"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320101</a:t>
          </a:r>
        </a:p>
      </dsp:txBody>
      <dsp:txXfrm>
        <a:off x="143699" y="0"/>
        <a:ext cx="447938" cy="285749"/>
      </dsp:txXfrm>
    </dsp:sp>
    <dsp:sp modelId="{2A250F37-BD2B-4D24-8BC5-A8327FA2BBC6}">
      <dsp:nvSpPr>
        <dsp:cNvPr id="0" name=""/>
        <dsp:cNvSpPr/>
      </dsp:nvSpPr>
      <dsp:spPr>
        <a:xfrm>
          <a:off x="661143" y="0"/>
          <a:ext cx="733687"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320102</a:t>
          </a:r>
        </a:p>
      </dsp:txBody>
      <dsp:txXfrm>
        <a:off x="804018" y="0"/>
        <a:ext cx="447938" cy="285749"/>
      </dsp:txXfrm>
    </dsp:sp>
    <dsp:sp modelId="{3A4EF9E9-D1CC-4DB1-9C2A-DBA65A75B745}">
      <dsp:nvSpPr>
        <dsp:cNvPr id="0" name=""/>
        <dsp:cNvSpPr/>
      </dsp:nvSpPr>
      <dsp:spPr>
        <a:xfrm>
          <a:off x="1321462" y="0"/>
          <a:ext cx="733687"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320103</a:t>
          </a:r>
        </a:p>
      </dsp:txBody>
      <dsp:txXfrm>
        <a:off x="1464337" y="0"/>
        <a:ext cx="447938" cy="285749"/>
      </dsp:txXfrm>
    </dsp:sp>
    <dsp:sp modelId="{5CA4166A-DEF4-4160-9B25-C26A1B076B08}">
      <dsp:nvSpPr>
        <dsp:cNvPr id="0" name=""/>
        <dsp:cNvSpPr/>
      </dsp:nvSpPr>
      <dsp:spPr>
        <a:xfrm>
          <a:off x="1981781" y="0"/>
          <a:ext cx="733687"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320201</a:t>
          </a:r>
        </a:p>
      </dsp:txBody>
      <dsp:txXfrm>
        <a:off x="2124656" y="0"/>
        <a:ext cx="447938" cy="285749"/>
      </dsp:txXfrm>
    </dsp:sp>
    <dsp:sp modelId="{EA67D822-099B-4586-8EEA-708296281414}">
      <dsp:nvSpPr>
        <dsp:cNvPr id="0" name=""/>
        <dsp:cNvSpPr/>
      </dsp:nvSpPr>
      <dsp:spPr>
        <a:xfrm>
          <a:off x="2642100" y="0"/>
          <a:ext cx="733687"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320202</a:t>
          </a:r>
        </a:p>
      </dsp:txBody>
      <dsp:txXfrm>
        <a:off x="2784975" y="0"/>
        <a:ext cx="447938" cy="285749"/>
      </dsp:txXfrm>
    </dsp:sp>
  </dsp:spTree>
</dsp:drawing>
</file>

<file path=xl/diagrams/drawing3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76" y="0"/>
          <a:ext cx="780254"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320203</a:t>
          </a:r>
        </a:p>
      </dsp:txBody>
      <dsp:txXfrm>
        <a:off x="110413" y="0"/>
        <a:ext cx="561180" cy="219074"/>
      </dsp:txXfrm>
    </dsp:sp>
    <dsp:sp modelId="{2A250F37-BD2B-4D24-8BC5-A8327FA2BBC6}">
      <dsp:nvSpPr>
        <dsp:cNvPr id="0" name=""/>
        <dsp:cNvSpPr/>
      </dsp:nvSpPr>
      <dsp:spPr>
        <a:xfrm>
          <a:off x="703105" y="0"/>
          <a:ext cx="780254"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320301</a:t>
          </a:r>
        </a:p>
      </dsp:txBody>
      <dsp:txXfrm>
        <a:off x="812642" y="0"/>
        <a:ext cx="561180" cy="219074"/>
      </dsp:txXfrm>
    </dsp:sp>
    <dsp:sp modelId="{3A4EF9E9-D1CC-4DB1-9C2A-DBA65A75B745}">
      <dsp:nvSpPr>
        <dsp:cNvPr id="0" name=""/>
        <dsp:cNvSpPr/>
      </dsp:nvSpPr>
      <dsp:spPr>
        <a:xfrm>
          <a:off x="1405334" y="0"/>
          <a:ext cx="780254"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320302</a:t>
          </a:r>
        </a:p>
      </dsp:txBody>
      <dsp:txXfrm>
        <a:off x="1514871" y="0"/>
        <a:ext cx="561180" cy="219074"/>
      </dsp:txXfrm>
    </dsp:sp>
    <dsp:sp modelId="{5CA4166A-DEF4-4160-9B25-C26A1B076B08}">
      <dsp:nvSpPr>
        <dsp:cNvPr id="0" name=""/>
        <dsp:cNvSpPr/>
      </dsp:nvSpPr>
      <dsp:spPr>
        <a:xfrm>
          <a:off x="2107563" y="0"/>
          <a:ext cx="780254"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320401</a:t>
          </a:r>
        </a:p>
      </dsp:txBody>
      <dsp:txXfrm>
        <a:off x="2217100" y="0"/>
        <a:ext cx="561180" cy="219074"/>
      </dsp:txXfrm>
    </dsp:sp>
    <dsp:sp modelId="{EA67D822-099B-4586-8EEA-708296281414}">
      <dsp:nvSpPr>
        <dsp:cNvPr id="0" name=""/>
        <dsp:cNvSpPr/>
      </dsp:nvSpPr>
      <dsp:spPr>
        <a:xfrm>
          <a:off x="2809792" y="0"/>
          <a:ext cx="780254"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320501</a:t>
          </a:r>
        </a:p>
      </dsp:txBody>
      <dsp:txXfrm>
        <a:off x="2919329" y="0"/>
        <a:ext cx="561180" cy="219074"/>
      </dsp:txXfrm>
    </dsp:sp>
  </dsp:spTree>
</dsp:drawing>
</file>

<file path=xl/diagrams/drawing3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79" y="0"/>
          <a:ext cx="782324"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320502</a:t>
          </a:r>
        </a:p>
      </dsp:txBody>
      <dsp:txXfrm>
        <a:off x="115179" y="0"/>
        <a:ext cx="553724" cy="228600"/>
      </dsp:txXfrm>
    </dsp:sp>
    <dsp:sp modelId="{2A250F37-BD2B-4D24-8BC5-A8327FA2BBC6}">
      <dsp:nvSpPr>
        <dsp:cNvPr id="0" name=""/>
        <dsp:cNvSpPr/>
      </dsp:nvSpPr>
      <dsp:spPr>
        <a:xfrm>
          <a:off x="704970" y="0"/>
          <a:ext cx="782324"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320503</a:t>
          </a:r>
        </a:p>
      </dsp:txBody>
      <dsp:txXfrm>
        <a:off x="819270" y="0"/>
        <a:ext cx="553724" cy="228600"/>
      </dsp:txXfrm>
    </dsp:sp>
    <dsp:sp modelId="{3A4EF9E9-D1CC-4DB1-9C2A-DBA65A75B745}">
      <dsp:nvSpPr>
        <dsp:cNvPr id="0" name=""/>
        <dsp:cNvSpPr/>
      </dsp:nvSpPr>
      <dsp:spPr>
        <a:xfrm>
          <a:off x="1409062" y="0"/>
          <a:ext cx="782324"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320601</a:t>
          </a:r>
        </a:p>
      </dsp:txBody>
      <dsp:txXfrm>
        <a:off x="1523362" y="0"/>
        <a:ext cx="553724" cy="228600"/>
      </dsp:txXfrm>
    </dsp:sp>
    <dsp:sp modelId="{5CA4166A-DEF4-4160-9B25-C26A1B076B08}">
      <dsp:nvSpPr>
        <dsp:cNvPr id="0" name=""/>
        <dsp:cNvSpPr/>
      </dsp:nvSpPr>
      <dsp:spPr>
        <a:xfrm>
          <a:off x="2113154" y="0"/>
          <a:ext cx="782324"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320801</a:t>
          </a:r>
        </a:p>
      </dsp:txBody>
      <dsp:txXfrm>
        <a:off x="2227454" y="0"/>
        <a:ext cx="553724" cy="228600"/>
      </dsp:txXfrm>
    </dsp:sp>
    <dsp:sp modelId="{7021A1DD-66A0-409A-92DE-0FCCADEF3D39}">
      <dsp:nvSpPr>
        <dsp:cNvPr id="0" name=""/>
        <dsp:cNvSpPr/>
      </dsp:nvSpPr>
      <dsp:spPr>
        <a:xfrm>
          <a:off x="2817246" y="0"/>
          <a:ext cx="782324"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329901</a:t>
          </a:r>
          <a:endParaRPr lang="es-CO" sz="1050" b="1" kern="1200"/>
        </a:p>
      </dsp:txBody>
      <dsp:txXfrm>
        <a:off x="2931546" y="0"/>
        <a:ext cx="553724" cy="228600"/>
      </dsp:txXfrm>
    </dsp:sp>
  </dsp:spTree>
</dsp:drawing>
</file>

<file path=xl/diagrams/drawing3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84" y="0"/>
          <a:ext cx="787498"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320101</a:t>
          </a:r>
        </a:p>
      </dsp:txBody>
      <dsp:txXfrm>
        <a:off x="158046" y="0"/>
        <a:ext cx="473174" cy="314324"/>
      </dsp:txXfrm>
    </dsp:sp>
    <dsp:sp modelId="{2A250F37-BD2B-4D24-8BC5-A8327FA2BBC6}">
      <dsp:nvSpPr>
        <dsp:cNvPr id="0" name=""/>
        <dsp:cNvSpPr/>
      </dsp:nvSpPr>
      <dsp:spPr>
        <a:xfrm>
          <a:off x="709633" y="0"/>
          <a:ext cx="787498"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320102</a:t>
          </a:r>
        </a:p>
      </dsp:txBody>
      <dsp:txXfrm>
        <a:off x="866795" y="0"/>
        <a:ext cx="473174" cy="314324"/>
      </dsp:txXfrm>
    </dsp:sp>
    <dsp:sp modelId="{3A4EF9E9-D1CC-4DB1-9C2A-DBA65A75B745}">
      <dsp:nvSpPr>
        <dsp:cNvPr id="0" name=""/>
        <dsp:cNvSpPr/>
      </dsp:nvSpPr>
      <dsp:spPr>
        <a:xfrm>
          <a:off x="1418382" y="0"/>
          <a:ext cx="787498"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320103</a:t>
          </a:r>
        </a:p>
      </dsp:txBody>
      <dsp:txXfrm>
        <a:off x="1575544" y="0"/>
        <a:ext cx="473174" cy="314324"/>
      </dsp:txXfrm>
    </dsp:sp>
    <dsp:sp modelId="{5CA4166A-DEF4-4160-9B25-C26A1B076B08}">
      <dsp:nvSpPr>
        <dsp:cNvPr id="0" name=""/>
        <dsp:cNvSpPr/>
      </dsp:nvSpPr>
      <dsp:spPr>
        <a:xfrm>
          <a:off x="2127130" y="0"/>
          <a:ext cx="787498"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320201</a:t>
          </a:r>
        </a:p>
      </dsp:txBody>
      <dsp:txXfrm>
        <a:off x="2284292" y="0"/>
        <a:ext cx="473174" cy="314324"/>
      </dsp:txXfrm>
    </dsp:sp>
    <dsp:sp modelId="{EA67D822-099B-4586-8EEA-708296281414}">
      <dsp:nvSpPr>
        <dsp:cNvPr id="0" name=""/>
        <dsp:cNvSpPr/>
      </dsp:nvSpPr>
      <dsp:spPr>
        <a:xfrm>
          <a:off x="2835879" y="0"/>
          <a:ext cx="787498"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320202</a:t>
          </a:r>
        </a:p>
      </dsp:txBody>
      <dsp:txXfrm>
        <a:off x="2993041" y="0"/>
        <a:ext cx="473174" cy="31432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02" y="4832"/>
          <a:ext cx="714025"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320203</a:t>
          </a:r>
        </a:p>
      </dsp:txBody>
      <dsp:txXfrm>
        <a:off x="143607" y="4832"/>
        <a:ext cx="428415" cy="285610"/>
      </dsp:txXfrm>
    </dsp:sp>
    <dsp:sp modelId="{2A250F37-BD2B-4D24-8BC5-A8327FA2BBC6}">
      <dsp:nvSpPr>
        <dsp:cNvPr id="0" name=""/>
        <dsp:cNvSpPr/>
      </dsp:nvSpPr>
      <dsp:spPr>
        <a:xfrm>
          <a:off x="643425" y="4832"/>
          <a:ext cx="714025"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320301</a:t>
          </a:r>
        </a:p>
      </dsp:txBody>
      <dsp:txXfrm>
        <a:off x="786230" y="4832"/>
        <a:ext cx="428415" cy="285610"/>
      </dsp:txXfrm>
    </dsp:sp>
    <dsp:sp modelId="{3A4EF9E9-D1CC-4DB1-9C2A-DBA65A75B745}">
      <dsp:nvSpPr>
        <dsp:cNvPr id="0" name=""/>
        <dsp:cNvSpPr/>
      </dsp:nvSpPr>
      <dsp:spPr>
        <a:xfrm>
          <a:off x="1286049" y="4832"/>
          <a:ext cx="714025"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320302</a:t>
          </a:r>
        </a:p>
      </dsp:txBody>
      <dsp:txXfrm>
        <a:off x="1428854" y="4832"/>
        <a:ext cx="428415" cy="285610"/>
      </dsp:txXfrm>
    </dsp:sp>
    <dsp:sp modelId="{5CA4166A-DEF4-4160-9B25-C26A1B076B08}">
      <dsp:nvSpPr>
        <dsp:cNvPr id="0" name=""/>
        <dsp:cNvSpPr/>
      </dsp:nvSpPr>
      <dsp:spPr>
        <a:xfrm>
          <a:off x="1928672" y="4832"/>
          <a:ext cx="714025"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320401</a:t>
          </a:r>
        </a:p>
      </dsp:txBody>
      <dsp:txXfrm>
        <a:off x="2071477" y="4832"/>
        <a:ext cx="428415" cy="285610"/>
      </dsp:txXfrm>
    </dsp:sp>
    <dsp:sp modelId="{EA67D822-099B-4586-8EEA-708296281414}">
      <dsp:nvSpPr>
        <dsp:cNvPr id="0" name=""/>
        <dsp:cNvSpPr/>
      </dsp:nvSpPr>
      <dsp:spPr>
        <a:xfrm>
          <a:off x="2571295" y="4832"/>
          <a:ext cx="714025" cy="28561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320501</a:t>
          </a:r>
        </a:p>
      </dsp:txBody>
      <dsp:txXfrm>
        <a:off x="2714100" y="4832"/>
        <a:ext cx="428415" cy="285610"/>
      </dsp:txXfrm>
    </dsp:sp>
  </dsp:spTree>
</dsp:drawing>
</file>

<file path=xl/diagrams/drawing4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85" y="0"/>
          <a:ext cx="788533"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320203</a:t>
          </a:r>
        </a:p>
      </dsp:txBody>
      <dsp:txXfrm>
        <a:off x="110422" y="0"/>
        <a:ext cx="569459" cy="219074"/>
      </dsp:txXfrm>
    </dsp:sp>
    <dsp:sp modelId="{2A250F37-BD2B-4D24-8BC5-A8327FA2BBC6}">
      <dsp:nvSpPr>
        <dsp:cNvPr id="0" name=""/>
        <dsp:cNvSpPr/>
      </dsp:nvSpPr>
      <dsp:spPr>
        <a:xfrm>
          <a:off x="710565" y="0"/>
          <a:ext cx="788533"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320301</a:t>
          </a:r>
        </a:p>
      </dsp:txBody>
      <dsp:txXfrm>
        <a:off x="820102" y="0"/>
        <a:ext cx="569459" cy="219074"/>
      </dsp:txXfrm>
    </dsp:sp>
    <dsp:sp modelId="{3A4EF9E9-D1CC-4DB1-9C2A-DBA65A75B745}">
      <dsp:nvSpPr>
        <dsp:cNvPr id="0" name=""/>
        <dsp:cNvSpPr/>
      </dsp:nvSpPr>
      <dsp:spPr>
        <a:xfrm>
          <a:off x="1420245" y="0"/>
          <a:ext cx="788533"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320302</a:t>
          </a:r>
        </a:p>
      </dsp:txBody>
      <dsp:txXfrm>
        <a:off x="1529782" y="0"/>
        <a:ext cx="569459" cy="219074"/>
      </dsp:txXfrm>
    </dsp:sp>
    <dsp:sp modelId="{5CA4166A-DEF4-4160-9B25-C26A1B076B08}">
      <dsp:nvSpPr>
        <dsp:cNvPr id="0" name=""/>
        <dsp:cNvSpPr/>
      </dsp:nvSpPr>
      <dsp:spPr>
        <a:xfrm>
          <a:off x="2129925" y="0"/>
          <a:ext cx="788533"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320401</a:t>
          </a:r>
        </a:p>
      </dsp:txBody>
      <dsp:txXfrm>
        <a:off x="2239462" y="0"/>
        <a:ext cx="569459" cy="219074"/>
      </dsp:txXfrm>
    </dsp:sp>
    <dsp:sp modelId="{EA67D822-099B-4586-8EEA-708296281414}">
      <dsp:nvSpPr>
        <dsp:cNvPr id="0" name=""/>
        <dsp:cNvSpPr/>
      </dsp:nvSpPr>
      <dsp:spPr>
        <a:xfrm>
          <a:off x="2839604" y="0"/>
          <a:ext cx="788533"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320501</a:t>
          </a:r>
        </a:p>
      </dsp:txBody>
      <dsp:txXfrm>
        <a:off x="2949141" y="0"/>
        <a:ext cx="569459" cy="219074"/>
      </dsp:txXfrm>
    </dsp:sp>
  </dsp:spTree>
</dsp:drawing>
</file>

<file path=xl/diagrams/drawing4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74" y="0"/>
          <a:ext cx="778185"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320502</a:t>
          </a:r>
        </a:p>
      </dsp:txBody>
      <dsp:txXfrm>
        <a:off x="115174" y="0"/>
        <a:ext cx="549585" cy="228600"/>
      </dsp:txXfrm>
    </dsp:sp>
    <dsp:sp modelId="{2A250F37-BD2B-4D24-8BC5-A8327FA2BBC6}">
      <dsp:nvSpPr>
        <dsp:cNvPr id="0" name=""/>
        <dsp:cNvSpPr/>
      </dsp:nvSpPr>
      <dsp:spPr>
        <a:xfrm>
          <a:off x="701241" y="0"/>
          <a:ext cx="778185"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320503</a:t>
          </a:r>
        </a:p>
      </dsp:txBody>
      <dsp:txXfrm>
        <a:off x="815541" y="0"/>
        <a:ext cx="549585" cy="228600"/>
      </dsp:txXfrm>
    </dsp:sp>
    <dsp:sp modelId="{3A4EF9E9-D1CC-4DB1-9C2A-DBA65A75B745}">
      <dsp:nvSpPr>
        <dsp:cNvPr id="0" name=""/>
        <dsp:cNvSpPr/>
      </dsp:nvSpPr>
      <dsp:spPr>
        <a:xfrm>
          <a:off x="1401607" y="0"/>
          <a:ext cx="778185"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320601</a:t>
          </a:r>
        </a:p>
      </dsp:txBody>
      <dsp:txXfrm>
        <a:off x="1515907" y="0"/>
        <a:ext cx="549585" cy="228600"/>
      </dsp:txXfrm>
    </dsp:sp>
    <dsp:sp modelId="{5CA4166A-DEF4-4160-9B25-C26A1B076B08}">
      <dsp:nvSpPr>
        <dsp:cNvPr id="0" name=""/>
        <dsp:cNvSpPr/>
      </dsp:nvSpPr>
      <dsp:spPr>
        <a:xfrm>
          <a:off x="2101974" y="0"/>
          <a:ext cx="778185"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320801</a:t>
          </a:r>
        </a:p>
      </dsp:txBody>
      <dsp:txXfrm>
        <a:off x="2216274" y="0"/>
        <a:ext cx="549585" cy="228600"/>
      </dsp:txXfrm>
    </dsp:sp>
    <dsp:sp modelId="{7021A1DD-66A0-409A-92DE-0FCCADEF3D39}">
      <dsp:nvSpPr>
        <dsp:cNvPr id="0" name=""/>
        <dsp:cNvSpPr/>
      </dsp:nvSpPr>
      <dsp:spPr>
        <a:xfrm>
          <a:off x="2802341" y="0"/>
          <a:ext cx="778185"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329901</a:t>
          </a:r>
          <a:endParaRPr lang="es-CO" sz="1050" b="1" kern="1200"/>
        </a:p>
      </dsp:txBody>
      <dsp:txXfrm>
        <a:off x="2916641" y="0"/>
        <a:ext cx="549585" cy="228600"/>
      </dsp:txXfrm>
    </dsp:sp>
  </dsp:spTree>
</dsp:drawing>
</file>

<file path=xl/diagrams/drawing4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70" y="0"/>
          <a:ext cx="775080"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320101</a:t>
          </a:r>
        </a:p>
      </dsp:txBody>
      <dsp:txXfrm>
        <a:off x="143745" y="0"/>
        <a:ext cx="489331" cy="285749"/>
      </dsp:txXfrm>
    </dsp:sp>
    <dsp:sp modelId="{2A250F37-BD2B-4D24-8BC5-A8327FA2BBC6}">
      <dsp:nvSpPr>
        <dsp:cNvPr id="0" name=""/>
        <dsp:cNvSpPr/>
      </dsp:nvSpPr>
      <dsp:spPr>
        <a:xfrm>
          <a:off x="698443" y="0"/>
          <a:ext cx="775080"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320102</a:t>
          </a:r>
        </a:p>
      </dsp:txBody>
      <dsp:txXfrm>
        <a:off x="841318" y="0"/>
        <a:ext cx="489331" cy="285749"/>
      </dsp:txXfrm>
    </dsp:sp>
    <dsp:sp modelId="{3A4EF9E9-D1CC-4DB1-9C2A-DBA65A75B745}">
      <dsp:nvSpPr>
        <dsp:cNvPr id="0" name=""/>
        <dsp:cNvSpPr/>
      </dsp:nvSpPr>
      <dsp:spPr>
        <a:xfrm>
          <a:off x="1396016" y="0"/>
          <a:ext cx="775080"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320103</a:t>
          </a:r>
        </a:p>
      </dsp:txBody>
      <dsp:txXfrm>
        <a:off x="1538891" y="0"/>
        <a:ext cx="489331" cy="285749"/>
      </dsp:txXfrm>
    </dsp:sp>
    <dsp:sp modelId="{5CA4166A-DEF4-4160-9B25-C26A1B076B08}">
      <dsp:nvSpPr>
        <dsp:cNvPr id="0" name=""/>
        <dsp:cNvSpPr/>
      </dsp:nvSpPr>
      <dsp:spPr>
        <a:xfrm>
          <a:off x="2093589" y="0"/>
          <a:ext cx="775080"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320201</a:t>
          </a:r>
        </a:p>
      </dsp:txBody>
      <dsp:txXfrm>
        <a:off x="2236464" y="0"/>
        <a:ext cx="489331" cy="285749"/>
      </dsp:txXfrm>
    </dsp:sp>
    <dsp:sp modelId="{EA67D822-099B-4586-8EEA-708296281414}">
      <dsp:nvSpPr>
        <dsp:cNvPr id="0" name=""/>
        <dsp:cNvSpPr/>
      </dsp:nvSpPr>
      <dsp:spPr>
        <a:xfrm>
          <a:off x="2791162" y="0"/>
          <a:ext cx="775080" cy="2857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320202</a:t>
          </a:r>
        </a:p>
      </dsp:txBody>
      <dsp:txXfrm>
        <a:off x="2934037" y="0"/>
        <a:ext cx="489331" cy="285749"/>
      </dsp:txXfrm>
    </dsp:sp>
  </dsp:spTree>
</dsp:drawing>
</file>

<file path=xl/diagrams/drawing4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92" y="0"/>
          <a:ext cx="794741"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320203</a:t>
          </a:r>
        </a:p>
      </dsp:txBody>
      <dsp:txXfrm>
        <a:off x="110429" y="0"/>
        <a:ext cx="575667" cy="219074"/>
      </dsp:txXfrm>
    </dsp:sp>
    <dsp:sp modelId="{2A250F37-BD2B-4D24-8BC5-A8327FA2BBC6}">
      <dsp:nvSpPr>
        <dsp:cNvPr id="0" name=""/>
        <dsp:cNvSpPr/>
      </dsp:nvSpPr>
      <dsp:spPr>
        <a:xfrm>
          <a:off x="716160" y="0"/>
          <a:ext cx="794741"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320301</a:t>
          </a:r>
        </a:p>
      </dsp:txBody>
      <dsp:txXfrm>
        <a:off x="825697" y="0"/>
        <a:ext cx="575667" cy="219074"/>
      </dsp:txXfrm>
    </dsp:sp>
    <dsp:sp modelId="{3A4EF9E9-D1CC-4DB1-9C2A-DBA65A75B745}">
      <dsp:nvSpPr>
        <dsp:cNvPr id="0" name=""/>
        <dsp:cNvSpPr/>
      </dsp:nvSpPr>
      <dsp:spPr>
        <a:xfrm>
          <a:off x="1431428" y="0"/>
          <a:ext cx="794741"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320302</a:t>
          </a:r>
        </a:p>
      </dsp:txBody>
      <dsp:txXfrm>
        <a:off x="1540965" y="0"/>
        <a:ext cx="575667" cy="219074"/>
      </dsp:txXfrm>
    </dsp:sp>
    <dsp:sp modelId="{5CA4166A-DEF4-4160-9B25-C26A1B076B08}">
      <dsp:nvSpPr>
        <dsp:cNvPr id="0" name=""/>
        <dsp:cNvSpPr/>
      </dsp:nvSpPr>
      <dsp:spPr>
        <a:xfrm>
          <a:off x="2146696" y="0"/>
          <a:ext cx="794741"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320401</a:t>
          </a:r>
        </a:p>
      </dsp:txBody>
      <dsp:txXfrm>
        <a:off x="2256233" y="0"/>
        <a:ext cx="575667" cy="219074"/>
      </dsp:txXfrm>
    </dsp:sp>
    <dsp:sp modelId="{EA67D822-099B-4586-8EEA-708296281414}">
      <dsp:nvSpPr>
        <dsp:cNvPr id="0" name=""/>
        <dsp:cNvSpPr/>
      </dsp:nvSpPr>
      <dsp:spPr>
        <a:xfrm>
          <a:off x="2861964" y="0"/>
          <a:ext cx="794741"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320501</a:t>
          </a:r>
        </a:p>
      </dsp:txBody>
      <dsp:txXfrm>
        <a:off x="2971501" y="0"/>
        <a:ext cx="575667" cy="219074"/>
      </dsp:txXfrm>
    </dsp:sp>
  </dsp:spTree>
</dsp:drawing>
</file>

<file path=xl/diagrams/drawing4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95" y="0"/>
          <a:ext cx="796811"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320502</a:t>
          </a:r>
        </a:p>
      </dsp:txBody>
      <dsp:txXfrm>
        <a:off x="115195" y="0"/>
        <a:ext cx="568211" cy="228600"/>
      </dsp:txXfrm>
    </dsp:sp>
    <dsp:sp modelId="{2A250F37-BD2B-4D24-8BC5-A8327FA2BBC6}">
      <dsp:nvSpPr>
        <dsp:cNvPr id="0" name=""/>
        <dsp:cNvSpPr/>
      </dsp:nvSpPr>
      <dsp:spPr>
        <a:xfrm>
          <a:off x="718025" y="0"/>
          <a:ext cx="796811"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320503</a:t>
          </a:r>
        </a:p>
      </dsp:txBody>
      <dsp:txXfrm>
        <a:off x="832325" y="0"/>
        <a:ext cx="568211" cy="228600"/>
      </dsp:txXfrm>
    </dsp:sp>
    <dsp:sp modelId="{3A4EF9E9-D1CC-4DB1-9C2A-DBA65A75B745}">
      <dsp:nvSpPr>
        <dsp:cNvPr id="0" name=""/>
        <dsp:cNvSpPr/>
      </dsp:nvSpPr>
      <dsp:spPr>
        <a:xfrm>
          <a:off x="1435156" y="0"/>
          <a:ext cx="796811"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320601</a:t>
          </a:r>
        </a:p>
      </dsp:txBody>
      <dsp:txXfrm>
        <a:off x="1549456" y="0"/>
        <a:ext cx="568211" cy="228600"/>
      </dsp:txXfrm>
    </dsp:sp>
    <dsp:sp modelId="{5CA4166A-DEF4-4160-9B25-C26A1B076B08}">
      <dsp:nvSpPr>
        <dsp:cNvPr id="0" name=""/>
        <dsp:cNvSpPr/>
      </dsp:nvSpPr>
      <dsp:spPr>
        <a:xfrm>
          <a:off x="2152287" y="0"/>
          <a:ext cx="796811"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320801</a:t>
          </a:r>
        </a:p>
      </dsp:txBody>
      <dsp:txXfrm>
        <a:off x="2266587" y="0"/>
        <a:ext cx="568211" cy="228600"/>
      </dsp:txXfrm>
    </dsp:sp>
    <dsp:sp modelId="{7021A1DD-66A0-409A-92DE-0FCCADEF3D39}">
      <dsp:nvSpPr>
        <dsp:cNvPr id="0" name=""/>
        <dsp:cNvSpPr/>
      </dsp:nvSpPr>
      <dsp:spPr>
        <a:xfrm>
          <a:off x="2869417" y="0"/>
          <a:ext cx="796811"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329901</a:t>
          </a:r>
          <a:endParaRPr lang="es-CO" sz="1050" b="1" kern="1200"/>
        </a:p>
      </dsp:txBody>
      <dsp:txXfrm>
        <a:off x="2983717" y="0"/>
        <a:ext cx="568211" cy="228600"/>
      </dsp:txXfrm>
    </dsp:sp>
  </dsp:spTree>
</dsp:drawing>
</file>

<file path=xl/diagrams/drawing4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901" y="0"/>
          <a:ext cx="801986"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320101</a:t>
          </a:r>
        </a:p>
      </dsp:txBody>
      <dsp:txXfrm>
        <a:off x="158063" y="0"/>
        <a:ext cx="487662" cy="314324"/>
      </dsp:txXfrm>
    </dsp:sp>
    <dsp:sp modelId="{2A250F37-BD2B-4D24-8BC5-A8327FA2BBC6}">
      <dsp:nvSpPr>
        <dsp:cNvPr id="0" name=""/>
        <dsp:cNvSpPr/>
      </dsp:nvSpPr>
      <dsp:spPr>
        <a:xfrm>
          <a:off x="722688" y="0"/>
          <a:ext cx="801986"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320102</a:t>
          </a:r>
        </a:p>
      </dsp:txBody>
      <dsp:txXfrm>
        <a:off x="879850" y="0"/>
        <a:ext cx="487662" cy="314324"/>
      </dsp:txXfrm>
    </dsp:sp>
    <dsp:sp modelId="{3A4EF9E9-D1CC-4DB1-9C2A-DBA65A75B745}">
      <dsp:nvSpPr>
        <dsp:cNvPr id="0" name=""/>
        <dsp:cNvSpPr/>
      </dsp:nvSpPr>
      <dsp:spPr>
        <a:xfrm>
          <a:off x="1444475" y="0"/>
          <a:ext cx="801986"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320103</a:t>
          </a:r>
        </a:p>
      </dsp:txBody>
      <dsp:txXfrm>
        <a:off x="1601637" y="0"/>
        <a:ext cx="487662" cy="314324"/>
      </dsp:txXfrm>
    </dsp:sp>
    <dsp:sp modelId="{5CA4166A-DEF4-4160-9B25-C26A1B076B08}">
      <dsp:nvSpPr>
        <dsp:cNvPr id="0" name=""/>
        <dsp:cNvSpPr/>
      </dsp:nvSpPr>
      <dsp:spPr>
        <a:xfrm>
          <a:off x="2166263" y="0"/>
          <a:ext cx="801986"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320201</a:t>
          </a:r>
        </a:p>
      </dsp:txBody>
      <dsp:txXfrm>
        <a:off x="2323425" y="0"/>
        <a:ext cx="487662" cy="314324"/>
      </dsp:txXfrm>
    </dsp:sp>
    <dsp:sp modelId="{EA67D822-099B-4586-8EEA-708296281414}">
      <dsp:nvSpPr>
        <dsp:cNvPr id="0" name=""/>
        <dsp:cNvSpPr/>
      </dsp:nvSpPr>
      <dsp:spPr>
        <a:xfrm>
          <a:off x="2888050" y="0"/>
          <a:ext cx="801986"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320202</a:t>
          </a:r>
        </a:p>
      </dsp:txBody>
      <dsp:txXfrm>
        <a:off x="3045212" y="0"/>
        <a:ext cx="487662" cy="314324"/>
      </dsp:txXfrm>
    </dsp:sp>
  </dsp:spTree>
</dsp:drawing>
</file>

<file path=xl/diagrams/drawing4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1016" y="0"/>
          <a:ext cx="904432"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320203</a:t>
          </a:r>
        </a:p>
      </dsp:txBody>
      <dsp:txXfrm>
        <a:off x="110553" y="0"/>
        <a:ext cx="685358" cy="219074"/>
      </dsp:txXfrm>
    </dsp:sp>
    <dsp:sp modelId="{2A250F37-BD2B-4D24-8BC5-A8327FA2BBC6}">
      <dsp:nvSpPr>
        <dsp:cNvPr id="0" name=""/>
        <dsp:cNvSpPr/>
      </dsp:nvSpPr>
      <dsp:spPr>
        <a:xfrm>
          <a:off x="815005" y="0"/>
          <a:ext cx="904432"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320301</a:t>
          </a:r>
        </a:p>
      </dsp:txBody>
      <dsp:txXfrm>
        <a:off x="924542" y="0"/>
        <a:ext cx="685358" cy="219074"/>
      </dsp:txXfrm>
    </dsp:sp>
    <dsp:sp modelId="{3A4EF9E9-D1CC-4DB1-9C2A-DBA65A75B745}">
      <dsp:nvSpPr>
        <dsp:cNvPr id="0" name=""/>
        <dsp:cNvSpPr/>
      </dsp:nvSpPr>
      <dsp:spPr>
        <a:xfrm>
          <a:off x="1628995" y="0"/>
          <a:ext cx="904432"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320302</a:t>
          </a:r>
        </a:p>
      </dsp:txBody>
      <dsp:txXfrm>
        <a:off x="1738532" y="0"/>
        <a:ext cx="685358" cy="219074"/>
      </dsp:txXfrm>
    </dsp:sp>
    <dsp:sp modelId="{5CA4166A-DEF4-4160-9B25-C26A1B076B08}">
      <dsp:nvSpPr>
        <dsp:cNvPr id="0" name=""/>
        <dsp:cNvSpPr/>
      </dsp:nvSpPr>
      <dsp:spPr>
        <a:xfrm>
          <a:off x="2442985" y="0"/>
          <a:ext cx="904432"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320401</a:t>
          </a:r>
        </a:p>
      </dsp:txBody>
      <dsp:txXfrm>
        <a:off x="2552522" y="0"/>
        <a:ext cx="685358" cy="219074"/>
      </dsp:txXfrm>
    </dsp:sp>
    <dsp:sp modelId="{EA67D822-099B-4586-8EEA-708296281414}">
      <dsp:nvSpPr>
        <dsp:cNvPr id="0" name=""/>
        <dsp:cNvSpPr/>
      </dsp:nvSpPr>
      <dsp:spPr>
        <a:xfrm>
          <a:off x="3256974" y="0"/>
          <a:ext cx="904432" cy="21907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320501</a:t>
          </a:r>
        </a:p>
      </dsp:txBody>
      <dsp:txXfrm>
        <a:off x="3366511" y="0"/>
        <a:ext cx="685358" cy="219074"/>
      </dsp:txXfrm>
    </dsp:sp>
  </dsp:spTree>
</dsp:drawing>
</file>

<file path=xl/diagrams/drawing4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1018" y="0"/>
          <a:ext cx="906502"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320502</a:t>
          </a:r>
        </a:p>
      </dsp:txBody>
      <dsp:txXfrm>
        <a:off x="115318" y="0"/>
        <a:ext cx="677902" cy="228600"/>
      </dsp:txXfrm>
    </dsp:sp>
    <dsp:sp modelId="{2A250F37-BD2B-4D24-8BC5-A8327FA2BBC6}">
      <dsp:nvSpPr>
        <dsp:cNvPr id="0" name=""/>
        <dsp:cNvSpPr/>
      </dsp:nvSpPr>
      <dsp:spPr>
        <a:xfrm>
          <a:off x="816871" y="0"/>
          <a:ext cx="906502"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320503</a:t>
          </a:r>
        </a:p>
      </dsp:txBody>
      <dsp:txXfrm>
        <a:off x="931171" y="0"/>
        <a:ext cx="677902" cy="228600"/>
      </dsp:txXfrm>
    </dsp:sp>
    <dsp:sp modelId="{3A4EF9E9-D1CC-4DB1-9C2A-DBA65A75B745}">
      <dsp:nvSpPr>
        <dsp:cNvPr id="0" name=""/>
        <dsp:cNvSpPr/>
      </dsp:nvSpPr>
      <dsp:spPr>
        <a:xfrm>
          <a:off x="1632723" y="0"/>
          <a:ext cx="906502"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320601</a:t>
          </a:r>
        </a:p>
      </dsp:txBody>
      <dsp:txXfrm>
        <a:off x="1747023" y="0"/>
        <a:ext cx="677902" cy="228600"/>
      </dsp:txXfrm>
    </dsp:sp>
    <dsp:sp modelId="{5CA4166A-DEF4-4160-9B25-C26A1B076B08}">
      <dsp:nvSpPr>
        <dsp:cNvPr id="0" name=""/>
        <dsp:cNvSpPr/>
      </dsp:nvSpPr>
      <dsp:spPr>
        <a:xfrm>
          <a:off x="2448576" y="0"/>
          <a:ext cx="906502"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320801</a:t>
          </a:r>
        </a:p>
      </dsp:txBody>
      <dsp:txXfrm>
        <a:off x="2562876" y="0"/>
        <a:ext cx="677902" cy="228600"/>
      </dsp:txXfrm>
    </dsp:sp>
    <dsp:sp modelId="{7021A1DD-66A0-409A-92DE-0FCCADEF3D39}">
      <dsp:nvSpPr>
        <dsp:cNvPr id="0" name=""/>
        <dsp:cNvSpPr/>
      </dsp:nvSpPr>
      <dsp:spPr>
        <a:xfrm>
          <a:off x="3264428" y="0"/>
          <a:ext cx="906502" cy="22860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329901</a:t>
          </a:r>
          <a:endParaRPr lang="es-CO" sz="1050" b="1" kern="1200"/>
        </a:p>
      </dsp:txBody>
      <dsp:txXfrm>
        <a:off x="3378728" y="0"/>
        <a:ext cx="677902" cy="228600"/>
      </dsp:txXfrm>
    </dsp:sp>
  </dsp:spTree>
</dsp:drawing>
</file>

<file path=xl/diagrams/drawing4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1024" y="0"/>
          <a:ext cx="911677"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320101</a:t>
          </a:r>
        </a:p>
      </dsp:txBody>
      <dsp:txXfrm>
        <a:off x="158186" y="0"/>
        <a:ext cx="597353" cy="314324"/>
      </dsp:txXfrm>
    </dsp:sp>
    <dsp:sp modelId="{2A250F37-BD2B-4D24-8BC5-A8327FA2BBC6}">
      <dsp:nvSpPr>
        <dsp:cNvPr id="0" name=""/>
        <dsp:cNvSpPr/>
      </dsp:nvSpPr>
      <dsp:spPr>
        <a:xfrm>
          <a:off x="821533" y="0"/>
          <a:ext cx="911677"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320102</a:t>
          </a:r>
        </a:p>
      </dsp:txBody>
      <dsp:txXfrm>
        <a:off x="978695" y="0"/>
        <a:ext cx="597353" cy="314324"/>
      </dsp:txXfrm>
    </dsp:sp>
    <dsp:sp modelId="{3A4EF9E9-D1CC-4DB1-9C2A-DBA65A75B745}">
      <dsp:nvSpPr>
        <dsp:cNvPr id="0" name=""/>
        <dsp:cNvSpPr/>
      </dsp:nvSpPr>
      <dsp:spPr>
        <a:xfrm>
          <a:off x="1642042" y="0"/>
          <a:ext cx="911677"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320103</a:t>
          </a:r>
        </a:p>
      </dsp:txBody>
      <dsp:txXfrm>
        <a:off x="1799204" y="0"/>
        <a:ext cx="597353" cy="314324"/>
      </dsp:txXfrm>
    </dsp:sp>
    <dsp:sp modelId="{5CA4166A-DEF4-4160-9B25-C26A1B076B08}">
      <dsp:nvSpPr>
        <dsp:cNvPr id="0" name=""/>
        <dsp:cNvSpPr/>
      </dsp:nvSpPr>
      <dsp:spPr>
        <a:xfrm>
          <a:off x="2462552" y="0"/>
          <a:ext cx="911677"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320201</a:t>
          </a:r>
        </a:p>
      </dsp:txBody>
      <dsp:txXfrm>
        <a:off x="2619714" y="0"/>
        <a:ext cx="597353" cy="314324"/>
      </dsp:txXfrm>
    </dsp:sp>
    <dsp:sp modelId="{EA67D822-099B-4586-8EEA-708296281414}">
      <dsp:nvSpPr>
        <dsp:cNvPr id="0" name=""/>
        <dsp:cNvSpPr/>
      </dsp:nvSpPr>
      <dsp:spPr>
        <a:xfrm>
          <a:off x="3283061" y="0"/>
          <a:ext cx="911677" cy="31432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66725">
            <a:lnSpc>
              <a:spcPct val="90000"/>
            </a:lnSpc>
            <a:spcBef>
              <a:spcPct val="0"/>
            </a:spcBef>
            <a:spcAft>
              <a:spcPct val="35000"/>
            </a:spcAft>
          </a:pPr>
          <a:r>
            <a:rPr lang="es-CO" sz="1050" b="1" kern="1200"/>
            <a:t>320202</a:t>
          </a:r>
        </a:p>
      </dsp:txBody>
      <dsp:txXfrm>
        <a:off x="3440223" y="0"/>
        <a:ext cx="597353" cy="314324"/>
      </dsp:txXfrm>
    </dsp:sp>
  </dsp:spTree>
</dsp:drawing>
</file>

<file path=xl/diagrams/drawing4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30" y="0"/>
          <a:ext cx="738861" cy="2476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320203</a:t>
          </a:r>
        </a:p>
      </dsp:txBody>
      <dsp:txXfrm>
        <a:off x="124655" y="0"/>
        <a:ext cx="491212" cy="247649"/>
      </dsp:txXfrm>
    </dsp:sp>
    <dsp:sp modelId="{2A250F37-BD2B-4D24-8BC5-A8327FA2BBC6}">
      <dsp:nvSpPr>
        <dsp:cNvPr id="0" name=""/>
        <dsp:cNvSpPr/>
      </dsp:nvSpPr>
      <dsp:spPr>
        <a:xfrm>
          <a:off x="665805" y="0"/>
          <a:ext cx="738861" cy="2476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320301</a:t>
          </a:r>
        </a:p>
      </dsp:txBody>
      <dsp:txXfrm>
        <a:off x="789630" y="0"/>
        <a:ext cx="491212" cy="247649"/>
      </dsp:txXfrm>
    </dsp:sp>
    <dsp:sp modelId="{3A4EF9E9-D1CC-4DB1-9C2A-DBA65A75B745}">
      <dsp:nvSpPr>
        <dsp:cNvPr id="0" name=""/>
        <dsp:cNvSpPr/>
      </dsp:nvSpPr>
      <dsp:spPr>
        <a:xfrm>
          <a:off x="1330781" y="0"/>
          <a:ext cx="738861" cy="2476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320302</a:t>
          </a:r>
        </a:p>
      </dsp:txBody>
      <dsp:txXfrm>
        <a:off x="1454606" y="0"/>
        <a:ext cx="491212" cy="247649"/>
      </dsp:txXfrm>
    </dsp:sp>
    <dsp:sp modelId="{5CA4166A-DEF4-4160-9B25-C26A1B076B08}">
      <dsp:nvSpPr>
        <dsp:cNvPr id="0" name=""/>
        <dsp:cNvSpPr/>
      </dsp:nvSpPr>
      <dsp:spPr>
        <a:xfrm>
          <a:off x="1995757" y="0"/>
          <a:ext cx="738861" cy="2476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320401</a:t>
          </a:r>
        </a:p>
      </dsp:txBody>
      <dsp:txXfrm>
        <a:off x="2119582" y="0"/>
        <a:ext cx="491212" cy="247649"/>
      </dsp:txXfrm>
    </dsp:sp>
    <dsp:sp modelId="{EA67D822-099B-4586-8EEA-708296281414}">
      <dsp:nvSpPr>
        <dsp:cNvPr id="0" name=""/>
        <dsp:cNvSpPr/>
      </dsp:nvSpPr>
      <dsp:spPr>
        <a:xfrm>
          <a:off x="2660732" y="0"/>
          <a:ext cx="738861" cy="24764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320501</a:t>
          </a:r>
        </a:p>
      </dsp:txBody>
      <dsp:txXfrm>
        <a:off x="2784557" y="0"/>
        <a:ext cx="491212" cy="247649"/>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16" y="0"/>
          <a:ext cx="726444" cy="28575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320502</a:t>
          </a:r>
        </a:p>
      </dsp:txBody>
      <dsp:txXfrm>
        <a:off x="143692" y="0"/>
        <a:ext cx="440693" cy="285751"/>
      </dsp:txXfrm>
    </dsp:sp>
    <dsp:sp modelId="{2A250F37-BD2B-4D24-8BC5-A8327FA2BBC6}">
      <dsp:nvSpPr>
        <dsp:cNvPr id="0" name=""/>
        <dsp:cNvSpPr/>
      </dsp:nvSpPr>
      <dsp:spPr>
        <a:xfrm>
          <a:off x="654616" y="0"/>
          <a:ext cx="726444" cy="28575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320503</a:t>
          </a:r>
        </a:p>
      </dsp:txBody>
      <dsp:txXfrm>
        <a:off x="797492" y="0"/>
        <a:ext cx="440693" cy="285751"/>
      </dsp:txXfrm>
    </dsp:sp>
    <dsp:sp modelId="{3A4EF9E9-D1CC-4DB1-9C2A-DBA65A75B745}">
      <dsp:nvSpPr>
        <dsp:cNvPr id="0" name=""/>
        <dsp:cNvSpPr/>
      </dsp:nvSpPr>
      <dsp:spPr>
        <a:xfrm>
          <a:off x="1308415" y="0"/>
          <a:ext cx="726444" cy="28575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320601</a:t>
          </a:r>
        </a:p>
      </dsp:txBody>
      <dsp:txXfrm>
        <a:off x="1451291" y="0"/>
        <a:ext cx="440693" cy="285751"/>
      </dsp:txXfrm>
    </dsp:sp>
    <dsp:sp modelId="{5CA4166A-DEF4-4160-9B25-C26A1B076B08}">
      <dsp:nvSpPr>
        <dsp:cNvPr id="0" name=""/>
        <dsp:cNvSpPr/>
      </dsp:nvSpPr>
      <dsp:spPr>
        <a:xfrm>
          <a:off x="1962215" y="0"/>
          <a:ext cx="726444" cy="28575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320801</a:t>
          </a:r>
        </a:p>
      </dsp:txBody>
      <dsp:txXfrm>
        <a:off x="2105091" y="0"/>
        <a:ext cx="440693" cy="285751"/>
      </dsp:txXfrm>
    </dsp:sp>
    <dsp:sp modelId="{7021A1DD-66A0-409A-92DE-0FCCADEF3D39}">
      <dsp:nvSpPr>
        <dsp:cNvPr id="0" name=""/>
        <dsp:cNvSpPr/>
      </dsp:nvSpPr>
      <dsp:spPr>
        <a:xfrm>
          <a:off x="2616015" y="0"/>
          <a:ext cx="726444" cy="28575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329901</a:t>
          </a:r>
          <a:endParaRPr lang="es-CO" sz="800" b="1" kern="1200"/>
        </a:p>
      </dsp:txBody>
      <dsp:txXfrm>
        <a:off x="2758891" y="0"/>
        <a:ext cx="440693" cy="285751"/>
      </dsp:txXfrm>
    </dsp:sp>
  </dsp:spTree>
</dsp:drawing>
</file>

<file path=xl/diagrams/drawing5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06" y="46866"/>
          <a:ext cx="718165" cy="2872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320502</a:t>
          </a:r>
        </a:p>
      </dsp:txBody>
      <dsp:txXfrm>
        <a:off x="144439" y="46866"/>
        <a:ext cx="430899" cy="287266"/>
      </dsp:txXfrm>
    </dsp:sp>
    <dsp:sp modelId="{2A250F37-BD2B-4D24-8BC5-A8327FA2BBC6}">
      <dsp:nvSpPr>
        <dsp:cNvPr id="0" name=""/>
        <dsp:cNvSpPr/>
      </dsp:nvSpPr>
      <dsp:spPr>
        <a:xfrm>
          <a:off x="647155" y="46866"/>
          <a:ext cx="718165" cy="2872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320503</a:t>
          </a:r>
        </a:p>
      </dsp:txBody>
      <dsp:txXfrm>
        <a:off x="790788" y="46866"/>
        <a:ext cx="430899" cy="287266"/>
      </dsp:txXfrm>
    </dsp:sp>
    <dsp:sp modelId="{3A4EF9E9-D1CC-4DB1-9C2A-DBA65A75B745}">
      <dsp:nvSpPr>
        <dsp:cNvPr id="0" name=""/>
        <dsp:cNvSpPr/>
      </dsp:nvSpPr>
      <dsp:spPr>
        <a:xfrm>
          <a:off x="1293504" y="46866"/>
          <a:ext cx="718165" cy="2872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320601</a:t>
          </a:r>
        </a:p>
      </dsp:txBody>
      <dsp:txXfrm>
        <a:off x="1437137" y="46866"/>
        <a:ext cx="430899" cy="287266"/>
      </dsp:txXfrm>
    </dsp:sp>
    <dsp:sp modelId="{5CA4166A-DEF4-4160-9B25-C26A1B076B08}">
      <dsp:nvSpPr>
        <dsp:cNvPr id="0" name=""/>
        <dsp:cNvSpPr/>
      </dsp:nvSpPr>
      <dsp:spPr>
        <a:xfrm>
          <a:off x="1939853" y="46866"/>
          <a:ext cx="718165" cy="2872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320801</a:t>
          </a:r>
        </a:p>
      </dsp:txBody>
      <dsp:txXfrm>
        <a:off x="2083486" y="46866"/>
        <a:ext cx="430899" cy="287266"/>
      </dsp:txXfrm>
    </dsp:sp>
    <dsp:sp modelId="{7021A1DD-66A0-409A-92DE-0FCCADEF3D39}">
      <dsp:nvSpPr>
        <dsp:cNvPr id="0" name=""/>
        <dsp:cNvSpPr/>
      </dsp:nvSpPr>
      <dsp:spPr>
        <a:xfrm>
          <a:off x="2586202" y="46866"/>
          <a:ext cx="718165" cy="287266"/>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329901</a:t>
          </a:r>
          <a:endParaRPr lang="es-CO" sz="900" b="1" kern="1200"/>
        </a:p>
      </dsp:txBody>
      <dsp:txXfrm>
        <a:off x="2729835" y="46866"/>
        <a:ext cx="430899" cy="287266"/>
      </dsp:txXfrm>
    </dsp:sp>
  </dsp:spTree>
</dsp:drawing>
</file>

<file path=xl/diagrams/drawing5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09" y="13114"/>
          <a:ext cx="720235" cy="28809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320101</a:t>
          </a:r>
        </a:p>
      </dsp:txBody>
      <dsp:txXfrm>
        <a:off x="144856" y="13114"/>
        <a:ext cx="432141" cy="288094"/>
      </dsp:txXfrm>
    </dsp:sp>
    <dsp:sp modelId="{2A250F37-BD2B-4D24-8BC5-A8327FA2BBC6}">
      <dsp:nvSpPr>
        <dsp:cNvPr id="0" name=""/>
        <dsp:cNvSpPr/>
      </dsp:nvSpPr>
      <dsp:spPr>
        <a:xfrm>
          <a:off x="649020" y="13114"/>
          <a:ext cx="720235" cy="28809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320102</a:t>
          </a:r>
        </a:p>
      </dsp:txBody>
      <dsp:txXfrm>
        <a:off x="793067" y="13114"/>
        <a:ext cx="432141" cy="288094"/>
      </dsp:txXfrm>
    </dsp:sp>
    <dsp:sp modelId="{3A4EF9E9-D1CC-4DB1-9C2A-DBA65A75B745}">
      <dsp:nvSpPr>
        <dsp:cNvPr id="0" name=""/>
        <dsp:cNvSpPr/>
      </dsp:nvSpPr>
      <dsp:spPr>
        <a:xfrm>
          <a:off x="1297232" y="13114"/>
          <a:ext cx="720235" cy="28809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320103</a:t>
          </a:r>
        </a:p>
      </dsp:txBody>
      <dsp:txXfrm>
        <a:off x="1441279" y="13114"/>
        <a:ext cx="432141" cy="288094"/>
      </dsp:txXfrm>
    </dsp:sp>
    <dsp:sp modelId="{5CA4166A-DEF4-4160-9B25-C26A1B076B08}">
      <dsp:nvSpPr>
        <dsp:cNvPr id="0" name=""/>
        <dsp:cNvSpPr/>
      </dsp:nvSpPr>
      <dsp:spPr>
        <a:xfrm>
          <a:off x="1945444" y="13114"/>
          <a:ext cx="720235" cy="28809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320201</a:t>
          </a:r>
        </a:p>
      </dsp:txBody>
      <dsp:txXfrm>
        <a:off x="2089491" y="13114"/>
        <a:ext cx="432141" cy="288094"/>
      </dsp:txXfrm>
    </dsp:sp>
    <dsp:sp modelId="{EA67D822-099B-4586-8EEA-708296281414}">
      <dsp:nvSpPr>
        <dsp:cNvPr id="0" name=""/>
        <dsp:cNvSpPr/>
      </dsp:nvSpPr>
      <dsp:spPr>
        <a:xfrm>
          <a:off x="2593655" y="13114"/>
          <a:ext cx="720235" cy="288094"/>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0005" tIns="13335" rIns="13335" bIns="13335" numCol="1" spcCol="1270" anchor="ctr" anchorCtr="0">
          <a:noAutofit/>
        </a:bodyPr>
        <a:lstStyle/>
        <a:p>
          <a:pPr lvl="0" algn="ctr" defTabSz="444500">
            <a:lnSpc>
              <a:spcPct val="90000"/>
            </a:lnSpc>
            <a:spcBef>
              <a:spcPct val="0"/>
            </a:spcBef>
            <a:spcAft>
              <a:spcPct val="35000"/>
            </a:spcAft>
          </a:pPr>
          <a:r>
            <a:rPr lang="es-CO" sz="1000" b="1" kern="1200"/>
            <a:t>320202</a:t>
          </a:r>
        </a:p>
      </dsp:txBody>
      <dsp:txXfrm>
        <a:off x="2737702" y="13114"/>
        <a:ext cx="432141" cy="288094"/>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798" y="690"/>
          <a:ext cx="710921" cy="28436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320101</a:t>
          </a:r>
        </a:p>
      </dsp:txBody>
      <dsp:txXfrm>
        <a:off x="142982" y="690"/>
        <a:ext cx="426553" cy="284368"/>
      </dsp:txXfrm>
    </dsp:sp>
    <dsp:sp modelId="{2A250F37-BD2B-4D24-8BC5-A8327FA2BBC6}">
      <dsp:nvSpPr>
        <dsp:cNvPr id="0" name=""/>
        <dsp:cNvSpPr/>
      </dsp:nvSpPr>
      <dsp:spPr>
        <a:xfrm>
          <a:off x="640628" y="690"/>
          <a:ext cx="710921" cy="28436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320102</a:t>
          </a:r>
        </a:p>
      </dsp:txBody>
      <dsp:txXfrm>
        <a:off x="782812" y="690"/>
        <a:ext cx="426553" cy="284368"/>
      </dsp:txXfrm>
    </dsp:sp>
    <dsp:sp modelId="{3A4EF9E9-D1CC-4DB1-9C2A-DBA65A75B745}">
      <dsp:nvSpPr>
        <dsp:cNvPr id="0" name=""/>
        <dsp:cNvSpPr/>
      </dsp:nvSpPr>
      <dsp:spPr>
        <a:xfrm>
          <a:off x="1280458" y="690"/>
          <a:ext cx="710921" cy="28436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320103</a:t>
          </a:r>
        </a:p>
      </dsp:txBody>
      <dsp:txXfrm>
        <a:off x="1422642" y="690"/>
        <a:ext cx="426553" cy="284368"/>
      </dsp:txXfrm>
    </dsp:sp>
    <dsp:sp modelId="{5CA4166A-DEF4-4160-9B25-C26A1B076B08}">
      <dsp:nvSpPr>
        <dsp:cNvPr id="0" name=""/>
        <dsp:cNvSpPr/>
      </dsp:nvSpPr>
      <dsp:spPr>
        <a:xfrm>
          <a:off x="1920287" y="690"/>
          <a:ext cx="710921" cy="28436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320201</a:t>
          </a:r>
        </a:p>
      </dsp:txBody>
      <dsp:txXfrm>
        <a:off x="2062471" y="690"/>
        <a:ext cx="426553" cy="284368"/>
      </dsp:txXfrm>
    </dsp:sp>
    <dsp:sp modelId="{EA67D822-099B-4586-8EEA-708296281414}">
      <dsp:nvSpPr>
        <dsp:cNvPr id="0" name=""/>
        <dsp:cNvSpPr/>
      </dsp:nvSpPr>
      <dsp:spPr>
        <a:xfrm>
          <a:off x="2560117" y="690"/>
          <a:ext cx="710921" cy="284368"/>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320202</a:t>
          </a:r>
        </a:p>
      </dsp:txBody>
      <dsp:txXfrm>
        <a:off x="2702301" y="690"/>
        <a:ext cx="426553" cy="284368"/>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34" y="0"/>
          <a:ext cx="743070" cy="25589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320203</a:t>
          </a:r>
        </a:p>
      </dsp:txBody>
      <dsp:txXfrm>
        <a:off x="128780" y="0"/>
        <a:ext cx="487179" cy="255891"/>
      </dsp:txXfrm>
    </dsp:sp>
    <dsp:sp modelId="{2A250F37-BD2B-4D24-8BC5-A8327FA2BBC6}">
      <dsp:nvSpPr>
        <dsp:cNvPr id="0" name=""/>
        <dsp:cNvSpPr/>
      </dsp:nvSpPr>
      <dsp:spPr>
        <a:xfrm>
          <a:off x="669598" y="0"/>
          <a:ext cx="743070" cy="25589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320301</a:t>
          </a:r>
        </a:p>
      </dsp:txBody>
      <dsp:txXfrm>
        <a:off x="797544" y="0"/>
        <a:ext cx="487179" cy="255891"/>
      </dsp:txXfrm>
    </dsp:sp>
    <dsp:sp modelId="{3A4EF9E9-D1CC-4DB1-9C2A-DBA65A75B745}">
      <dsp:nvSpPr>
        <dsp:cNvPr id="0" name=""/>
        <dsp:cNvSpPr/>
      </dsp:nvSpPr>
      <dsp:spPr>
        <a:xfrm>
          <a:off x="1338362" y="0"/>
          <a:ext cx="743070" cy="25589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320302</a:t>
          </a:r>
        </a:p>
      </dsp:txBody>
      <dsp:txXfrm>
        <a:off x="1466308" y="0"/>
        <a:ext cx="487179" cy="255891"/>
      </dsp:txXfrm>
    </dsp:sp>
    <dsp:sp modelId="{5CA4166A-DEF4-4160-9B25-C26A1B076B08}">
      <dsp:nvSpPr>
        <dsp:cNvPr id="0" name=""/>
        <dsp:cNvSpPr/>
      </dsp:nvSpPr>
      <dsp:spPr>
        <a:xfrm>
          <a:off x="2007125" y="0"/>
          <a:ext cx="743070" cy="25589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320401</a:t>
          </a:r>
        </a:p>
      </dsp:txBody>
      <dsp:txXfrm>
        <a:off x="2135071" y="0"/>
        <a:ext cx="487179" cy="255891"/>
      </dsp:txXfrm>
    </dsp:sp>
    <dsp:sp modelId="{EA67D822-099B-4586-8EEA-708296281414}">
      <dsp:nvSpPr>
        <dsp:cNvPr id="0" name=""/>
        <dsp:cNvSpPr/>
      </dsp:nvSpPr>
      <dsp:spPr>
        <a:xfrm>
          <a:off x="2675889" y="0"/>
          <a:ext cx="743070" cy="255891"/>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lang="es-CO" sz="1100" b="1" kern="1200"/>
            <a:t>320501</a:t>
          </a:r>
        </a:p>
      </dsp:txBody>
      <dsp:txXfrm>
        <a:off x="2803835" y="0"/>
        <a:ext cx="487179" cy="255891"/>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40" y="0"/>
          <a:ext cx="747931" cy="19306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320502</a:t>
          </a:r>
        </a:p>
      </dsp:txBody>
      <dsp:txXfrm>
        <a:off x="97375" y="0"/>
        <a:ext cx="554862" cy="193069"/>
      </dsp:txXfrm>
    </dsp:sp>
    <dsp:sp modelId="{2A250F37-BD2B-4D24-8BC5-A8327FA2BBC6}">
      <dsp:nvSpPr>
        <dsp:cNvPr id="0" name=""/>
        <dsp:cNvSpPr/>
      </dsp:nvSpPr>
      <dsp:spPr>
        <a:xfrm>
          <a:off x="673978" y="0"/>
          <a:ext cx="747931" cy="19306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320503</a:t>
          </a:r>
        </a:p>
      </dsp:txBody>
      <dsp:txXfrm>
        <a:off x="770513" y="0"/>
        <a:ext cx="554862" cy="193069"/>
      </dsp:txXfrm>
    </dsp:sp>
    <dsp:sp modelId="{3A4EF9E9-D1CC-4DB1-9C2A-DBA65A75B745}">
      <dsp:nvSpPr>
        <dsp:cNvPr id="0" name=""/>
        <dsp:cNvSpPr/>
      </dsp:nvSpPr>
      <dsp:spPr>
        <a:xfrm>
          <a:off x="1347116" y="0"/>
          <a:ext cx="747931" cy="19306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320601</a:t>
          </a:r>
        </a:p>
      </dsp:txBody>
      <dsp:txXfrm>
        <a:off x="1443651" y="0"/>
        <a:ext cx="554862" cy="193069"/>
      </dsp:txXfrm>
    </dsp:sp>
    <dsp:sp modelId="{5CA4166A-DEF4-4160-9B25-C26A1B076B08}">
      <dsp:nvSpPr>
        <dsp:cNvPr id="0" name=""/>
        <dsp:cNvSpPr/>
      </dsp:nvSpPr>
      <dsp:spPr>
        <a:xfrm>
          <a:off x="2020255" y="0"/>
          <a:ext cx="747931" cy="19306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320801</a:t>
          </a:r>
        </a:p>
      </dsp:txBody>
      <dsp:txXfrm>
        <a:off x="2116790" y="0"/>
        <a:ext cx="554862" cy="193069"/>
      </dsp:txXfrm>
    </dsp:sp>
    <dsp:sp modelId="{7021A1DD-66A0-409A-92DE-0FCCADEF3D39}">
      <dsp:nvSpPr>
        <dsp:cNvPr id="0" name=""/>
        <dsp:cNvSpPr/>
      </dsp:nvSpPr>
      <dsp:spPr>
        <a:xfrm>
          <a:off x="2693393" y="0"/>
          <a:ext cx="747931" cy="193069"/>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s-CO" sz="800" b="1" kern="1200"/>
            <a:t>329901</a:t>
          </a:r>
        </a:p>
      </dsp:txBody>
      <dsp:txXfrm>
        <a:off x="2789928" y="0"/>
        <a:ext cx="554862" cy="193069"/>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BF2A877-E299-472A-8790-6AEC51F5DF24}">
      <dsp:nvSpPr>
        <dsp:cNvPr id="0" name=""/>
        <dsp:cNvSpPr/>
      </dsp:nvSpPr>
      <dsp:spPr>
        <a:xfrm>
          <a:off x="843" y="0"/>
          <a:ext cx="750826"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320101</a:t>
          </a:r>
        </a:p>
      </dsp:txBody>
      <dsp:txXfrm>
        <a:off x="109712" y="0"/>
        <a:ext cx="533089" cy="217737"/>
      </dsp:txXfrm>
    </dsp:sp>
    <dsp:sp modelId="{2A250F37-BD2B-4D24-8BC5-A8327FA2BBC6}">
      <dsp:nvSpPr>
        <dsp:cNvPr id="0" name=""/>
        <dsp:cNvSpPr/>
      </dsp:nvSpPr>
      <dsp:spPr>
        <a:xfrm>
          <a:off x="676587" y="0"/>
          <a:ext cx="750826"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320102</a:t>
          </a:r>
        </a:p>
      </dsp:txBody>
      <dsp:txXfrm>
        <a:off x="785456" y="0"/>
        <a:ext cx="533089" cy="217737"/>
      </dsp:txXfrm>
    </dsp:sp>
    <dsp:sp modelId="{3A4EF9E9-D1CC-4DB1-9C2A-DBA65A75B745}">
      <dsp:nvSpPr>
        <dsp:cNvPr id="0" name=""/>
        <dsp:cNvSpPr/>
      </dsp:nvSpPr>
      <dsp:spPr>
        <a:xfrm>
          <a:off x="1352331" y="0"/>
          <a:ext cx="750826"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320103</a:t>
          </a:r>
        </a:p>
      </dsp:txBody>
      <dsp:txXfrm>
        <a:off x="1461200" y="0"/>
        <a:ext cx="533089" cy="217737"/>
      </dsp:txXfrm>
    </dsp:sp>
    <dsp:sp modelId="{5CA4166A-DEF4-4160-9B25-C26A1B076B08}">
      <dsp:nvSpPr>
        <dsp:cNvPr id="0" name=""/>
        <dsp:cNvSpPr/>
      </dsp:nvSpPr>
      <dsp:spPr>
        <a:xfrm>
          <a:off x="2028075" y="0"/>
          <a:ext cx="750826"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320201</a:t>
          </a:r>
        </a:p>
      </dsp:txBody>
      <dsp:txXfrm>
        <a:off x="2136944" y="0"/>
        <a:ext cx="533089" cy="217737"/>
      </dsp:txXfrm>
    </dsp:sp>
    <dsp:sp modelId="{EA67D822-099B-4586-8EEA-708296281414}">
      <dsp:nvSpPr>
        <dsp:cNvPr id="0" name=""/>
        <dsp:cNvSpPr/>
      </dsp:nvSpPr>
      <dsp:spPr>
        <a:xfrm>
          <a:off x="2703818" y="0"/>
          <a:ext cx="750826" cy="217737"/>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lvl="0" algn="ctr" defTabSz="400050">
            <a:lnSpc>
              <a:spcPct val="90000"/>
            </a:lnSpc>
            <a:spcBef>
              <a:spcPct val="0"/>
            </a:spcBef>
            <a:spcAft>
              <a:spcPct val="35000"/>
            </a:spcAft>
          </a:pPr>
          <a:r>
            <a:rPr lang="es-CO" sz="900" b="1" kern="1200"/>
            <a:t>320202</a:t>
          </a:r>
        </a:p>
      </dsp:txBody>
      <dsp:txXfrm>
        <a:off x="2812687" y="0"/>
        <a:ext cx="533089" cy="217737"/>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10.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1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1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13.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14.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15.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16.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17.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18.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19.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0.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3.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4.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5.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6.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7.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8.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9.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0.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3.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4.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5.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6.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7.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8.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9.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4.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40.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4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4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43.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44.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45.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46.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47.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48.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49.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5.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50.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5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6.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7.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8.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9.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8" Type="http://schemas.openxmlformats.org/officeDocument/2006/relationships/diagramQuickStyle" Target="../diagrams/quickStyle26.xml"/><Relationship Id="rId13" Type="http://schemas.openxmlformats.org/officeDocument/2006/relationships/diagramQuickStyle" Target="../diagrams/quickStyle27.xml"/><Relationship Id="rId3" Type="http://schemas.openxmlformats.org/officeDocument/2006/relationships/diagramQuickStyle" Target="../diagrams/quickStyle25.xml"/><Relationship Id="rId7" Type="http://schemas.openxmlformats.org/officeDocument/2006/relationships/diagramLayout" Target="../diagrams/layout26.xml"/><Relationship Id="rId12" Type="http://schemas.openxmlformats.org/officeDocument/2006/relationships/diagramLayout" Target="../diagrams/layout27.xml"/><Relationship Id="rId2" Type="http://schemas.openxmlformats.org/officeDocument/2006/relationships/diagramLayout" Target="../diagrams/layout25.xml"/><Relationship Id="rId1" Type="http://schemas.openxmlformats.org/officeDocument/2006/relationships/diagramData" Target="../diagrams/data25.xml"/><Relationship Id="rId6" Type="http://schemas.openxmlformats.org/officeDocument/2006/relationships/diagramData" Target="../diagrams/data26.xml"/><Relationship Id="rId11" Type="http://schemas.openxmlformats.org/officeDocument/2006/relationships/diagramData" Target="../diagrams/data27.xml"/><Relationship Id="rId5" Type="http://schemas.microsoft.com/office/2007/relationships/diagramDrawing" Target="../diagrams/drawing25.xml"/><Relationship Id="rId15" Type="http://schemas.microsoft.com/office/2007/relationships/diagramDrawing" Target="../diagrams/drawing27.xml"/><Relationship Id="rId10" Type="http://schemas.microsoft.com/office/2007/relationships/diagramDrawing" Target="../diagrams/drawing26.xml"/><Relationship Id="rId4" Type="http://schemas.openxmlformats.org/officeDocument/2006/relationships/diagramColors" Target="../diagrams/colors25.xml"/><Relationship Id="rId9" Type="http://schemas.openxmlformats.org/officeDocument/2006/relationships/diagramColors" Target="../diagrams/colors26.xml"/><Relationship Id="rId14" Type="http://schemas.openxmlformats.org/officeDocument/2006/relationships/diagramColors" Target="../diagrams/colors27.xml"/></Relationships>
</file>

<file path=xl/drawings/_rels/drawing11.xml.rels><?xml version="1.0" encoding="UTF-8" standalone="yes"?>
<Relationships xmlns="http://schemas.openxmlformats.org/package/2006/relationships"><Relationship Id="rId8" Type="http://schemas.openxmlformats.org/officeDocument/2006/relationships/diagramQuickStyle" Target="../diagrams/quickStyle29.xml"/><Relationship Id="rId13" Type="http://schemas.openxmlformats.org/officeDocument/2006/relationships/diagramQuickStyle" Target="../diagrams/quickStyle30.xml"/><Relationship Id="rId3" Type="http://schemas.openxmlformats.org/officeDocument/2006/relationships/diagramQuickStyle" Target="../diagrams/quickStyle28.xml"/><Relationship Id="rId7" Type="http://schemas.openxmlformats.org/officeDocument/2006/relationships/diagramLayout" Target="../diagrams/layout29.xml"/><Relationship Id="rId12" Type="http://schemas.openxmlformats.org/officeDocument/2006/relationships/diagramLayout" Target="../diagrams/layout30.xml"/><Relationship Id="rId2" Type="http://schemas.openxmlformats.org/officeDocument/2006/relationships/diagramLayout" Target="../diagrams/layout28.xml"/><Relationship Id="rId1" Type="http://schemas.openxmlformats.org/officeDocument/2006/relationships/diagramData" Target="../diagrams/data28.xml"/><Relationship Id="rId6" Type="http://schemas.openxmlformats.org/officeDocument/2006/relationships/diagramData" Target="../diagrams/data29.xml"/><Relationship Id="rId11" Type="http://schemas.openxmlformats.org/officeDocument/2006/relationships/diagramData" Target="../diagrams/data30.xml"/><Relationship Id="rId5" Type="http://schemas.microsoft.com/office/2007/relationships/diagramDrawing" Target="../diagrams/drawing28.xml"/><Relationship Id="rId15" Type="http://schemas.microsoft.com/office/2007/relationships/diagramDrawing" Target="../diagrams/drawing30.xml"/><Relationship Id="rId10" Type="http://schemas.microsoft.com/office/2007/relationships/diagramDrawing" Target="../diagrams/drawing29.xml"/><Relationship Id="rId4" Type="http://schemas.openxmlformats.org/officeDocument/2006/relationships/diagramColors" Target="../diagrams/colors28.xml"/><Relationship Id="rId9" Type="http://schemas.openxmlformats.org/officeDocument/2006/relationships/diagramColors" Target="../diagrams/colors29.xml"/><Relationship Id="rId14" Type="http://schemas.openxmlformats.org/officeDocument/2006/relationships/diagramColors" Target="../diagrams/colors30.xml"/></Relationships>
</file>

<file path=xl/drawings/_rels/drawing12.xml.rels><?xml version="1.0" encoding="UTF-8" standalone="yes"?>
<Relationships xmlns="http://schemas.openxmlformats.org/package/2006/relationships"><Relationship Id="rId8" Type="http://schemas.openxmlformats.org/officeDocument/2006/relationships/diagramQuickStyle" Target="../diagrams/quickStyle32.xml"/><Relationship Id="rId13" Type="http://schemas.openxmlformats.org/officeDocument/2006/relationships/diagramQuickStyle" Target="../diagrams/quickStyle33.xml"/><Relationship Id="rId3" Type="http://schemas.openxmlformats.org/officeDocument/2006/relationships/diagramQuickStyle" Target="../diagrams/quickStyle31.xml"/><Relationship Id="rId7" Type="http://schemas.openxmlformats.org/officeDocument/2006/relationships/diagramLayout" Target="../diagrams/layout32.xml"/><Relationship Id="rId12" Type="http://schemas.openxmlformats.org/officeDocument/2006/relationships/diagramLayout" Target="../diagrams/layout33.xml"/><Relationship Id="rId2" Type="http://schemas.openxmlformats.org/officeDocument/2006/relationships/diagramLayout" Target="../diagrams/layout31.xml"/><Relationship Id="rId1" Type="http://schemas.openxmlformats.org/officeDocument/2006/relationships/diagramData" Target="../diagrams/data31.xml"/><Relationship Id="rId6" Type="http://schemas.openxmlformats.org/officeDocument/2006/relationships/diagramData" Target="../diagrams/data32.xml"/><Relationship Id="rId11" Type="http://schemas.openxmlformats.org/officeDocument/2006/relationships/diagramData" Target="../diagrams/data33.xml"/><Relationship Id="rId5" Type="http://schemas.microsoft.com/office/2007/relationships/diagramDrawing" Target="../diagrams/drawing31.xml"/><Relationship Id="rId15" Type="http://schemas.microsoft.com/office/2007/relationships/diagramDrawing" Target="../diagrams/drawing33.xml"/><Relationship Id="rId10" Type="http://schemas.microsoft.com/office/2007/relationships/diagramDrawing" Target="../diagrams/drawing32.xml"/><Relationship Id="rId4" Type="http://schemas.openxmlformats.org/officeDocument/2006/relationships/diagramColors" Target="../diagrams/colors31.xml"/><Relationship Id="rId9" Type="http://schemas.openxmlformats.org/officeDocument/2006/relationships/diagramColors" Target="../diagrams/colors32.xml"/><Relationship Id="rId14" Type="http://schemas.openxmlformats.org/officeDocument/2006/relationships/diagramColors" Target="../diagrams/colors33.xml"/></Relationships>
</file>

<file path=xl/drawings/_rels/drawing13.xml.rels><?xml version="1.0" encoding="UTF-8" standalone="yes"?>
<Relationships xmlns="http://schemas.openxmlformats.org/package/2006/relationships"><Relationship Id="rId8" Type="http://schemas.openxmlformats.org/officeDocument/2006/relationships/diagramQuickStyle" Target="../diagrams/quickStyle35.xml"/><Relationship Id="rId13" Type="http://schemas.openxmlformats.org/officeDocument/2006/relationships/diagramQuickStyle" Target="../diagrams/quickStyle36.xml"/><Relationship Id="rId3" Type="http://schemas.openxmlformats.org/officeDocument/2006/relationships/diagramQuickStyle" Target="../diagrams/quickStyle34.xml"/><Relationship Id="rId7" Type="http://schemas.openxmlformats.org/officeDocument/2006/relationships/diagramLayout" Target="../diagrams/layout35.xml"/><Relationship Id="rId12" Type="http://schemas.openxmlformats.org/officeDocument/2006/relationships/diagramLayout" Target="../diagrams/layout36.xml"/><Relationship Id="rId2" Type="http://schemas.openxmlformats.org/officeDocument/2006/relationships/diagramLayout" Target="../diagrams/layout34.xml"/><Relationship Id="rId1" Type="http://schemas.openxmlformats.org/officeDocument/2006/relationships/diagramData" Target="../diagrams/data34.xml"/><Relationship Id="rId6" Type="http://schemas.openxmlformats.org/officeDocument/2006/relationships/diagramData" Target="../diagrams/data35.xml"/><Relationship Id="rId11" Type="http://schemas.openxmlformats.org/officeDocument/2006/relationships/diagramData" Target="../diagrams/data36.xml"/><Relationship Id="rId5" Type="http://schemas.microsoft.com/office/2007/relationships/diagramDrawing" Target="../diagrams/drawing34.xml"/><Relationship Id="rId15" Type="http://schemas.microsoft.com/office/2007/relationships/diagramDrawing" Target="../diagrams/drawing36.xml"/><Relationship Id="rId10" Type="http://schemas.microsoft.com/office/2007/relationships/diagramDrawing" Target="../diagrams/drawing35.xml"/><Relationship Id="rId4" Type="http://schemas.openxmlformats.org/officeDocument/2006/relationships/diagramColors" Target="../diagrams/colors34.xml"/><Relationship Id="rId9" Type="http://schemas.openxmlformats.org/officeDocument/2006/relationships/diagramColors" Target="../diagrams/colors35.xml"/><Relationship Id="rId14" Type="http://schemas.openxmlformats.org/officeDocument/2006/relationships/diagramColors" Target="../diagrams/colors36.xml"/></Relationships>
</file>

<file path=xl/drawings/_rels/drawing14.xml.rels><?xml version="1.0" encoding="UTF-8" standalone="yes"?>
<Relationships xmlns="http://schemas.openxmlformats.org/package/2006/relationships"><Relationship Id="rId8" Type="http://schemas.openxmlformats.org/officeDocument/2006/relationships/diagramQuickStyle" Target="../diagrams/quickStyle38.xml"/><Relationship Id="rId13" Type="http://schemas.openxmlformats.org/officeDocument/2006/relationships/diagramQuickStyle" Target="../diagrams/quickStyle39.xml"/><Relationship Id="rId3" Type="http://schemas.openxmlformats.org/officeDocument/2006/relationships/diagramQuickStyle" Target="../diagrams/quickStyle37.xml"/><Relationship Id="rId7" Type="http://schemas.openxmlformats.org/officeDocument/2006/relationships/diagramLayout" Target="../diagrams/layout38.xml"/><Relationship Id="rId12" Type="http://schemas.openxmlformats.org/officeDocument/2006/relationships/diagramLayout" Target="../diagrams/layout39.xml"/><Relationship Id="rId2" Type="http://schemas.openxmlformats.org/officeDocument/2006/relationships/diagramLayout" Target="../diagrams/layout37.xml"/><Relationship Id="rId1" Type="http://schemas.openxmlformats.org/officeDocument/2006/relationships/diagramData" Target="../diagrams/data37.xml"/><Relationship Id="rId6" Type="http://schemas.openxmlformats.org/officeDocument/2006/relationships/diagramData" Target="../diagrams/data38.xml"/><Relationship Id="rId11" Type="http://schemas.openxmlformats.org/officeDocument/2006/relationships/diagramData" Target="../diagrams/data39.xml"/><Relationship Id="rId5" Type="http://schemas.microsoft.com/office/2007/relationships/diagramDrawing" Target="../diagrams/drawing37.xml"/><Relationship Id="rId15" Type="http://schemas.microsoft.com/office/2007/relationships/diagramDrawing" Target="../diagrams/drawing39.xml"/><Relationship Id="rId10" Type="http://schemas.microsoft.com/office/2007/relationships/diagramDrawing" Target="../diagrams/drawing38.xml"/><Relationship Id="rId4" Type="http://schemas.openxmlformats.org/officeDocument/2006/relationships/diagramColors" Target="../diagrams/colors37.xml"/><Relationship Id="rId9" Type="http://schemas.openxmlformats.org/officeDocument/2006/relationships/diagramColors" Target="../diagrams/colors38.xml"/><Relationship Id="rId14" Type="http://schemas.openxmlformats.org/officeDocument/2006/relationships/diagramColors" Target="../diagrams/colors39.xml"/></Relationships>
</file>

<file path=xl/drawings/_rels/drawing15.xml.rels><?xml version="1.0" encoding="UTF-8" standalone="yes"?>
<Relationships xmlns="http://schemas.openxmlformats.org/package/2006/relationships"><Relationship Id="rId8" Type="http://schemas.openxmlformats.org/officeDocument/2006/relationships/diagramQuickStyle" Target="../diagrams/quickStyle41.xml"/><Relationship Id="rId13" Type="http://schemas.openxmlformats.org/officeDocument/2006/relationships/diagramQuickStyle" Target="../diagrams/quickStyle42.xml"/><Relationship Id="rId3" Type="http://schemas.openxmlformats.org/officeDocument/2006/relationships/diagramQuickStyle" Target="../diagrams/quickStyle40.xml"/><Relationship Id="rId7" Type="http://schemas.openxmlformats.org/officeDocument/2006/relationships/diagramLayout" Target="../diagrams/layout41.xml"/><Relationship Id="rId12" Type="http://schemas.openxmlformats.org/officeDocument/2006/relationships/diagramLayout" Target="../diagrams/layout42.xml"/><Relationship Id="rId2" Type="http://schemas.openxmlformats.org/officeDocument/2006/relationships/diagramLayout" Target="../diagrams/layout40.xml"/><Relationship Id="rId1" Type="http://schemas.openxmlformats.org/officeDocument/2006/relationships/diagramData" Target="../diagrams/data40.xml"/><Relationship Id="rId6" Type="http://schemas.openxmlformats.org/officeDocument/2006/relationships/diagramData" Target="../diagrams/data41.xml"/><Relationship Id="rId11" Type="http://schemas.openxmlformats.org/officeDocument/2006/relationships/diagramData" Target="../diagrams/data42.xml"/><Relationship Id="rId5" Type="http://schemas.microsoft.com/office/2007/relationships/diagramDrawing" Target="../diagrams/drawing40.xml"/><Relationship Id="rId15" Type="http://schemas.microsoft.com/office/2007/relationships/diagramDrawing" Target="../diagrams/drawing42.xml"/><Relationship Id="rId10" Type="http://schemas.microsoft.com/office/2007/relationships/diagramDrawing" Target="../diagrams/drawing41.xml"/><Relationship Id="rId4" Type="http://schemas.openxmlformats.org/officeDocument/2006/relationships/diagramColors" Target="../diagrams/colors40.xml"/><Relationship Id="rId9" Type="http://schemas.openxmlformats.org/officeDocument/2006/relationships/diagramColors" Target="../diagrams/colors41.xml"/><Relationship Id="rId14" Type="http://schemas.openxmlformats.org/officeDocument/2006/relationships/diagramColors" Target="../diagrams/colors42.xml"/></Relationships>
</file>

<file path=xl/drawings/_rels/drawing16.xml.rels><?xml version="1.0" encoding="UTF-8" standalone="yes"?>
<Relationships xmlns="http://schemas.openxmlformats.org/package/2006/relationships"><Relationship Id="rId8" Type="http://schemas.openxmlformats.org/officeDocument/2006/relationships/diagramQuickStyle" Target="../diagrams/quickStyle44.xml"/><Relationship Id="rId13" Type="http://schemas.openxmlformats.org/officeDocument/2006/relationships/diagramQuickStyle" Target="../diagrams/quickStyle45.xml"/><Relationship Id="rId3" Type="http://schemas.openxmlformats.org/officeDocument/2006/relationships/diagramQuickStyle" Target="../diagrams/quickStyle43.xml"/><Relationship Id="rId7" Type="http://schemas.openxmlformats.org/officeDocument/2006/relationships/diagramLayout" Target="../diagrams/layout44.xml"/><Relationship Id="rId12" Type="http://schemas.openxmlformats.org/officeDocument/2006/relationships/diagramLayout" Target="../diagrams/layout45.xml"/><Relationship Id="rId2" Type="http://schemas.openxmlformats.org/officeDocument/2006/relationships/diagramLayout" Target="../diagrams/layout43.xml"/><Relationship Id="rId1" Type="http://schemas.openxmlformats.org/officeDocument/2006/relationships/diagramData" Target="../diagrams/data43.xml"/><Relationship Id="rId6" Type="http://schemas.openxmlformats.org/officeDocument/2006/relationships/diagramData" Target="../diagrams/data44.xml"/><Relationship Id="rId11" Type="http://schemas.openxmlformats.org/officeDocument/2006/relationships/diagramData" Target="../diagrams/data45.xml"/><Relationship Id="rId5" Type="http://schemas.microsoft.com/office/2007/relationships/diagramDrawing" Target="../diagrams/drawing43.xml"/><Relationship Id="rId15" Type="http://schemas.microsoft.com/office/2007/relationships/diagramDrawing" Target="../diagrams/drawing45.xml"/><Relationship Id="rId10" Type="http://schemas.microsoft.com/office/2007/relationships/diagramDrawing" Target="../diagrams/drawing44.xml"/><Relationship Id="rId4" Type="http://schemas.openxmlformats.org/officeDocument/2006/relationships/diagramColors" Target="../diagrams/colors43.xml"/><Relationship Id="rId9" Type="http://schemas.openxmlformats.org/officeDocument/2006/relationships/diagramColors" Target="../diagrams/colors44.xml"/><Relationship Id="rId14" Type="http://schemas.openxmlformats.org/officeDocument/2006/relationships/diagramColors" Target="../diagrams/colors45.xml"/></Relationships>
</file>

<file path=xl/drawings/_rels/drawing17.xml.rels><?xml version="1.0" encoding="UTF-8" standalone="yes"?>
<Relationships xmlns="http://schemas.openxmlformats.org/package/2006/relationships"><Relationship Id="rId8" Type="http://schemas.openxmlformats.org/officeDocument/2006/relationships/diagramQuickStyle" Target="../diagrams/quickStyle47.xml"/><Relationship Id="rId13" Type="http://schemas.openxmlformats.org/officeDocument/2006/relationships/diagramQuickStyle" Target="../diagrams/quickStyle48.xml"/><Relationship Id="rId3" Type="http://schemas.openxmlformats.org/officeDocument/2006/relationships/diagramQuickStyle" Target="../diagrams/quickStyle46.xml"/><Relationship Id="rId7" Type="http://schemas.openxmlformats.org/officeDocument/2006/relationships/diagramLayout" Target="../diagrams/layout47.xml"/><Relationship Id="rId12" Type="http://schemas.openxmlformats.org/officeDocument/2006/relationships/diagramLayout" Target="../diagrams/layout48.xml"/><Relationship Id="rId2" Type="http://schemas.openxmlformats.org/officeDocument/2006/relationships/diagramLayout" Target="../diagrams/layout46.xml"/><Relationship Id="rId1" Type="http://schemas.openxmlformats.org/officeDocument/2006/relationships/diagramData" Target="../diagrams/data46.xml"/><Relationship Id="rId6" Type="http://schemas.openxmlformats.org/officeDocument/2006/relationships/diagramData" Target="../diagrams/data47.xml"/><Relationship Id="rId11" Type="http://schemas.openxmlformats.org/officeDocument/2006/relationships/diagramData" Target="../diagrams/data48.xml"/><Relationship Id="rId5" Type="http://schemas.microsoft.com/office/2007/relationships/diagramDrawing" Target="../diagrams/drawing46.xml"/><Relationship Id="rId15" Type="http://schemas.microsoft.com/office/2007/relationships/diagramDrawing" Target="../diagrams/drawing48.xml"/><Relationship Id="rId10" Type="http://schemas.microsoft.com/office/2007/relationships/diagramDrawing" Target="../diagrams/drawing47.xml"/><Relationship Id="rId4" Type="http://schemas.openxmlformats.org/officeDocument/2006/relationships/diagramColors" Target="../diagrams/colors46.xml"/><Relationship Id="rId9" Type="http://schemas.openxmlformats.org/officeDocument/2006/relationships/diagramColors" Target="../diagrams/colors47.xml"/><Relationship Id="rId14" Type="http://schemas.openxmlformats.org/officeDocument/2006/relationships/diagramColors" Target="../diagrams/colors48.xml"/></Relationships>
</file>

<file path=xl/drawings/_rels/drawing18.xml.rels><?xml version="1.0" encoding="UTF-8" standalone="yes"?>
<Relationships xmlns="http://schemas.openxmlformats.org/package/2006/relationships"><Relationship Id="rId8" Type="http://schemas.openxmlformats.org/officeDocument/2006/relationships/diagramQuickStyle" Target="../diagrams/quickStyle50.xml"/><Relationship Id="rId13" Type="http://schemas.openxmlformats.org/officeDocument/2006/relationships/diagramQuickStyle" Target="../diagrams/quickStyle51.xml"/><Relationship Id="rId3" Type="http://schemas.openxmlformats.org/officeDocument/2006/relationships/diagramQuickStyle" Target="../diagrams/quickStyle49.xml"/><Relationship Id="rId7" Type="http://schemas.openxmlformats.org/officeDocument/2006/relationships/diagramLayout" Target="../diagrams/layout50.xml"/><Relationship Id="rId12" Type="http://schemas.openxmlformats.org/officeDocument/2006/relationships/diagramLayout" Target="../diagrams/layout51.xml"/><Relationship Id="rId2" Type="http://schemas.openxmlformats.org/officeDocument/2006/relationships/diagramLayout" Target="../diagrams/layout49.xml"/><Relationship Id="rId1" Type="http://schemas.openxmlformats.org/officeDocument/2006/relationships/diagramData" Target="../diagrams/data49.xml"/><Relationship Id="rId6" Type="http://schemas.openxmlformats.org/officeDocument/2006/relationships/diagramData" Target="../diagrams/data50.xml"/><Relationship Id="rId11" Type="http://schemas.openxmlformats.org/officeDocument/2006/relationships/diagramData" Target="../diagrams/data51.xml"/><Relationship Id="rId5" Type="http://schemas.microsoft.com/office/2007/relationships/diagramDrawing" Target="../diagrams/drawing49.xml"/><Relationship Id="rId15" Type="http://schemas.microsoft.com/office/2007/relationships/diagramDrawing" Target="../diagrams/drawing51.xml"/><Relationship Id="rId10" Type="http://schemas.microsoft.com/office/2007/relationships/diagramDrawing" Target="../diagrams/drawing50.xml"/><Relationship Id="rId4" Type="http://schemas.openxmlformats.org/officeDocument/2006/relationships/diagramColors" Target="../diagrams/colors49.xml"/><Relationship Id="rId9" Type="http://schemas.openxmlformats.org/officeDocument/2006/relationships/diagramColors" Target="../diagrams/colors50.xml"/><Relationship Id="rId14" Type="http://schemas.openxmlformats.org/officeDocument/2006/relationships/diagramColors" Target="../diagrams/colors51.xml"/></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drawing3.xml.rels><?xml version="1.0" encoding="UTF-8" standalone="yes"?>
<Relationships xmlns="http://schemas.openxmlformats.org/package/2006/relationships"><Relationship Id="rId8" Type="http://schemas.openxmlformats.org/officeDocument/2006/relationships/diagramQuickStyle" Target="../diagrams/quickStyle5.xml"/><Relationship Id="rId13" Type="http://schemas.openxmlformats.org/officeDocument/2006/relationships/diagramQuickStyle" Target="../diagrams/quickStyle6.xml"/><Relationship Id="rId3" Type="http://schemas.openxmlformats.org/officeDocument/2006/relationships/diagramQuickStyle" Target="../diagrams/quickStyle4.xml"/><Relationship Id="rId7" Type="http://schemas.openxmlformats.org/officeDocument/2006/relationships/diagramLayout" Target="../diagrams/layout5.xml"/><Relationship Id="rId12" Type="http://schemas.openxmlformats.org/officeDocument/2006/relationships/diagramLayout" Target="../diagrams/layout6.xml"/><Relationship Id="rId2" Type="http://schemas.openxmlformats.org/officeDocument/2006/relationships/diagramLayout" Target="../diagrams/layout4.xml"/><Relationship Id="rId1" Type="http://schemas.openxmlformats.org/officeDocument/2006/relationships/diagramData" Target="../diagrams/data4.xml"/><Relationship Id="rId6" Type="http://schemas.openxmlformats.org/officeDocument/2006/relationships/diagramData" Target="../diagrams/data5.xml"/><Relationship Id="rId11" Type="http://schemas.openxmlformats.org/officeDocument/2006/relationships/diagramData" Target="../diagrams/data6.xml"/><Relationship Id="rId5" Type="http://schemas.microsoft.com/office/2007/relationships/diagramDrawing" Target="../diagrams/drawing4.xml"/><Relationship Id="rId15" Type="http://schemas.microsoft.com/office/2007/relationships/diagramDrawing" Target="../diagrams/drawing6.xml"/><Relationship Id="rId10" Type="http://schemas.microsoft.com/office/2007/relationships/diagramDrawing" Target="../diagrams/drawing5.xml"/><Relationship Id="rId4" Type="http://schemas.openxmlformats.org/officeDocument/2006/relationships/diagramColors" Target="../diagrams/colors4.xml"/><Relationship Id="rId9" Type="http://schemas.openxmlformats.org/officeDocument/2006/relationships/diagramColors" Target="../diagrams/colors5.xml"/><Relationship Id="rId14" Type="http://schemas.openxmlformats.org/officeDocument/2006/relationships/diagramColors" Target="../diagrams/colors6.xml"/></Relationships>
</file>

<file path=xl/drawings/_rels/drawing4.xml.rels><?xml version="1.0" encoding="UTF-8" standalone="yes"?>
<Relationships xmlns="http://schemas.openxmlformats.org/package/2006/relationships"><Relationship Id="rId8" Type="http://schemas.openxmlformats.org/officeDocument/2006/relationships/diagramQuickStyle" Target="../diagrams/quickStyle8.xml"/><Relationship Id="rId13" Type="http://schemas.openxmlformats.org/officeDocument/2006/relationships/diagramQuickStyle" Target="../diagrams/quickStyle9.xml"/><Relationship Id="rId3" Type="http://schemas.openxmlformats.org/officeDocument/2006/relationships/diagramQuickStyle" Target="../diagrams/quickStyle7.xml"/><Relationship Id="rId7" Type="http://schemas.openxmlformats.org/officeDocument/2006/relationships/diagramLayout" Target="../diagrams/layout8.xml"/><Relationship Id="rId12" Type="http://schemas.openxmlformats.org/officeDocument/2006/relationships/diagramLayout" Target="../diagrams/layout9.xml"/><Relationship Id="rId2" Type="http://schemas.openxmlformats.org/officeDocument/2006/relationships/diagramLayout" Target="../diagrams/layout7.xml"/><Relationship Id="rId1" Type="http://schemas.openxmlformats.org/officeDocument/2006/relationships/diagramData" Target="../diagrams/data7.xml"/><Relationship Id="rId6" Type="http://schemas.openxmlformats.org/officeDocument/2006/relationships/diagramData" Target="../diagrams/data8.xml"/><Relationship Id="rId11" Type="http://schemas.openxmlformats.org/officeDocument/2006/relationships/diagramData" Target="../diagrams/data9.xml"/><Relationship Id="rId5" Type="http://schemas.microsoft.com/office/2007/relationships/diagramDrawing" Target="../diagrams/drawing7.xml"/><Relationship Id="rId15" Type="http://schemas.microsoft.com/office/2007/relationships/diagramDrawing" Target="../diagrams/drawing9.xml"/><Relationship Id="rId10" Type="http://schemas.microsoft.com/office/2007/relationships/diagramDrawing" Target="../diagrams/drawing8.xml"/><Relationship Id="rId4" Type="http://schemas.openxmlformats.org/officeDocument/2006/relationships/diagramColors" Target="../diagrams/colors7.xml"/><Relationship Id="rId9" Type="http://schemas.openxmlformats.org/officeDocument/2006/relationships/diagramColors" Target="../diagrams/colors8.xml"/><Relationship Id="rId14" Type="http://schemas.openxmlformats.org/officeDocument/2006/relationships/diagramColors" Target="../diagrams/colors9.xml"/></Relationships>
</file>

<file path=xl/drawings/_rels/drawing5.xml.rels><?xml version="1.0" encoding="UTF-8" standalone="yes"?>
<Relationships xmlns="http://schemas.openxmlformats.org/package/2006/relationships"><Relationship Id="rId8" Type="http://schemas.openxmlformats.org/officeDocument/2006/relationships/diagramQuickStyle" Target="../diagrams/quickStyle11.xml"/><Relationship Id="rId13" Type="http://schemas.openxmlformats.org/officeDocument/2006/relationships/diagramQuickStyle" Target="../diagrams/quickStyle12.xml"/><Relationship Id="rId3" Type="http://schemas.openxmlformats.org/officeDocument/2006/relationships/diagramQuickStyle" Target="../diagrams/quickStyle10.xml"/><Relationship Id="rId7" Type="http://schemas.openxmlformats.org/officeDocument/2006/relationships/diagramLayout" Target="../diagrams/layout11.xml"/><Relationship Id="rId12" Type="http://schemas.openxmlformats.org/officeDocument/2006/relationships/diagramLayout" Target="../diagrams/layout12.xml"/><Relationship Id="rId2" Type="http://schemas.openxmlformats.org/officeDocument/2006/relationships/diagramLayout" Target="../diagrams/layout10.xml"/><Relationship Id="rId1" Type="http://schemas.openxmlformats.org/officeDocument/2006/relationships/diagramData" Target="../diagrams/data10.xml"/><Relationship Id="rId6" Type="http://schemas.openxmlformats.org/officeDocument/2006/relationships/diagramData" Target="../diagrams/data11.xml"/><Relationship Id="rId11" Type="http://schemas.openxmlformats.org/officeDocument/2006/relationships/diagramData" Target="../diagrams/data12.xml"/><Relationship Id="rId5" Type="http://schemas.microsoft.com/office/2007/relationships/diagramDrawing" Target="../diagrams/drawing10.xml"/><Relationship Id="rId15" Type="http://schemas.microsoft.com/office/2007/relationships/diagramDrawing" Target="../diagrams/drawing12.xml"/><Relationship Id="rId10" Type="http://schemas.microsoft.com/office/2007/relationships/diagramDrawing" Target="../diagrams/drawing11.xml"/><Relationship Id="rId4" Type="http://schemas.openxmlformats.org/officeDocument/2006/relationships/diagramColors" Target="../diagrams/colors10.xml"/><Relationship Id="rId9" Type="http://schemas.openxmlformats.org/officeDocument/2006/relationships/diagramColors" Target="../diagrams/colors11.xml"/><Relationship Id="rId14" Type="http://schemas.openxmlformats.org/officeDocument/2006/relationships/diagramColors" Target="../diagrams/colors12.xml"/></Relationships>
</file>

<file path=xl/drawings/_rels/drawing6.xml.rels><?xml version="1.0" encoding="UTF-8" standalone="yes"?>
<Relationships xmlns="http://schemas.openxmlformats.org/package/2006/relationships"><Relationship Id="rId8" Type="http://schemas.openxmlformats.org/officeDocument/2006/relationships/diagramQuickStyle" Target="../diagrams/quickStyle14.xml"/><Relationship Id="rId13" Type="http://schemas.openxmlformats.org/officeDocument/2006/relationships/diagramQuickStyle" Target="../diagrams/quickStyle15.xml"/><Relationship Id="rId3" Type="http://schemas.openxmlformats.org/officeDocument/2006/relationships/diagramQuickStyle" Target="../diagrams/quickStyle13.xml"/><Relationship Id="rId7" Type="http://schemas.openxmlformats.org/officeDocument/2006/relationships/diagramLayout" Target="../diagrams/layout14.xml"/><Relationship Id="rId12" Type="http://schemas.openxmlformats.org/officeDocument/2006/relationships/diagramLayout" Target="../diagrams/layout15.xml"/><Relationship Id="rId2" Type="http://schemas.openxmlformats.org/officeDocument/2006/relationships/diagramLayout" Target="../diagrams/layout13.xml"/><Relationship Id="rId1" Type="http://schemas.openxmlformats.org/officeDocument/2006/relationships/diagramData" Target="../diagrams/data13.xml"/><Relationship Id="rId6" Type="http://schemas.openxmlformats.org/officeDocument/2006/relationships/diagramData" Target="../diagrams/data14.xml"/><Relationship Id="rId11" Type="http://schemas.openxmlformats.org/officeDocument/2006/relationships/diagramData" Target="../diagrams/data15.xml"/><Relationship Id="rId5" Type="http://schemas.microsoft.com/office/2007/relationships/diagramDrawing" Target="../diagrams/drawing13.xml"/><Relationship Id="rId15" Type="http://schemas.microsoft.com/office/2007/relationships/diagramDrawing" Target="../diagrams/drawing15.xml"/><Relationship Id="rId10" Type="http://schemas.microsoft.com/office/2007/relationships/diagramDrawing" Target="../diagrams/drawing14.xml"/><Relationship Id="rId4" Type="http://schemas.openxmlformats.org/officeDocument/2006/relationships/diagramColors" Target="../diagrams/colors13.xml"/><Relationship Id="rId9" Type="http://schemas.openxmlformats.org/officeDocument/2006/relationships/diagramColors" Target="../diagrams/colors14.xml"/><Relationship Id="rId14" Type="http://schemas.openxmlformats.org/officeDocument/2006/relationships/diagramColors" Target="../diagrams/colors15.xml"/></Relationships>
</file>

<file path=xl/drawings/_rels/drawing7.xml.rels><?xml version="1.0" encoding="UTF-8" standalone="yes"?>
<Relationships xmlns="http://schemas.openxmlformats.org/package/2006/relationships"><Relationship Id="rId8" Type="http://schemas.openxmlformats.org/officeDocument/2006/relationships/diagramQuickStyle" Target="../diagrams/quickStyle17.xml"/><Relationship Id="rId13" Type="http://schemas.openxmlformats.org/officeDocument/2006/relationships/diagramQuickStyle" Target="../diagrams/quickStyle18.xml"/><Relationship Id="rId3" Type="http://schemas.openxmlformats.org/officeDocument/2006/relationships/diagramQuickStyle" Target="../diagrams/quickStyle16.xml"/><Relationship Id="rId7" Type="http://schemas.openxmlformats.org/officeDocument/2006/relationships/diagramLayout" Target="../diagrams/layout17.xml"/><Relationship Id="rId12" Type="http://schemas.openxmlformats.org/officeDocument/2006/relationships/diagramLayout" Target="../diagrams/layout18.xml"/><Relationship Id="rId2" Type="http://schemas.openxmlformats.org/officeDocument/2006/relationships/diagramLayout" Target="../diagrams/layout16.xml"/><Relationship Id="rId1" Type="http://schemas.openxmlformats.org/officeDocument/2006/relationships/diagramData" Target="../diagrams/data16.xml"/><Relationship Id="rId6" Type="http://schemas.openxmlformats.org/officeDocument/2006/relationships/diagramData" Target="../diagrams/data17.xml"/><Relationship Id="rId11" Type="http://schemas.openxmlformats.org/officeDocument/2006/relationships/diagramData" Target="../diagrams/data18.xml"/><Relationship Id="rId5" Type="http://schemas.microsoft.com/office/2007/relationships/diagramDrawing" Target="../diagrams/drawing16.xml"/><Relationship Id="rId15" Type="http://schemas.microsoft.com/office/2007/relationships/diagramDrawing" Target="../diagrams/drawing18.xml"/><Relationship Id="rId10" Type="http://schemas.microsoft.com/office/2007/relationships/diagramDrawing" Target="../diagrams/drawing17.xml"/><Relationship Id="rId4" Type="http://schemas.openxmlformats.org/officeDocument/2006/relationships/diagramColors" Target="../diagrams/colors16.xml"/><Relationship Id="rId9" Type="http://schemas.openxmlformats.org/officeDocument/2006/relationships/diagramColors" Target="../diagrams/colors17.xml"/><Relationship Id="rId14" Type="http://schemas.openxmlformats.org/officeDocument/2006/relationships/diagramColors" Target="../diagrams/colors18.xml"/></Relationships>
</file>

<file path=xl/drawings/_rels/drawing8.xml.rels><?xml version="1.0" encoding="UTF-8" standalone="yes"?>
<Relationships xmlns="http://schemas.openxmlformats.org/package/2006/relationships"><Relationship Id="rId8" Type="http://schemas.openxmlformats.org/officeDocument/2006/relationships/diagramQuickStyle" Target="../diagrams/quickStyle20.xml"/><Relationship Id="rId13" Type="http://schemas.openxmlformats.org/officeDocument/2006/relationships/diagramQuickStyle" Target="../diagrams/quickStyle21.xml"/><Relationship Id="rId3" Type="http://schemas.openxmlformats.org/officeDocument/2006/relationships/diagramQuickStyle" Target="../diagrams/quickStyle19.xml"/><Relationship Id="rId7" Type="http://schemas.openxmlformats.org/officeDocument/2006/relationships/diagramLayout" Target="../diagrams/layout20.xml"/><Relationship Id="rId12" Type="http://schemas.openxmlformats.org/officeDocument/2006/relationships/diagramLayout" Target="../diagrams/layout21.xml"/><Relationship Id="rId2" Type="http://schemas.openxmlformats.org/officeDocument/2006/relationships/diagramLayout" Target="../diagrams/layout19.xml"/><Relationship Id="rId1" Type="http://schemas.openxmlformats.org/officeDocument/2006/relationships/diagramData" Target="../diagrams/data19.xml"/><Relationship Id="rId6" Type="http://schemas.openxmlformats.org/officeDocument/2006/relationships/diagramData" Target="../diagrams/data20.xml"/><Relationship Id="rId11" Type="http://schemas.openxmlformats.org/officeDocument/2006/relationships/diagramData" Target="../diagrams/data21.xml"/><Relationship Id="rId5" Type="http://schemas.microsoft.com/office/2007/relationships/diagramDrawing" Target="../diagrams/drawing19.xml"/><Relationship Id="rId15" Type="http://schemas.microsoft.com/office/2007/relationships/diagramDrawing" Target="../diagrams/drawing21.xml"/><Relationship Id="rId10" Type="http://schemas.microsoft.com/office/2007/relationships/diagramDrawing" Target="../diagrams/drawing20.xml"/><Relationship Id="rId4" Type="http://schemas.openxmlformats.org/officeDocument/2006/relationships/diagramColors" Target="../diagrams/colors19.xml"/><Relationship Id="rId9" Type="http://schemas.openxmlformats.org/officeDocument/2006/relationships/diagramColors" Target="../diagrams/colors20.xml"/><Relationship Id="rId14" Type="http://schemas.openxmlformats.org/officeDocument/2006/relationships/diagramColors" Target="../diagrams/colors21.xml"/></Relationships>
</file>

<file path=xl/drawings/_rels/drawing9.xml.rels><?xml version="1.0" encoding="UTF-8" standalone="yes"?>
<Relationships xmlns="http://schemas.openxmlformats.org/package/2006/relationships"><Relationship Id="rId8" Type="http://schemas.openxmlformats.org/officeDocument/2006/relationships/diagramQuickStyle" Target="../diagrams/quickStyle23.xml"/><Relationship Id="rId13" Type="http://schemas.openxmlformats.org/officeDocument/2006/relationships/diagramQuickStyle" Target="../diagrams/quickStyle24.xml"/><Relationship Id="rId3" Type="http://schemas.openxmlformats.org/officeDocument/2006/relationships/diagramQuickStyle" Target="../diagrams/quickStyle22.xml"/><Relationship Id="rId7" Type="http://schemas.openxmlformats.org/officeDocument/2006/relationships/diagramLayout" Target="../diagrams/layout23.xml"/><Relationship Id="rId12" Type="http://schemas.openxmlformats.org/officeDocument/2006/relationships/diagramLayout" Target="../diagrams/layout24.xml"/><Relationship Id="rId2" Type="http://schemas.openxmlformats.org/officeDocument/2006/relationships/diagramLayout" Target="../diagrams/layout22.xml"/><Relationship Id="rId1" Type="http://schemas.openxmlformats.org/officeDocument/2006/relationships/diagramData" Target="../diagrams/data22.xml"/><Relationship Id="rId6" Type="http://schemas.openxmlformats.org/officeDocument/2006/relationships/diagramData" Target="../diagrams/data23.xml"/><Relationship Id="rId11" Type="http://schemas.openxmlformats.org/officeDocument/2006/relationships/diagramData" Target="../diagrams/data24.xml"/><Relationship Id="rId5" Type="http://schemas.microsoft.com/office/2007/relationships/diagramDrawing" Target="../diagrams/drawing22.xml"/><Relationship Id="rId15" Type="http://schemas.microsoft.com/office/2007/relationships/diagramDrawing" Target="../diagrams/drawing24.xml"/><Relationship Id="rId10" Type="http://schemas.microsoft.com/office/2007/relationships/diagramDrawing" Target="../diagrams/drawing23.xml"/><Relationship Id="rId4" Type="http://schemas.openxmlformats.org/officeDocument/2006/relationships/diagramColors" Target="../diagrams/colors22.xml"/><Relationship Id="rId9" Type="http://schemas.openxmlformats.org/officeDocument/2006/relationships/diagramColors" Target="../diagrams/colors23.xml"/><Relationship Id="rId14" Type="http://schemas.openxmlformats.org/officeDocument/2006/relationships/diagramColors" Target="../diagrams/colors24.xml"/></Relationships>
</file>

<file path=xl/drawings/drawing1.xml><?xml version="1.0" encoding="utf-8"?>
<xdr:wsDr xmlns:xdr="http://schemas.openxmlformats.org/drawingml/2006/spreadsheetDrawing" xmlns:a="http://schemas.openxmlformats.org/drawingml/2006/main">
  <xdr:twoCellAnchor>
    <xdr:from>
      <xdr:col>1</xdr:col>
      <xdr:colOff>923925</xdr:colOff>
      <xdr:row>91</xdr:row>
      <xdr:rowOff>123825</xdr:rowOff>
    </xdr:from>
    <xdr:to>
      <xdr:col>3</xdr:col>
      <xdr:colOff>409575</xdr:colOff>
      <xdr:row>107</xdr:row>
      <xdr:rowOff>9525</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385083</xdr:colOff>
      <xdr:row>1</xdr:row>
      <xdr:rowOff>122465</xdr:rowOff>
    </xdr:from>
    <xdr:to>
      <xdr:col>16</xdr:col>
      <xdr:colOff>594633</xdr:colOff>
      <xdr:row>11</xdr:row>
      <xdr:rowOff>51708</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752475</xdr:colOff>
      <xdr:row>1</xdr:row>
      <xdr:rowOff>182335</xdr:rowOff>
    </xdr:from>
    <xdr:to>
      <xdr:col>21</xdr:col>
      <xdr:colOff>481694</xdr:colOff>
      <xdr:row>10</xdr:row>
      <xdr:rowOff>144235</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349704</xdr:colOff>
      <xdr:row>11</xdr:row>
      <xdr:rowOff>299356</xdr:rowOff>
    </xdr:from>
    <xdr:to>
      <xdr:col>16</xdr:col>
      <xdr:colOff>559254</xdr:colOff>
      <xdr:row>19</xdr:row>
      <xdr:rowOff>119743</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195942</xdr:colOff>
      <xdr:row>11</xdr:row>
      <xdr:rowOff>317045</xdr:rowOff>
    </xdr:from>
    <xdr:to>
      <xdr:col>21</xdr:col>
      <xdr:colOff>601435</xdr:colOff>
      <xdr:row>19</xdr:row>
      <xdr:rowOff>110217</xdr:rowOff>
    </xdr:to>
    <xdr:graphicFrame macro="">
      <xdr:nvGraphicFramePr>
        <xdr:cNvPr id="7" name="Gráfico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356506</xdr:colOff>
      <xdr:row>20</xdr:row>
      <xdr:rowOff>155121</xdr:rowOff>
    </xdr:from>
    <xdr:to>
      <xdr:col>16</xdr:col>
      <xdr:colOff>530679</xdr:colOff>
      <xdr:row>27</xdr:row>
      <xdr:rowOff>340179</xdr:rowOff>
    </xdr:to>
    <xdr:graphicFrame macro="">
      <xdr:nvGraphicFramePr>
        <xdr:cNvPr id="8" name="Gráfico 7">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175532</xdr:colOff>
      <xdr:row>20</xdr:row>
      <xdr:rowOff>198664</xdr:rowOff>
    </xdr:from>
    <xdr:to>
      <xdr:col>21</xdr:col>
      <xdr:colOff>625929</xdr:colOff>
      <xdr:row>27</xdr:row>
      <xdr:rowOff>340179</xdr:rowOff>
    </xdr:to>
    <xdr:graphicFrame macro="">
      <xdr:nvGraphicFramePr>
        <xdr:cNvPr id="9" name="Gráfico 8">
          <a:extLst>
            <a:ext uri="{FF2B5EF4-FFF2-40B4-BE49-F238E27FC236}">
              <a16:creationId xmlns:a16="http://schemas.microsoft.com/office/drawing/2014/main" id="{00000000-0008-0000-06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359229</xdr:colOff>
      <xdr:row>28</xdr:row>
      <xdr:rowOff>23131</xdr:rowOff>
    </xdr:from>
    <xdr:to>
      <xdr:col>16</xdr:col>
      <xdr:colOff>557893</xdr:colOff>
      <xdr:row>35</xdr:row>
      <xdr:rowOff>68034</xdr:rowOff>
    </xdr:to>
    <xdr:graphicFrame macro="">
      <xdr:nvGraphicFramePr>
        <xdr:cNvPr id="10" name="Gráfico 9">
          <a:extLst>
            <a:ext uri="{FF2B5EF4-FFF2-40B4-BE49-F238E27FC236}">
              <a16:creationId xmlns:a16="http://schemas.microsoft.com/office/drawing/2014/main" id="{00000000-0008-0000-06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168728</xdr:colOff>
      <xdr:row>28</xdr:row>
      <xdr:rowOff>48986</xdr:rowOff>
    </xdr:from>
    <xdr:to>
      <xdr:col>21</xdr:col>
      <xdr:colOff>639536</xdr:colOff>
      <xdr:row>35</xdr:row>
      <xdr:rowOff>40821</xdr:rowOff>
    </xdr:to>
    <xdr:graphicFrame macro="">
      <xdr:nvGraphicFramePr>
        <xdr:cNvPr id="11" name="Gráfico 10">
          <a:extLst>
            <a:ext uri="{FF2B5EF4-FFF2-40B4-BE49-F238E27FC236}">
              <a16:creationId xmlns:a16="http://schemas.microsoft.com/office/drawing/2014/main" id="{00000000-0008-0000-06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360589</xdr:colOff>
      <xdr:row>36</xdr:row>
      <xdr:rowOff>83002</xdr:rowOff>
    </xdr:from>
    <xdr:to>
      <xdr:col>16</xdr:col>
      <xdr:colOff>585107</xdr:colOff>
      <xdr:row>42</xdr:row>
      <xdr:rowOff>190500</xdr:rowOff>
    </xdr:to>
    <xdr:graphicFrame macro="">
      <xdr:nvGraphicFramePr>
        <xdr:cNvPr id="12" name="Gráfico 11">
          <a:extLst>
            <a:ext uri="{FF2B5EF4-FFF2-40B4-BE49-F238E27FC236}">
              <a16:creationId xmlns:a16="http://schemas.microsoft.com/office/drawing/2014/main" id="{00000000-0008-0000-06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119742</xdr:colOff>
      <xdr:row>36</xdr:row>
      <xdr:rowOff>99330</xdr:rowOff>
    </xdr:from>
    <xdr:to>
      <xdr:col>21</xdr:col>
      <xdr:colOff>668110</xdr:colOff>
      <xdr:row>42</xdr:row>
      <xdr:rowOff>200025</xdr:rowOff>
    </xdr:to>
    <xdr:graphicFrame macro="">
      <xdr:nvGraphicFramePr>
        <xdr:cNvPr id="13" name="Gráfico 12">
          <a:extLst>
            <a:ext uri="{FF2B5EF4-FFF2-40B4-BE49-F238E27FC236}">
              <a16:creationId xmlns:a16="http://schemas.microsoft.com/office/drawing/2014/main" id="{00000000-0008-0000-06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323849</xdr:colOff>
      <xdr:row>43</xdr:row>
      <xdr:rowOff>44903</xdr:rowOff>
    </xdr:from>
    <xdr:to>
      <xdr:col>16</xdr:col>
      <xdr:colOff>557893</xdr:colOff>
      <xdr:row>48</xdr:row>
      <xdr:rowOff>312964</xdr:rowOff>
    </xdr:to>
    <xdr:graphicFrame macro="">
      <xdr:nvGraphicFramePr>
        <xdr:cNvPr id="14" name="Gráfico 13">
          <a:extLst>
            <a:ext uri="{FF2B5EF4-FFF2-40B4-BE49-F238E27FC236}">
              <a16:creationId xmlns:a16="http://schemas.microsoft.com/office/drawing/2014/main" id="{00000000-0008-0000-06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104775</xdr:colOff>
      <xdr:row>43</xdr:row>
      <xdr:rowOff>35379</xdr:rowOff>
    </xdr:from>
    <xdr:to>
      <xdr:col>21</xdr:col>
      <xdr:colOff>643618</xdr:colOff>
      <xdr:row>48</xdr:row>
      <xdr:rowOff>311605</xdr:rowOff>
    </xdr:to>
    <xdr:graphicFrame macro="">
      <xdr:nvGraphicFramePr>
        <xdr:cNvPr id="15" name="Gráfico 14">
          <a:extLst>
            <a:ext uri="{FF2B5EF4-FFF2-40B4-BE49-F238E27FC236}">
              <a16:creationId xmlns:a16="http://schemas.microsoft.com/office/drawing/2014/main" id="{00000000-0008-0000-06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326570</xdr:colOff>
      <xdr:row>48</xdr:row>
      <xdr:rowOff>488496</xdr:rowOff>
    </xdr:from>
    <xdr:to>
      <xdr:col>16</xdr:col>
      <xdr:colOff>557893</xdr:colOff>
      <xdr:row>54</xdr:row>
      <xdr:rowOff>285750</xdr:rowOff>
    </xdr:to>
    <xdr:graphicFrame macro="">
      <xdr:nvGraphicFramePr>
        <xdr:cNvPr id="16" name="Gráfico 15">
          <a:extLst>
            <a:ext uri="{FF2B5EF4-FFF2-40B4-BE49-F238E27FC236}">
              <a16:creationId xmlns:a16="http://schemas.microsoft.com/office/drawing/2014/main" id="{00000000-0008-0000-06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89808</xdr:colOff>
      <xdr:row>49</xdr:row>
      <xdr:rowOff>12247</xdr:rowOff>
    </xdr:from>
    <xdr:to>
      <xdr:col>21</xdr:col>
      <xdr:colOff>693966</xdr:colOff>
      <xdr:row>54</xdr:row>
      <xdr:rowOff>258536</xdr:rowOff>
    </xdr:to>
    <xdr:graphicFrame macro="">
      <xdr:nvGraphicFramePr>
        <xdr:cNvPr id="17" name="Gráfico 16">
          <a:extLst>
            <a:ext uri="{FF2B5EF4-FFF2-40B4-BE49-F238E27FC236}">
              <a16:creationId xmlns:a16="http://schemas.microsoft.com/office/drawing/2014/main" id="{00000000-0008-0000-06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330995</xdr:colOff>
      <xdr:row>55</xdr:row>
      <xdr:rowOff>166686</xdr:rowOff>
    </xdr:from>
    <xdr:to>
      <xdr:col>16</xdr:col>
      <xdr:colOff>547687</xdr:colOff>
      <xdr:row>63</xdr:row>
      <xdr:rowOff>140493</xdr:rowOff>
    </xdr:to>
    <xdr:graphicFrame macro="">
      <xdr:nvGraphicFramePr>
        <xdr:cNvPr id="18" name="Gráfico 17">
          <a:extLst>
            <a:ext uri="{FF2B5EF4-FFF2-40B4-BE49-F238E27FC236}">
              <a16:creationId xmlns:a16="http://schemas.microsoft.com/office/drawing/2014/main" id="{00000000-0008-0000-06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702468</xdr:colOff>
      <xdr:row>93</xdr:row>
      <xdr:rowOff>128588</xdr:rowOff>
    </xdr:from>
    <xdr:to>
      <xdr:col>18</xdr:col>
      <xdr:colOff>440530</xdr:colOff>
      <xdr:row>108</xdr:row>
      <xdr:rowOff>14288</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38101</xdr:colOff>
      <xdr:row>2</xdr:row>
      <xdr:rowOff>76200</xdr:rowOff>
    </xdr:from>
    <xdr:to>
      <xdr:col>18</xdr:col>
      <xdr:colOff>1085850</xdr:colOff>
      <xdr:row>3</xdr:row>
      <xdr:rowOff>142875</xdr:rowOff>
    </xdr:to>
    <xdr:graphicFrame macro="">
      <xdr:nvGraphicFramePr>
        <xdr:cNvPr id="2" name="Diagrama 1">
          <a:extLst>
            <a:ext uri="{FF2B5EF4-FFF2-40B4-BE49-F238E27FC236}">
              <a16:creationId xmlns:a16="http://schemas.microsoft.com/office/drawing/2014/main" id="{D78D28F6-D372-4B74-8A0D-95BE4BF80A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16</xdr:col>
      <xdr:colOff>47625</xdr:colOff>
      <xdr:row>4</xdr:row>
      <xdr:rowOff>19049</xdr:rowOff>
    </xdr:from>
    <xdr:to>
      <xdr:col>18</xdr:col>
      <xdr:colOff>1095375</xdr:colOff>
      <xdr:row>5</xdr:row>
      <xdr:rowOff>66675</xdr:rowOff>
    </xdr:to>
    <xdr:graphicFrame macro="">
      <xdr:nvGraphicFramePr>
        <xdr:cNvPr id="3" name="Diagrama 2">
          <a:extLst>
            <a:ext uri="{FF2B5EF4-FFF2-40B4-BE49-F238E27FC236}">
              <a16:creationId xmlns:a16="http://schemas.microsoft.com/office/drawing/2014/main" id="{3C2A57CE-3E0A-4E58-842A-BD7FC67F45B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16</xdr:col>
      <xdr:colOff>0</xdr:colOff>
      <xdr:row>0</xdr:row>
      <xdr:rowOff>0</xdr:rowOff>
    </xdr:from>
    <xdr:to>
      <xdr:col>19</xdr:col>
      <xdr:colOff>28575</xdr:colOff>
      <xdr:row>2</xdr:row>
      <xdr:rowOff>28575</xdr:rowOff>
    </xdr:to>
    <xdr:graphicFrame macro="">
      <xdr:nvGraphicFramePr>
        <xdr:cNvPr id="4" name="Diagrama 3">
          <a:extLst>
            <a:ext uri="{FF2B5EF4-FFF2-40B4-BE49-F238E27FC236}">
              <a16:creationId xmlns:a16="http://schemas.microsoft.com/office/drawing/2014/main" id="{91D26EF6-7798-43D9-A90B-D242EEA8394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95251</xdr:colOff>
      <xdr:row>2</xdr:row>
      <xdr:rowOff>85725</xdr:rowOff>
    </xdr:from>
    <xdr:to>
      <xdr:col>13</xdr:col>
      <xdr:colOff>276225</xdr:colOff>
      <xdr:row>3</xdr:row>
      <xdr:rowOff>209550</xdr:rowOff>
    </xdr:to>
    <xdr:graphicFrame macro="">
      <xdr:nvGraphicFramePr>
        <xdr:cNvPr id="2" name="Diagrama 1">
          <a:extLst>
            <a:ext uri="{FF2B5EF4-FFF2-40B4-BE49-F238E27FC236}">
              <a16:creationId xmlns:a16="http://schemas.microsoft.com/office/drawing/2014/main" id="{4894F477-D0D3-4B42-9779-FA3731D504D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9</xdr:col>
      <xdr:colOff>47625</xdr:colOff>
      <xdr:row>3</xdr:row>
      <xdr:rowOff>276224</xdr:rowOff>
    </xdr:from>
    <xdr:to>
      <xdr:col>13</xdr:col>
      <xdr:colOff>285751</xdr:colOff>
      <xdr:row>5</xdr:row>
      <xdr:rowOff>85725</xdr:rowOff>
    </xdr:to>
    <xdr:graphicFrame macro="">
      <xdr:nvGraphicFramePr>
        <xdr:cNvPr id="3" name="Diagrama 2">
          <a:extLst>
            <a:ext uri="{FF2B5EF4-FFF2-40B4-BE49-F238E27FC236}">
              <a16:creationId xmlns:a16="http://schemas.microsoft.com/office/drawing/2014/main" id="{F0837A90-C9BB-4DFE-81E0-D515B1992EF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9</xdr:col>
      <xdr:colOff>90487</xdr:colOff>
      <xdr:row>0</xdr:row>
      <xdr:rowOff>14288</xdr:rowOff>
    </xdr:from>
    <xdr:to>
      <xdr:col>13</xdr:col>
      <xdr:colOff>257175</xdr:colOff>
      <xdr:row>1</xdr:row>
      <xdr:rowOff>138112</xdr:rowOff>
    </xdr:to>
    <xdr:graphicFrame macro="">
      <xdr:nvGraphicFramePr>
        <xdr:cNvPr id="4" name="Diagrama 3">
          <a:extLst>
            <a:ext uri="{FF2B5EF4-FFF2-40B4-BE49-F238E27FC236}">
              <a16:creationId xmlns:a16="http://schemas.microsoft.com/office/drawing/2014/main" id="{CFB0183C-FF5E-41BD-B3EB-0B6E4210827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95251</xdr:colOff>
      <xdr:row>2</xdr:row>
      <xdr:rowOff>85725</xdr:rowOff>
    </xdr:from>
    <xdr:to>
      <xdr:col>18</xdr:col>
      <xdr:colOff>276225</xdr:colOff>
      <xdr:row>4</xdr:row>
      <xdr:rowOff>47625</xdr:rowOff>
    </xdr:to>
    <xdr:graphicFrame macro="">
      <xdr:nvGraphicFramePr>
        <xdr:cNvPr id="2" name="Diagrama 1">
          <a:extLst>
            <a:ext uri="{FF2B5EF4-FFF2-40B4-BE49-F238E27FC236}">
              <a16:creationId xmlns:a16="http://schemas.microsoft.com/office/drawing/2014/main" id="{F80250EE-01E2-44C4-9AC8-14EBDAE3D6E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47625</xdr:colOff>
      <xdr:row>3</xdr:row>
      <xdr:rowOff>276225</xdr:rowOff>
    </xdr:from>
    <xdr:to>
      <xdr:col>17</xdr:col>
      <xdr:colOff>685800</xdr:colOff>
      <xdr:row>5</xdr:row>
      <xdr:rowOff>1</xdr:rowOff>
    </xdr:to>
    <xdr:graphicFrame macro="">
      <xdr:nvGraphicFramePr>
        <xdr:cNvPr id="3" name="Diagrama 2">
          <a:extLst>
            <a:ext uri="{FF2B5EF4-FFF2-40B4-BE49-F238E27FC236}">
              <a16:creationId xmlns:a16="http://schemas.microsoft.com/office/drawing/2014/main" id="{B1D0B4A4-4E29-4188-B22F-B5A19F50659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14</xdr:col>
      <xdr:colOff>90487</xdr:colOff>
      <xdr:row>0</xdr:row>
      <xdr:rowOff>14288</xdr:rowOff>
    </xdr:from>
    <xdr:to>
      <xdr:col>18</xdr:col>
      <xdr:colOff>257175</xdr:colOff>
      <xdr:row>1</xdr:row>
      <xdr:rowOff>138112</xdr:rowOff>
    </xdr:to>
    <xdr:graphicFrame macro="">
      <xdr:nvGraphicFramePr>
        <xdr:cNvPr id="4" name="Diagrama 3">
          <a:extLst>
            <a:ext uri="{FF2B5EF4-FFF2-40B4-BE49-F238E27FC236}">
              <a16:creationId xmlns:a16="http://schemas.microsoft.com/office/drawing/2014/main" id="{1BBDFC79-23CE-4DE8-AF43-DE3E8A8EC1A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66676</xdr:colOff>
      <xdr:row>1</xdr:row>
      <xdr:rowOff>161926</xdr:rowOff>
    </xdr:from>
    <xdr:to>
      <xdr:col>12</xdr:col>
      <xdr:colOff>495300</xdr:colOff>
      <xdr:row>3</xdr:row>
      <xdr:rowOff>19050</xdr:rowOff>
    </xdr:to>
    <xdr:graphicFrame macro="">
      <xdr:nvGraphicFramePr>
        <xdr:cNvPr id="2" name="Diagrama 1">
          <a:extLst>
            <a:ext uri="{FF2B5EF4-FFF2-40B4-BE49-F238E27FC236}">
              <a16:creationId xmlns:a16="http://schemas.microsoft.com/office/drawing/2014/main" id="{5280FBA0-B38B-45BA-BFED-29738E4D0A8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8</xdr:col>
      <xdr:colOff>47624</xdr:colOff>
      <xdr:row>3</xdr:row>
      <xdr:rowOff>57150</xdr:rowOff>
    </xdr:from>
    <xdr:to>
      <xdr:col>12</xdr:col>
      <xdr:colOff>485774</xdr:colOff>
      <xdr:row>4</xdr:row>
      <xdr:rowOff>95250</xdr:rowOff>
    </xdr:to>
    <xdr:graphicFrame macro="">
      <xdr:nvGraphicFramePr>
        <xdr:cNvPr id="3" name="Diagrama 2">
          <a:extLst>
            <a:ext uri="{FF2B5EF4-FFF2-40B4-BE49-F238E27FC236}">
              <a16:creationId xmlns:a16="http://schemas.microsoft.com/office/drawing/2014/main" id="{889E3700-F408-4D30-B20B-A67591ACE7D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8</xdr:col>
      <xdr:colOff>90487</xdr:colOff>
      <xdr:row>0</xdr:row>
      <xdr:rowOff>14288</xdr:rowOff>
    </xdr:from>
    <xdr:to>
      <xdr:col>12</xdr:col>
      <xdr:colOff>257175</xdr:colOff>
      <xdr:row>1</xdr:row>
      <xdr:rowOff>138112</xdr:rowOff>
    </xdr:to>
    <xdr:graphicFrame macro="">
      <xdr:nvGraphicFramePr>
        <xdr:cNvPr id="4" name="Diagrama 3">
          <a:extLst>
            <a:ext uri="{FF2B5EF4-FFF2-40B4-BE49-F238E27FC236}">
              <a16:creationId xmlns:a16="http://schemas.microsoft.com/office/drawing/2014/main" id="{BB5F8C93-B05E-4FC7-BBA5-47FB4911F8E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66676</xdr:colOff>
      <xdr:row>1</xdr:row>
      <xdr:rowOff>161926</xdr:rowOff>
    </xdr:from>
    <xdr:to>
      <xdr:col>18</xdr:col>
      <xdr:colOff>495300</xdr:colOff>
      <xdr:row>3</xdr:row>
      <xdr:rowOff>19050</xdr:rowOff>
    </xdr:to>
    <xdr:graphicFrame macro="">
      <xdr:nvGraphicFramePr>
        <xdr:cNvPr id="2" name="Diagrama 1">
          <a:extLst>
            <a:ext uri="{FF2B5EF4-FFF2-40B4-BE49-F238E27FC236}">
              <a16:creationId xmlns:a16="http://schemas.microsoft.com/office/drawing/2014/main" id="{490EDD7D-1A0E-437A-B3A6-975509C18BD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47624</xdr:colOff>
      <xdr:row>3</xdr:row>
      <xdr:rowOff>57150</xdr:rowOff>
    </xdr:from>
    <xdr:to>
      <xdr:col>18</xdr:col>
      <xdr:colOff>485774</xdr:colOff>
      <xdr:row>4</xdr:row>
      <xdr:rowOff>95250</xdr:rowOff>
    </xdr:to>
    <xdr:graphicFrame macro="">
      <xdr:nvGraphicFramePr>
        <xdr:cNvPr id="3" name="Diagrama 2">
          <a:extLst>
            <a:ext uri="{FF2B5EF4-FFF2-40B4-BE49-F238E27FC236}">
              <a16:creationId xmlns:a16="http://schemas.microsoft.com/office/drawing/2014/main" id="{F43BEC31-2433-40F2-A745-4CD8C545489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14</xdr:col>
      <xdr:colOff>90486</xdr:colOff>
      <xdr:row>0</xdr:row>
      <xdr:rowOff>14288</xdr:rowOff>
    </xdr:from>
    <xdr:to>
      <xdr:col>18</xdr:col>
      <xdr:colOff>552449</xdr:colOff>
      <xdr:row>1</xdr:row>
      <xdr:rowOff>138112</xdr:rowOff>
    </xdr:to>
    <xdr:graphicFrame macro="">
      <xdr:nvGraphicFramePr>
        <xdr:cNvPr id="4" name="Diagrama 3">
          <a:extLst>
            <a:ext uri="{FF2B5EF4-FFF2-40B4-BE49-F238E27FC236}">
              <a16:creationId xmlns:a16="http://schemas.microsoft.com/office/drawing/2014/main" id="{5F21A4F4-8A13-450E-97C6-9368BD94772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66677</xdr:colOff>
      <xdr:row>2</xdr:row>
      <xdr:rowOff>1</xdr:rowOff>
    </xdr:from>
    <xdr:to>
      <xdr:col>12</xdr:col>
      <xdr:colOff>466726</xdr:colOff>
      <xdr:row>3</xdr:row>
      <xdr:rowOff>19050</xdr:rowOff>
    </xdr:to>
    <xdr:graphicFrame macro="">
      <xdr:nvGraphicFramePr>
        <xdr:cNvPr id="2" name="Diagrama 1">
          <a:extLst>
            <a:ext uri="{FF2B5EF4-FFF2-40B4-BE49-F238E27FC236}">
              <a16:creationId xmlns:a16="http://schemas.microsoft.com/office/drawing/2014/main" id="{5F8C5943-9815-400F-B4E1-BC9A56E2370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9</xdr:col>
      <xdr:colOff>47624</xdr:colOff>
      <xdr:row>3</xdr:row>
      <xdr:rowOff>57150</xdr:rowOff>
    </xdr:from>
    <xdr:to>
      <xdr:col>12</xdr:col>
      <xdr:colOff>400050</xdr:colOff>
      <xdr:row>4</xdr:row>
      <xdr:rowOff>95250</xdr:rowOff>
    </xdr:to>
    <xdr:graphicFrame macro="">
      <xdr:nvGraphicFramePr>
        <xdr:cNvPr id="3" name="Diagrama 2">
          <a:extLst>
            <a:ext uri="{FF2B5EF4-FFF2-40B4-BE49-F238E27FC236}">
              <a16:creationId xmlns:a16="http://schemas.microsoft.com/office/drawing/2014/main" id="{B7EE74BE-686E-47EC-9921-13806715C73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9</xdr:col>
      <xdr:colOff>90486</xdr:colOff>
      <xdr:row>0</xdr:row>
      <xdr:rowOff>14288</xdr:rowOff>
    </xdr:from>
    <xdr:to>
      <xdr:col>12</xdr:col>
      <xdr:colOff>428625</xdr:colOff>
      <xdr:row>1</xdr:row>
      <xdr:rowOff>138112</xdr:rowOff>
    </xdr:to>
    <xdr:graphicFrame macro="">
      <xdr:nvGraphicFramePr>
        <xdr:cNvPr id="4" name="Diagrama 3">
          <a:extLst>
            <a:ext uri="{FF2B5EF4-FFF2-40B4-BE49-F238E27FC236}">
              <a16:creationId xmlns:a16="http://schemas.microsoft.com/office/drawing/2014/main" id="{EF533D35-32F3-43C2-9859-94AABE08022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66676</xdr:colOff>
      <xdr:row>1</xdr:row>
      <xdr:rowOff>161926</xdr:rowOff>
    </xdr:from>
    <xdr:to>
      <xdr:col>18</xdr:col>
      <xdr:colOff>495300</xdr:colOff>
      <xdr:row>3</xdr:row>
      <xdr:rowOff>19050</xdr:rowOff>
    </xdr:to>
    <xdr:graphicFrame macro="">
      <xdr:nvGraphicFramePr>
        <xdr:cNvPr id="2" name="Diagrama 1">
          <a:extLst>
            <a:ext uri="{FF2B5EF4-FFF2-40B4-BE49-F238E27FC236}">
              <a16:creationId xmlns:a16="http://schemas.microsoft.com/office/drawing/2014/main" id="{25243A8E-CB74-4CA3-8769-22BA476B2F7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47624</xdr:colOff>
      <xdr:row>3</xdr:row>
      <xdr:rowOff>57150</xdr:rowOff>
    </xdr:from>
    <xdr:to>
      <xdr:col>18</xdr:col>
      <xdr:colOff>485774</xdr:colOff>
      <xdr:row>4</xdr:row>
      <xdr:rowOff>95250</xdr:rowOff>
    </xdr:to>
    <xdr:graphicFrame macro="">
      <xdr:nvGraphicFramePr>
        <xdr:cNvPr id="3" name="Diagrama 2">
          <a:extLst>
            <a:ext uri="{FF2B5EF4-FFF2-40B4-BE49-F238E27FC236}">
              <a16:creationId xmlns:a16="http://schemas.microsoft.com/office/drawing/2014/main" id="{913D74F8-018C-4197-AA0D-AEB26689A81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14</xdr:col>
      <xdr:colOff>90486</xdr:colOff>
      <xdr:row>0</xdr:row>
      <xdr:rowOff>14288</xdr:rowOff>
    </xdr:from>
    <xdr:to>
      <xdr:col>18</xdr:col>
      <xdr:colOff>552449</xdr:colOff>
      <xdr:row>1</xdr:row>
      <xdr:rowOff>138112</xdr:rowOff>
    </xdr:to>
    <xdr:graphicFrame macro="">
      <xdr:nvGraphicFramePr>
        <xdr:cNvPr id="4" name="Diagrama 3">
          <a:extLst>
            <a:ext uri="{FF2B5EF4-FFF2-40B4-BE49-F238E27FC236}">
              <a16:creationId xmlns:a16="http://schemas.microsoft.com/office/drawing/2014/main" id="{EB81BA2F-E20B-40E3-A63E-AFAC6141E79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66676</xdr:colOff>
      <xdr:row>1</xdr:row>
      <xdr:rowOff>161926</xdr:rowOff>
    </xdr:from>
    <xdr:to>
      <xdr:col>19</xdr:col>
      <xdr:colOff>495300</xdr:colOff>
      <xdr:row>3</xdr:row>
      <xdr:rowOff>19050</xdr:rowOff>
    </xdr:to>
    <xdr:graphicFrame macro="">
      <xdr:nvGraphicFramePr>
        <xdr:cNvPr id="2" name="Diagrama 1">
          <a:extLst>
            <a:ext uri="{FF2B5EF4-FFF2-40B4-BE49-F238E27FC236}">
              <a16:creationId xmlns:a16="http://schemas.microsoft.com/office/drawing/2014/main" id="{DC9D4312-F2C8-4A22-8BC5-6902CAD35BE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15</xdr:col>
      <xdr:colOff>47624</xdr:colOff>
      <xdr:row>3</xdr:row>
      <xdr:rowOff>57150</xdr:rowOff>
    </xdr:from>
    <xdr:to>
      <xdr:col>19</xdr:col>
      <xdr:colOff>485774</xdr:colOff>
      <xdr:row>4</xdr:row>
      <xdr:rowOff>95250</xdr:rowOff>
    </xdr:to>
    <xdr:graphicFrame macro="">
      <xdr:nvGraphicFramePr>
        <xdr:cNvPr id="3" name="Diagrama 2">
          <a:extLst>
            <a:ext uri="{FF2B5EF4-FFF2-40B4-BE49-F238E27FC236}">
              <a16:creationId xmlns:a16="http://schemas.microsoft.com/office/drawing/2014/main" id="{18329CBD-3AFD-4687-9752-89EC0F49D58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15</xdr:col>
      <xdr:colOff>90486</xdr:colOff>
      <xdr:row>0</xdr:row>
      <xdr:rowOff>14288</xdr:rowOff>
    </xdr:from>
    <xdr:to>
      <xdr:col>19</xdr:col>
      <xdr:colOff>552449</xdr:colOff>
      <xdr:row>1</xdr:row>
      <xdr:rowOff>138112</xdr:rowOff>
    </xdr:to>
    <xdr:graphicFrame macro="">
      <xdr:nvGraphicFramePr>
        <xdr:cNvPr id="4" name="Diagrama 3">
          <a:extLst>
            <a:ext uri="{FF2B5EF4-FFF2-40B4-BE49-F238E27FC236}">
              <a16:creationId xmlns:a16="http://schemas.microsoft.com/office/drawing/2014/main" id="{BA6AF07D-D944-4C1E-B13E-ACC0D13D034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66676</xdr:colOff>
      <xdr:row>1</xdr:row>
      <xdr:rowOff>161926</xdr:rowOff>
    </xdr:from>
    <xdr:to>
      <xdr:col>20</xdr:col>
      <xdr:colOff>190500</xdr:colOff>
      <xdr:row>3</xdr:row>
      <xdr:rowOff>19050</xdr:rowOff>
    </xdr:to>
    <xdr:graphicFrame macro="">
      <xdr:nvGraphicFramePr>
        <xdr:cNvPr id="2" name="Diagrama 1">
          <a:extLst>
            <a:ext uri="{FF2B5EF4-FFF2-40B4-BE49-F238E27FC236}">
              <a16:creationId xmlns:a16="http://schemas.microsoft.com/office/drawing/2014/main" id="{E187710A-B1DA-490F-B8CB-BBFADBA8491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17</xdr:col>
      <xdr:colOff>47624</xdr:colOff>
      <xdr:row>3</xdr:row>
      <xdr:rowOff>57150</xdr:rowOff>
    </xdr:from>
    <xdr:to>
      <xdr:col>20</xdr:col>
      <xdr:colOff>95250</xdr:colOff>
      <xdr:row>4</xdr:row>
      <xdr:rowOff>95250</xdr:rowOff>
    </xdr:to>
    <xdr:graphicFrame macro="">
      <xdr:nvGraphicFramePr>
        <xdr:cNvPr id="3" name="Diagrama 2">
          <a:extLst>
            <a:ext uri="{FF2B5EF4-FFF2-40B4-BE49-F238E27FC236}">
              <a16:creationId xmlns:a16="http://schemas.microsoft.com/office/drawing/2014/main" id="{4B33EDC4-A140-4E8F-8494-9C05D4AB2FF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17</xdr:col>
      <xdr:colOff>90486</xdr:colOff>
      <xdr:row>0</xdr:row>
      <xdr:rowOff>14288</xdr:rowOff>
    </xdr:from>
    <xdr:to>
      <xdr:col>20</xdr:col>
      <xdr:colOff>104775</xdr:colOff>
      <xdr:row>1</xdr:row>
      <xdr:rowOff>138112</xdr:rowOff>
    </xdr:to>
    <xdr:graphicFrame macro="">
      <xdr:nvGraphicFramePr>
        <xdr:cNvPr id="4" name="Diagrama 3">
          <a:extLst>
            <a:ext uri="{FF2B5EF4-FFF2-40B4-BE49-F238E27FC236}">
              <a16:creationId xmlns:a16="http://schemas.microsoft.com/office/drawing/2014/main" id="{2C0C55B2-7098-4E15-B1E2-AC56F0EAB92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2</xdr:row>
      <xdr:rowOff>161924</xdr:rowOff>
    </xdr:from>
    <xdr:to>
      <xdr:col>19</xdr:col>
      <xdr:colOff>657546</xdr:colOff>
      <xdr:row>3</xdr:row>
      <xdr:rowOff>322565</xdr:rowOff>
    </xdr:to>
    <xdr:graphicFrame macro="">
      <xdr:nvGraphicFramePr>
        <xdr:cNvPr id="19" name="Diagrama 18">
          <a:extLst>
            <a:ext uri="{FF2B5EF4-FFF2-40B4-BE49-F238E27FC236}">
              <a16:creationId xmlns:a16="http://schemas.microsoft.com/office/drawing/2014/main" id="{FACF1083-B262-476D-A61D-04CA1CA67D5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16</xdr:col>
      <xdr:colOff>5885</xdr:colOff>
      <xdr:row>4</xdr:row>
      <xdr:rowOff>114300</xdr:rowOff>
    </xdr:from>
    <xdr:to>
      <xdr:col>19</xdr:col>
      <xdr:colOff>685800</xdr:colOff>
      <xdr:row>5</xdr:row>
      <xdr:rowOff>247650</xdr:rowOff>
    </xdr:to>
    <xdr:graphicFrame macro="">
      <xdr:nvGraphicFramePr>
        <xdr:cNvPr id="20" name="Diagrama 19">
          <a:extLst>
            <a:ext uri="{FF2B5EF4-FFF2-40B4-BE49-F238E27FC236}">
              <a16:creationId xmlns:a16="http://schemas.microsoft.com/office/drawing/2014/main" id="{6E115F7C-81B8-4D0D-8C8F-5B8CA753D72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16</xdr:col>
      <xdr:colOff>23812</xdr:colOff>
      <xdr:row>0</xdr:row>
      <xdr:rowOff>90488</xdr:rowOff>
    </xdr:from>
    <xdr:to>
      <xdr:col>19</xdr:col>
      <xdr:colOff>717051</xdr:colOff>
      <xdr:row>2</xdr:row>
      <xdr:rowOff>66675</xdr:rowOff>
    </xdr:to>
    <xdr:graphicFrame macro="">
      <xdr:nvGraphicFramePr>
        <xdr:cNvPr id="21" name="Diagrama 20">
          <a:extLst>
            <a:ext uri="{FF2B5EF4-FFF2-40B4-BE49-F238E27FC236}">
              <a16:creationId xmlns:a16="http://schemas.microsoft.com/office/drawing/2014/main" id="{333887BF-F1E4-458D-B97E-1D21FC76E82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95251</xdr:colOff>
      <xdr:row>2</xdr:row>
      <xdr:rowOff>85725</xdr:rowOff>
    </xdr:from>
    <xdr:to>
      <xdr:col>18</xdr:col>
      <xdr:colOff>276225</xdr:colOff>
      <xdr:row>4</xdr:row>
      <xdr:rowOff>47625</xdr:rowOff>
    </xdr:to>
    <xdr:graphicFrame macro="">
      <xdr:nvGraphicFramePr>
        <xdr:cNvPr id="33" name="Diagrama 32">
          <a:extLst>
            <a:ext uri="{FF2B5EF4-FFF2-40B4-BE49-F238E27FC236}">
              <a16:creationId xmlns:a16="http://schemas.microsoft.com/office/drawing/2014/main" id="{67E3E45C-9171-4AD9-ACCC-C0D94B85CC5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47625</xdr:colOff>
      <xdr:row>4</xdr:row>
      <xdr:rowOff>142874</xdr:rowOff>
    </xdr:from>
    <xdr:to>
      <xdr:col>18</xdr:col>
      <xdr:colOff>285751</xdr:colOff>
      <xdr:row>5</xdr:row>
      <xdr:rowOff>266700</xdr:rowOff>
    </xdr:to>
    <xdr:graphicFrame macro="">
      <xdr:nvGraphicFramePr>
        <xdr:cNvPr id="34" name="Diagrama 33">
          <a:extLst>
            <a:ext uri="{FF2B5EF4-FFF2-40B4-BE49-F238E27FC236}">
              <a16:creationId xmlns:a16="http://schemas.microsoft.com/office/drawing/2014/main" id="{15AAAF26-0945-404E-8DCA-7092AF2DBAA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14</xdr:col>
      <xdr:colOff>90487</xdr:colOff>
      <xdr:row>0</xdr:row>
      <xdr:rowOff>14288</xdr:rowOff>
    </xdr:from>
    <xdr:to>
      <xdr:col>18</xdr:col>
      <xdr:colOff>257175</xdr:colOff>
      <xdr:row>1</xdr:row>
      <xdr:rowOff>138112</xdr:rowOff>
    </xdr:to>
    <xdr:graphicFrame macro="">
      <xdr:nvGraphicFramePr>
        <xdr:cNvPr id="41" name="Diagrama 40">
          <a:extLst>
            <a:ext uri="{FF2B5EF4-FFF2-40B4-BE49-F238E27FC236}">
              <a16:creationId xmlns:a16="http://schemas.microsoft.com/office/drawing/2014/main" id="{0C9124E1-BC30-4C95-B1F8-1BC92537FC9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38101</xdr:colOff>
      <xdr:row>2</xdr:row>
      <xdr:rowOff>28575</xdr:rowOff>
    </xdr:from>
    <xdr:to>
      <xdr:col>20</xdr:col>
      <xdr:colOff>695646</xdr:colOff>
      <xdr:row>3</xdr:row>
      <xdr:rowOff>74916</xdr:rowOff>
    </xdr:to>
    <xdr:graphicFrame macro="">
      <xdr:nvGraphicFramePr>
        <xdr:cNvPr id="2" name="Diagrama 1">
          <a:extLst>
            <a:ext uri="{FF2B5EF4-FFF2-40B4-BE49-F238E27FC236}">
              <a16:creationId xmlns:a16="http://schemas.microsoft.com/office/drawing/2014/main" id="{1704EAF6-5384-40B6-931B-6A0912DEE33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17</xdr:col>
      <xdr:colOff>53510</xdr:colOff>
      <xdr:row>3</xdr:row>
      <xdr:rowOff>149831</xdr:rowOff>
    </xdr:from>
    <xdr:to>
      <xdr:col>20</xdr:col>
      <xdr:colOff>733425</xdr:colOff>
      <xdr:row>5</xdr:row>
      <xdr:rowOff>19050</xdr:rowOff>
    </xdr:to>
    <xdr:graphicFrame macro="">
      <xdr:nvGraphicFramePr>
        <xdr:cNvPr id="3" name="Diagrama 2">
          <a:extLst>
            <a:ext uri="{FF2B5EF4-FFF2-40B4-BE49-F238E27FC236}">
              <a16:creationId xmlns:a16="http://schemas.microsoft.com/office/drawing/2014/main" id="{8E6391FC-CB5A-4A91-B65F-321083A5CAA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17</xdr:col>
      <xdr:colOff>23812</xdr:colOff>
      <xdr:row>0</xdr:row>
      <xdr:rowOff>90488</xdr:rowOff>
    </xdr:from>
    <xdr:to>
      <xdr:col>20</xdr:col>
      <xdr:colOff>717051</xdr:colOff>
      <xdr:row>1</xdr:row>
      <xdr:rowOff>117725</xdr:rowOff>
    </xdr:to>
    <xdr:graphicFrame macro="">
      <xdr:nvGraphicFramePr>
        <xdr:cNvPr id="4" name="Diagrama 3">
          <a:extLst>
            <a:ext uri="{FF2B5EF4-FFF2-40B4-BE49-F238E27FC236}">
              <a16:creationId xmlns:a16="http://schemas.microsoft.com/office/drawing/2014/main" id="{90E318F5-59D8-4AF9-9FFE-467B7E44D3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38101</xdr:colOff>
      <xdr:row>2</xdr:row>
      <xdr:rowOff>28575</xdr:rowOff>
    </xdr:from>
    <xdr:to>
      <xdr:col>22</xdr:col>
      <xdr:colOff>695646</xdr:colOff>
      <xdr:row>3</xdr:row>
      <xdr:rowOff>74916</xdr:rowOff>
    </xdr:to>
    <xdr:graphicFrame macro="">
      <xdr:nvGraphicFramePr>
        <xdr:cNvPr id="2" name="Diagrama 1">
          <a:extLst>
            <a:ext uri="{FF2B5EF4-FFF2-40B4-BE49-F238E27FC236}">
              <a16:creationId xmlns:a16="http://schemas.microsoft.com/office/drawing/2014/main" id="{817EAC9C-A767-4A94-9D6C-5263747C764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19</xdr:col>
      <xdr:colOff>53510</xdr:colOff>
      <xdr:row>3</xdr:row>
      <xdr:rowOff>149831</xdr:rowOff>
    </xdr:from>
    <xdr:to>
      <xdr:col>22</xdr:col>
      <xdr:colOff>733425</xdr:colOff>
      <xdr:row>5</xdr:row>
      <xdr:rowOff>19050</xdr:rowOff>
    </xdr:to>
    <xdr:graphicFrame macro="">
      <xdr:nvGraphicFramePr>
        <xdr:cNvPr id="3" name="Diagrama 2">
          <a:extLst>
            <a:ext uri="{FF2B5EF4-FFF2-40B4-BE49-F238E27FC236}">
              <a16:creationId xmlns:a16="http://schemas.microsoft.com/office/drawing/2014/main" id="{B6003D9A-7EE1-41BF-81DC-A8530249103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19</xdr:col>
      <xdr:colOff>23812</xdr:colOff>
      <xdr:row>0</xdr:row>
      <xdr:rowOff>90488</xdr:rowOff>
    </xdr:from>
    <xdr:to>
      <xdr:col>22</xdr:col>
      <xdr:colOff>717051</xdr:colOff>
      <xdr:row>1</xdr:row>
      <xdr:rowOff>117725</xdr:rowOff>
    </xdr:to>
    <xdr:graphicFrame macro="">
      <xdr:nvGraphicFramePr>
        <xdr:cNvPr id="4" name="Diagrama 3">
          <a:extLst>
            <a:ext uri="{FF2B5EF4-FFF2-40B4-BE49-F238E27FC236}">
              <a16:creationId xmlns:a16="http://schemas.microsoft.com/office/drawing/2014/main" id="{3B538CA9-CADC-4497-8FBE-9B745959F41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17</xdr:col>
      <xdr:colOff>38101</xdr:colOff>
      <xdr:row>2</xdr:row>
      <xdr:rowOff>28575</xdr:rowOff>
    </xdr:from>
    <xdr:to>
      <xdr:col>20</xdr:col>
      <xdr:colOff>695646</xdr:colOff>
      <xdr:row>3</xdr:row>
      <xdr:rowOff>74916</xdr:rowOff>
    </xdr:to>
    <xdr:graphicFrame macro="">
      <xdr:nvGraphicFramePr>
        <xdr:cNvPr id="2" name="Diagrama 1">
          <a:extLst>
            <a:ext uri="{FF2B5EF4-FFF2-40B4-BE49-F238E27FC236}">
              <a16:creationId xmlns:a16="http://schemas.microsoft.com/office/drawing/2014/main" id="{01557B48-C762-4253-9596-907073736FE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17</xdr:col>
      <xdr:colOff>53510</xdr:colOff>
      <xdr:row>3</xdr:row>
      <xdr:rowOff>149831</xdr:rowOff>
    </xdr:from>
    <xdr:to>
      <xdr:col>20</xdr:col>
      <xdr:colOff>733425</xdr:colOff>
      <xdr:row>5</xdr:row>
      <xdr:rowOff>19050</xdr:rowOff>
    </xdr:to>
    <xdr:graphicFrame macro="">
      <xdr:nvGraphicFramePr>
        <xdr:cNvPr id="3" name="Diagrama 2">
          <a:extLst>
            <a:ext uri="{FF2B5EF4-FFF2-40B4-BE49-F238E27FC236}">
              <a16:creationId xmlns:a16="http://schemas.microsoft.com/office/drawing/2014/main" id="{A9E01957-0B3B-4409-8F4A-A791B08CADC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17</xdr:col>
      <xdr:colOff>23812</xdr:colOff>
      <xdr:row>0</xdr:row>
      <xdr:rowOff>90488</xdr:rowOff>
    </xdr:from>
    <xdr:to>
      <xdr:col>20</xdr:col>
      <xdr:colOff>717051</xdr:colOff>
      <xdr:row>1</xdr:row>
      <xdr:rowOff>117725</xdr:rowOff>
    </xdr:to>
    <xdr:graphicFrame macro="">
      <xdr:nvGraphicFramePr>
        <xdr:cNvPr id="4" name="Diagrama 3">
          <a:extLst>
            <a:ext uri="{FF2B5EF4-FFF2-40B4-BE49-F238E27FC236}">
              <a16:creationId xmlns:a16="http://schemas.microsoft.com/office/drawing/2014/main" id="{7C2D76F3-838A-44B6-976C-7BC446E51D8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95251</xdr:colOff>
      <xdr:row>2</xdr:row>
      <xdr:rowOff>85725</xdr:rowOff>
    </xdr:from>
    <xdr:to>
      <xdr:col>16</xdr:col>
      <xdr:colOff>276225</xdr:colOff>
      <xdr:row>4</xdr:row>
      <xdr:rowOff>47625</xdr:rowOff>
    </xdr:to>
    <xdr:graphicFrame macro="">
      <xdr:nvGraphicFramePr>
        <xdr:cNvPr id="2" name="Diagrama 1">
          <a:extLst>
            <a:ext uri="{FF2B5EF4-FFF2-40B4-BE49-F238E27FC236}">
              <a16:creationId xmlns:a16="http://schemas.microsoft.com/office/drawing/2014/main" id="{3FDB85BE-1C5D-4EC4-A651-067896B8395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12</xdr:col>
      <xdr:colOff>47625</xdr:colOff>
      <xdr:row>4</xdr:row>
      <xdr:rowOff>142874</xdr:rowOff>
    </xdr:from>
    <xdr:to>
      <xdr:col>16</xdr:col>
      <xdr:colOff>285751</xdr:colOff>
      <xdr:row>5</xdr:row>
      <xdr:rowOff>266700</xdr:rowOff>
    </xdr:to>
    <xdr:graphicFrame macro="">
      <xdr:nvGraphicFramePr>
        <xdr:cNvPr id="3" name="Diagrama 2">
          <a:extLst>
            <a:ext uri="{FF2B5EF4-FFF2-40B4-BE49-F238E27FC236}">
              <a16:creationId xmlns:a16="http://schemas.microsoft.com/office/drawing/2014/main" id="{3BD16755-2F81-4A25-8FAC-E0A098C1C00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12</xdr:col>
      <xdr:colOff>90487</xdr:colOff>
      <xdr:row>0</xdr:row>
      <xdr:rowOff>14288</xdr:rowOff>
    </xdr:from>
    <xdr:to>
      <xdr:col>16</xdr:col>
      <xdr:colOff>257175</xdr:colOff>
      <xdr:row>1</xdr:row>
      <xdr:rowOff>138112</xdr:rowOff>
    </xdr:to>
    <xdr:graphicFrame macro="">
      <xdr:nvGraphicFramePr>
        <xdr:cNvPr id="4" name="Diagrama 3">
          <a:extLst>
            <a:ext uri="{FF2B5EF4-FFF2-40B4-BE49-F238E27FC236}">
              <a16:creationId xmlns:a16="http://schemas.microsoft.com/office/drawing/2014/main" id="{35D8D747-42B4-4A1F-9A19-92C21C911BF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95251</xdr:colOff>
      <xdr:row>2</xdr:row>
      <xdr:rowOff>85725</xdr:rowOff>
    </xdr:from>
    <xdr:to>
      <xdr:col>16</xdr:col>
      <xdr:colOff>1756171</xdr:colOff>
      <xdr:row>4</xdr:row>
      <xdr:rowOff>47625</xdr:rowOff>
    </xdr:to>
    <xdr:graphicFrame macro="">
      <xdr:nvGraphicFramePr>
        <xdr:cNvPr id="2" name="Diagrama 1">
          <a:extLst>
            <a:ext uri="{FF2B5EF4-FFF2-40B4-BE49-F238E27FC236}">
              <a16:creationId xmlns:a16="http://schemas.microsoft.com/office/drawing/2014/main" id="{33F371C9-5A8B-424B-8167-19E32A6B558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47625</xdr:colOff>
      <xdr:row>4</xdr:row>
      <xdr:rowOff>142874</xdr:rowOff>
    </xdr:from>
    <xdr:to>
      <xdr:col>16</xdr:col>
      <xdr:colOff>1666875</xdr:colOff>
      <xdr:row>5</xdr:row>
      <xdr:rowOff>266700</xdr:rowOff>
    </xdr:to>
    <xdr:graphicFrame macro="">
      <xdr:nvGraphicFramePr>
        <xdr:cNvPr id="3" name="Diagrama 2">
          <a:extLst>
            <a:ext uri="{FF2B5EF4-FFF2-40B4-BE49-F238E27FC236}">
              <a16:creationId xmlns:a16="http://schemas.microsoft.com/office/drawing/2014/main" id="{23D3180A-DA14-417F-9EC3-44D2C358284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14</xdr:col>
      <xdr:colOff>90487</xdr:colOff>
      <xdr:row>0</xdr:row>
      <xdr:rowOff>14288</xdr:rowOff>
    </xdr:from>
    <xdr:to>
      <xdr:col>16</xdr:col>
      <xdr:colOff>1746250</xdr:colOff>
      <xdr:row>1</xdr:row>
      <xdr:rowOff>138112</xdr:rowOff>
    </xdr:to>
    <xdr:graphicFrame macro="">
      <xdr:nvGraphicFramePr>
        <xdr:cNvPr id="4" name="Diagrama 3">
          <a:extLst>
            <a:ext uri="{FF2B5EF4-FFF2-40B4-BE49-F238E27FC236}">
              <a16:creationId xmlns:a16="http://schemas.microsoft.com/office/drawing/2014/main" id="{C9097033-919B-4E82-B517-817CE15EA5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20</xdr:col>
      <xdr:colOff>66676</xdr:colOff>
      <xdr:row>1</xdr:row>
      <xdr:rowOff>104775</xdr:rowOff>
    </xdr:from>
    <xdr:to>
      <xdr:col>23</xdr:col>
      <xdr:colOff>9525</xdr:colOff>
      <xdr:row>3</xdr:row>
      <xdr:rowOff>9525</xdr:rowOff>
    </xdr:to>
    <xdr:graphicFrame macro="">
      <xdr:nvGraphicFramePr>
        <xdr:cNvPr id="2" name="Diagrama 1">
          <a:extLst>
            <a:ext uri="{FF2B5EF4-FFF2-40B4-BE49-F238E27FC236}">
              <a16:creationId xmlns:a16="http://schemas.microsoft.com/office/drawing/2014/main" id="{8F169F9D-FDDF-408C-9AF4-6B1127A3B3B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20</xdr:col>
      <xdr:colOff>57150</xdr:colOff>
      <xdr:row>3</xdr:row>
      <xdr:rowOff>85724</xdr:rowOff>
    </xdr:from>
    <xdr:to>
      <xdr:col>22</xdr:col>
      <xdr:colOff>1181100</xdr:colOff>
      <xdr:row>4</xdr:row>
      <xdr:rowOff>114300</xdr:rowOff>
    </xdr:to>
    <xdr:graphicFrame macro="">
      <xdr:nvGraphicFramePr>
        <xdr:cNvPr id="3" name="Diagrama 2">
          <a:extLst>
            <a:ext uri="{FF2B5EF4-FFF2-40B4-BE49-F238E27FC236}">
              <a16:creationId xmlns:a16="http://schemas.microsoft.com/office/drawing/2014/main" id="{FB93CA60-CBEE-44E3-B609-F92314F4E3F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20</xdr:col>
      <xdr:colOff>90487</xdr:colOff>
      <xdr:row>0</xdr:row>
      <xdr:rowOff>14288</xdr:rowOff>
    </xdr:from>
    <xdr:to>
      <xdr:col>23</xdr:col>
      <xdr:colOff>11906</xdr:colOff>
      <xdr:row>1</xdr:row>
      <xdr:rowOff>138112</xdr:rowOff>
    </xdr:to>
    <xdr:graphicFrame macro="">
      <xdr:nvGraphicFramePr>
        <xdr:cNvPr id="4" name="Diagrama 3">
          <a:extLst>
            <a:ext uri="{FF2B5EF4-FFF2-40B4-BE49-F238E27FC236}">
              <a16:creationId xmlns:a16="http://schemas.microsoft.com/office/drawing/2014/main" id="{D7660B7D-C99E-40F5-B731-01B80AFAB51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EIDY/POAI/POAI%202022/POAI%20SEPTIEMBRE/POAI%2012%20DE%20SEPTIEMBRE/POAI%202022%20-%20SEPTIEMBRE%208%20-%20JESU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velasquez\Downloads\POAI%202022%20-%20OCTUBRE%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 prop"/>
      <sheetName val="Estr actual"/>
      <sheetName val="FUENTES"/>
      <sheetName val="NOMINA"/>
      <sheetName val="COMPARATIVO INDIC"/>
      <sheetName val="2021"/>
      <sheetName val="INDIC"/>
      <sheetName val="Matriz indic"/>
      <sheetName val="CONSOLIDADO"/>
      <sheetName val="320101"/>
      <sheetName val="ACCIONES 320101"/>
      <sheetName val="320102"/>
      <sheetName val="ACCIONES 320102"/>
      <sheetName val="320103"/>
      <sheetName val="ACCIONES 320103"/>
      <sheetName val="320201"/>
      <sheetName val="ACCIONES 320201"/>
      <sheetName val="320202"/>
      <sheetName val="ACCIONES 320202"/>
      <sheetName val="320203"/>
      <sheetName val="ACCIONES 320203"/>
      <sheetName val="320301"/>
      <sheetName val="ACCIONES 320301"/>
      <sheetName val="320302"/>
      <sheetName val="ACCIONES 320302"/>
      <sheetName val="320401"/>
      <sheetName val="ACCIONES 320401"/>
      <sheetName val="320501"/>
      <sheetName val="ACCIONES 320501"/>
      <sheetName val="320502"/>
      <sheetName val="ACCIONES 320502"/>
      <sheetName val="320503"/>
      <sheetName val="ACCIONES 320503"/>
      <sheetName val="320504"/>
      <sheetName val="320601"/>
      <sheetName val="ACCIONES 320601"/>
      <sheetName val="320801"/>
      <sheetName val="ACCIONES 320801"/>
      <sheetName val="329901"/>
      <sheetName val="ACCIONES 329901"/>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6">
          <cell r="G36">
            <v>3270276</v>
          </cell>
        </row>
      </sheetData>
      <sheetData sheetId="15"/>
      <sheetData sheetId="16"/>
      <sheetData sheetId="17"/>
      <sheetData sheetId="18">
        <row r="22">
          <cell r="M22">
            <v>16953023.927999999</v>
          </cell>
        </row>
        <row r="81">
          <cell r="G81">
            <v>5349161.4000000004</v>
          </cell>
        </row>
      </sheetData>
      <sheetData sheetId="19"/>
      <sheetData sheetId="20"/>
      <sheetData sheetId="21"/>
      <sheetData sheetId="22"/>
      <sheetData sheetId="23"/>
      <sheetData sheetId="24"/>
      <sheetData sheetId="25"/>
      <sheetData sheetId="26"/>
      <sheetData sheetId="27"/>
      <sheetData sheetId="28"/>
      <sheetData sheetId="29"/>
      <sheetData sheetId="30">
        <row r="46">
          <cell r="G46">
            <v>28197251</v>
          </cell>
        </row>
      </sheetData>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 prop"/>
      <sheetName val="Estr actual"/>
      <sheetName val="FUENTES"/>
      <sheetName val="NOMINA"/>
      <sheetName val="COMPARATIVO INDIC"/>
      <sheetName val="2021"/>
      <sheetName val="INDIC"/>
      <sheetName val="Matriz indic"/>
      <sheetName val="CONSOLIDADO"/>
      <sheetName val="320101"/>
      <sheetName val="ACCIONES 320101"/>
      <sheetName val="320102"/>
      <sheetName val="ACCIONES 320102"/>
      <sheetName val="320103"/>
      <sheetName val="ACCIONES 320103"/>
      <sheetName val="320201"/>
      <sheetName val="ACCIONES 320201"/>
      <sheetName val="320202"/>
      <sheetName val="ACCIONES 320202"/>
      <sheetName val="320203"/>
      <sheetName val="ACCIONES 320203"/>
      <sheetName val="320301"/>
      <sheetName val="ACCIONES 320301"/>
      <sheetName val="320302"/>
      <sheetName val="ACCIONES 320302"/>
      <sheetName val="320401"/>
      <sheetName val="ACCIONES 320401"/>
      <sheetName val="320501"/>
      <sheetName val="ACCIONES 320501"/>
      <sheetName val="320502"/>
      <sheetName val="ACCIONES 320502"/>
      <sheetName val="320503"/>
      <sheetName val="ACCIONES 320503"/>
      <sheetName val="320504"/>
      <sheetName val="320601"/>
      <sheetName val="ACCIONES 320601"/>
      <sheetName val="320801"/>
      <sheetName val="ACCIONES 320801"/>
      <sheetName val="329901"/>
      <sheetName val="ACCIONES 329901"/>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8">
          <cell r="I18">
            <v>65236054.600000001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4.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16.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18.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0.xml"/><Relationship Id="rId1" Type="http://schemas.openxmlformats.org/officeDocument/2006/relationships/printerSettings" Target="../printerSettings/printerSettings19.bin"/><Relationship Id="rId4" Type="http://schemas.openxmlformats.org/officeDocument/2006/relationships/comments" Target="../comments20.x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1.xml"/><Relationship Id="rId1" Type="http://schemas.openxmlformats.org/officeDocument/2006/relationships/printerSettings" Target="../printerSettings/printerSettings20.bin"/><Relationship Id="rId4" Type="http://schemas.openxmlformats.org/officeDocument/2006/relationships/comments" Target="../comments22.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2.xml"/><Relationship Id="rId1" Type="http://schemas.openxmlformats.org/officeDocument/2006/relationships/printerSettings" Target="../printerSettings/printerSettings22.bin"/><Relationship Id="rId4" Type="http://schemas.openxmlformats.org/officeDocument/2006/relationships/comments" Target="../comments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drawing" Target="../drawings/drawing13.x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14.xml"/><Relationship Id="rId1" Type="http://schemas.openxmlformats.org/officeDocument/2006/relationships/printerSettings" Target="../printerSettings/printerSettings24.bin"/><Relationship Id="rId4" Type="http://schemas.openxmlformats.org/officeDocument/2006/relationships/comments" Target="../comments28.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6.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drawing" Target="../drawings/drawing15.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drawing" Target="../drawings/drawing16.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7.xml"/><Relationship Id="rId1" Type="http://schemas.openxmlformats.org/officeDocument/2006/relationships/printerSettings" Target="../printerSettings/printerSettings26.bin"/><Relationship Id="rId4" Type="http://schemas.openxmlformats.org/officeDocument/2006/relationships/comments" Target="../comments32.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27.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18.xml"/><Relationship Id="rId1" Type="http://schemas.openxmlformats.org/officeDocument/2006/relationships/printerSettings" Target="../printerSettings/printerSettings28.bin"/><Relationship Id="rId4" Type="http://schemas.openxmlformats.org/officeDocument/2006/relationships/comments" Target="../comments3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19"/>
  <sheetViews>
    <sheetView workbookViewId="0">
      <selection activeCell="D28" sqref="D28"/>
    </sheetView>
  </sheetViews>
  <sheetFormatPr baseColWidth="10" defaultRowHeight="15"/>
  <cols>
    <col min="2" max="2" width="35.5703125" customWidth="1"/>
    <col min="3" max="3" width="11.85546875" customWidth="1"/>
    <col min="4" max="4" width="49.42578125" customWidth="1"/>
    <col min="5" max="5" width="9.42578125" customWidth="1"/>
  </cols>
  <sheetData>
    <row r="1" spans="1:5" ht="27.75" customHeight="1" thickBot="1">
      <c r="B1" s="2187"/>
      <c r="C1" s="2187"/>
      <c r="D1" s="2187"/>
    </row>
    <row r="2" spans="1:5" ht="19.5" customHeight="1">
      <c r="A2" s="2188" t="s">
        <v>362</v>
      </c>
      <c r="B2" s="2189"/>
      <c r="C2" s="2189"/>
      <c r="D2" s="2189"/>
      <c r="E2" s="2190"/>
    </row>
    <row r="3" spans="1:5" ht="22.5" customHeight="1">
      <c r="A3" s="91" t="s">
        <v>361</v>
      </c>
      <c r="B3" s="90" t="s">
        <v>127</v>
      </c>
      <c r="C3" s="90" t="s">
        <v>361</v>
      </c>
      <c r="D3" s="90" t="s">
        <v>14</v>
      </c>
      <c r="E3" s="90" t="s">
        <v>378</v>
      </c>
    </row>
    <row r="4" spans="1:5" ht="21" customHeight="1">
      <c r="A4" s="2181">
        <v>3201</v>
      </c>
      <c r="B4" s="2191" t="s">
        <v>353</v>
      </c>
      <c r="C4" s="92">
        <v>320101</v>
      </c>
      <c r="D4" s="116" t="s">
        <v>363</v>
      </c>
      <c r="E4" s="112">
        <v>2</v>
      </c>
    </row>
    <row r="5" spans="1:5" ht="21.75" customHeight="1">
      <c r="A5" s="2182"/>
      <c r="B5" s="2192"/>
      <c r="C5" s="92">
        <v>320102</v>
      </c>
      <c r="D5" s="116" t="s">
        <v>364</v>
      </c>
      <c r="E5" s="112">
        <v>2</v>
      </c>
    </row>
    <row r="6" spans="1:5" ht="30.75" customHeight="1">
      <c r="A6" s="2183"/>
      <c r="B6" s="2193"/>
      <c r="C6" s="92">
        <v>320103</v>
      </c>
      <c r="D6" s="116" t="s">
        <v>365</v>
      </c>
      <c r="E6" s="112">
        <v>12</v>
      </c>
    </row>
    <row r="7" spans="1:5" ht="28.5">
      <c r="A7" s="2184">
        <v>3202</v>
      </c>
      <c r="B7" s="2194" t="s">
        <v>354</v>
      </c>
      <c r="C7" s="69">
        <v>320201</v>
      </c>
      <c r="D7" s="108" t="s">
        <v>366</v>
      </c>
      <c r="E7" s="113">
        <v>10</v>
      </c>
    </row>
    <row r="8" spans="1:5" ht="28.5">
      <c r="A8" s="2185"/>
      <c r="B8" s="2195"/>
      <c r="C8" s="69">
        <v>320202</v>
      </c>
      <c r="D8" s="108" t="s">
        <v>367</v>
      </c>
      <c r="E8" s="113">
        <v>3</v>
      </c>
    </row>
    <row r="9" spans="1:5" ht="42.75">
      <c r="A9" s="2186"/>
      <c r="B9" s="2196"/>
      <c r="C9" s="69">
        <v>320203</v>
      </c>
      <c r="D9" s="108" t="s">
        <v>368</v>
      </c>
      <c r="E9" s="113">
        <v>5</v>
      </c>
    </row>
    <row r="10" spans="1:5">
      <c r="A10" s="2181">
        <v>3203</v>
      </c>
      <c r="B10" s="2191" t="s">
        <v>355</v>
      </c>
      <c r="C10" s="92">
        <v>320301</v>
      </c>
      <c r="D10" s="116" t="s">
        <v>369</v>
      </c>
      <c r="E10" s="112">
        <v>3</v>
      </c>
    </row>
    <row r="11" spans="1:5">
      <c r="A11" s="2183"/>
      <c r="B11" s="2193"/>
      <c r="C11" s="92">
        <v>320302</v>
      </c>
      <c r="D11" s="116" t="s">
        <v>370</v>
      </c>
      <c r="E11" s="112">
        <v>7</v>
      </c>
    </row>
    <row r="12" spans="1:5" ht="28.5">
      <c r="A12" s="106">
        <v>3204</v>
      </c>
      <c r="B12" s="89" t="s">
        <v>356</v>
      </c>
      <c r="C12" s="69">
        <v>320401</v>
      </c>
      <c r="D12" s="108" t="s">
        <v>371</v>
      </c>
      <c r="E12" s="113">
        <v>2</v>
      </c>
    </row>
    <row r="13" spans="1:5" ht="28.5">
      <c r="A13" s="2181">
        <v>3205</v>
      </c>
      <c r="B13" s="2191" t="s">
        <v>357</v>
      </c>
      <c r="C13" s="92">
        <v>320501</v>
      </c>
      <c r="D13" s="116" t="s">
        <v>372</v>
      </c>
      <c r="E13" s="112">
        <v>2</v>
      </c>
    </row>
    <row r="14" spans="1:5" ht="28.5">
      <c r="A14" s="2182"/>
      <c r="B14" s="2192"/>
      <c r="C14" s="92">
        <v>320502</v>
      </c>
      <c r="D14" s="116" t="s">
        <v>373</v>
      </c>
      <c r="E14" s="112">
        <v>2</v>
      </c>
    </row>
    <row r="15" spans="1:5">
      <c r="A15" s="2183"/>
      <c r="B15" s="2193"/>
      <c r="C15" s="92">
        <v>320503</v>
      </c>
      <c r="D15" s="116" t="s">
        <v>374</v>
      </c>
      <c r="E15" s="112">
        <v>2</v>
      </c>
    </row>
    <row r="16" spans="1:5" ht="42.75">
      <c r="A16" s="106">
        <v>3206</v>
      </c>
      <c r="B16" s="89" t="s">
        <v>358</v>
      </c>
      <c r="C16" s="69">
        <v>320601</v>
      </c>
      <c r="D16" s="108" t="s">
        <v>375</v>
      </c>
      <c r="E16" s="113">
        <v>2</v>
      </c>
    </row>
    <row r="17" spans="1:5">
      <c r="A17" s="115">
        <v>3208</v>
      </c>
      <c r="B17" s="94" t="s">
        <v>359</v>
      </c>
      <c r="C17" s="92">
        <v>320801</v>
      </c>
      <c r="D17" s="116" t="s">
        <v>376</v>
      </c>
      <c r="E17" s="112">
        <v>2</v>
      </c>
    </row>
    <row r="18" spans="1:5" ht="42.75">
      <c r="A18" s="106">
        <v>3299</v>
      </c>
      <c r="B18" s="89" t="s">
        <v>360</v>
      </c>
      <c r="C18" s="69">
        <v>329901</v>
      </c>
      <c r="D18" s="108" t="s">
        <v>377</v>
      </c>
      <c r="E18" s="113">
        <v>6</v>
      </c>
    </row>
    <row r="19" spans="1:5" ht="16.5" thickBot="1">
      <c r="A19" s="110"/>
      <c r="B19" s="111"/>
      <c r="C19" s="111"/>
      <c r="D19" s="111"/>
      <c r="E19" s="114">
        <f>SUM(E4:E18)</f>
        <v>62</v>
      </c>
    </row>
  </sheetData>
  <mergeCells count="10">
    <mergeCell ref="A4:A6"/>
    <mergeCell ref="A7:A9"/>
    <mergeCell ref="A10:A11"/>
    <mergeCell ref="A13:A15"/>
    <mergeCell ref="B1:D1"/>
    <mergeCell ref="A2:E2"/>
    <mergeCell ref="B13:B15"/>
    <mergeCell ref="B4:B6"/>
    <mergeCell ref="B7:B9"/>
    <mergeCell ref="B10:B11"/>
  </mergeCells>
  <pageMargins left="0.70866141732283472" right="0.70866141732283472" top="0.74803149606299213" bottom="0.74803149606299213" header="0.31496062992125984" footer="0.31496062992125984"/>
  <pageSetup scale="75" orientation="landscape" verticalDpi="597"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7" tint="0.59999389629810485"/>
  </sheetPr>
  <dimension ref="A1:O30"/>
  <sheetViews>
    <sheetView workbookViewId="0">
      <pane xSplit="2" ySplit="6" topLeftCell="K7" activePane="bottomRight" state="frozen"/>
      <selection pane="topRight" activeCell="C1" sqref="C1"/>
      <selection pane="bottomLeft" activeCell="A7" sqref="A7"/>
      <selection pane="bottomRight" activeCell="K16" sqref="K16"/>
    </sheetView>
  </sheetViews>
  <sheetFormatPr baseColWidth="10" defaultRowHeight="15"/>
  <cols>
    <col min="1" max="1" width="16.28515625" customWidth="1"/>
    <col min="2" max="2" width="41.7109375" customWidth="1"/>
    <col min="3" max="3" width="12.85546875" style="405" customWidth="1"/>
    <col min="4" max="4" width="10.42578125" bestFit="1" customWidth="1"/>
    <col min="5" max="5" width="16.7109375" customWidth="1"/>
    <col min="6" max="6" width="14.7109375" customWidth="1"/>
    <col min="7" max="7" width="3.7109375" customWidth="1"/>
    <col min="8" max="11" width="17.140625" customWidth="1"/>
    <col min="12" max="12" width="2.85546875" style="828" customWidth="1"/>
    <col min="13" max="13" width="17.28515625" style="828" customWidth="1"/>
    <col min="14" max="14" width="2.85546875" style="828" customWidth="1"/>
    <col min="15" max="15" width="22.140625" customWidth="1"/>
  </cols>
  <sheetData>
    <row r="1" spans="1:15" s="1" customFormat="1" ht="17.25" customHeight="1">
      <c r="A1" s="2311" t="s">
        <v>416</v>
      </c>
      <c r="B1" s="2311"/>
      <c r="C1" s="2311"/>
      <c r="D1" s="2311"/>
      <c r="E1" s="2311"/>
      <c r="F1" s="2311"/>
      <c r="L1" s="807"/>
      <c r="M1" s="807"/>
      <c r="N1" s="807"/>
    </row>
    <row r="2" spans="1:15" s="1" customFormat="1" ht="15" customHeight="1">
      <c r="A2" s="2311" t="s">
        <v>178</v>
      </c>
      <c r="B2" s="2311"/>
      <c r="C2" s="2311"/>
      <c r="D2" s="2311"/>
      <c r="E2" s="2311"/>
      <c r="F2" s="2311"/>
      <c r="L2" s="807"/>
      <c r="M2" s="807"/>
      <c r="N2" s="807"/>
    </row>
    <row r="3" spans="1:15" ht="15" customHeight="1" thickBot="1"/>
    <row r="4" spans="1:15" ht="15" customHeight="1" thickBot="1">
      <c r="A4" s="2312" t="s">
        <v>444</v>
      </c>
      <c r="B4" s="2312" t="s">
        <v>445</v>
      </c>
      <c r="C4" s="2312">
        <v>2022</v>
      </c>
      <c r="D4" s="2312"/>
      <c r="E4" s="2312"/>
      <c r="F4" s="2312"/>
      <c r="H4" s="2317" t="s">
        <v>1003</v>
      </c>
      <c r="I4" s="2318"/>
      <c r="J4" s="2319"/>
      <c r="K4" s="2320" t="s">
        <v>1005</v>
      </c>
      <c r="L4" s="1062"/>
      <c r="M4" s="1809" t="s">
        <v>254</v>
      </c>
      <c r="N4" s="1062"/>
      <c r="O4" s="2313" t="s">
        <v>1006</v>
      </c>
    </row>
    <row r="5" spans="1:15" ht="23.25" customHeight="1" thickBot="1">
      <c r="A5" s="2312"/>
      <c r="B5" s="2312"/>
      <c r="C5" s="2312" t="s">
        <v>200</v>
      </c>
      <c r="D5" s="2312" t="s">
        <v>201</v>
      </c>
      <c r="E5" s="1059" t="s">
        <v>199</v>
      </c>
      <c r="F5" s="2312" t="s">
        <v>205</v>
      </c>
      <c r="H5" s="2316" t="s">
        <v>1004</v>
      </c>
      <c r="I5" s="2316" t="s">
        <v>202</v>
      </c>
      <c r="J5" s="2316" t="s">
        <v>455</v>
      </c>
      <c r="K5" s="2321"/>
      <c r="L5" s="1063"/>
      <c r="M5" s="2323" t="s">
        <v>1055</v>
      </c>
      <c r="N5" s="1063"/>
      <c r="O5" s="2314"/>
    </row>
    <row r="6" spans="1:15" ht="15" customHeight="1" thickBot="1">
      <c r="A6" s="2312"/>
      <c r="B6" s="2312"/>
      <c r="C6" s="2312"/>
      <c r="D6" s="2312"/>
      <c r="E6" s="1059" t="s">
        <v>233</v>
      </c>
      <c r="F6" s="2312"/>
      <c r="H6" s="2316"/>
      <c r="I6" s="2316"/>
      <c r="J6" s="2316"/>
      <c r="K6" s="2322"/>
      <c r="L6" s="1063"/>
      <c r="M6" s="2324"/>
      <c r="N6" s="1063"/>
      <c r="O6" s="2315"/>
    </row>
    <row r="7" spans="1:15" ht="36.75" thickBot="1">
      <c r="A7" s="190">
        <v>3201007</v>
      </c>
      <c r="B7" s="407" t="s">
        <v>11</v>
      </c>
      <c r="C7" s="408" t="s">
        <v>215</v>
      </c>
      <c r="D7" s="408">
        <v>100</v>
      </c>
      <c r="E7" s="409">
        <f>+'ACCIONES 320101'!F7</f>
        <v>115852891</v>
      </c>
      <c r="F7" s="409">
        <f>+'ACCIONES 320101'!G7</f>
        <v>115852891</v>
      </c>
      <c r="G7" s="663">
        <f>+E7-F7</f>
        <v>0</v>
      </c>
      <c r="H7" s="1056">
        <f>+'ACCIONES 320101'!I7</f>
        <v>55316424</v>
      </c>
      <c r="I7" s="1056">
        <f>+'ACCIONES 320101'!J7</f>
        <v>21698713</v>
      </c>
      <c r="J7" s="1056">
        <f>+'ACCIONES 320101'!K7</f>
        <v>16267783</v>
      </c>
      <c r="K7" s="409">
        <f>+'ACCIONES 320101'!L7</f>
        <v>93282920</v>
      </c>
      <c r="L7" s="1064"/>
      <c r="M7" s="792">
        <f>+'ACCIONES 320101'!N7</f>
        <v>257760000</v>
      </c>
      <c r="N7" s="1064"/>
      <c r="O7" s="792">
        <f>+'ACCIONES 320101'!P7</f>
        <v>466895811</v>
      </c>
    </row>
    <row r="8" spans="1:15">
      <c r="A8" s="189"/>
      <c r="B8" s="51" t="s">
        <v>243</v>
      </c>
      <c r="C8" s="410" t="s">
        <v>210</v>
      </c>
      <c r="D8" s="410">
        <v>1</v>
      </c>
      <c r="E8" s="412">
        <f>+'ACCIONES 320101'!F8</f>
        <v>59121253</v>
      </c>
      <c r="F8" s="412">
        <f>+'ACCIONES 320101'!G8</f>
        <v>59121253</v>
      </c>
      <c r="G8" s="663">
        <f>+E8-F8</f>
        <v>0</v>
      </c>
      <c r="H8" s="1055">
        <f>+'ACCIONES 320101'!I8</f>
        <v>0</v>
      </c>
      <c r="I8" s="411">
        <f>+'ACCIONES 320101'!J8</f>
        <v>0</v>
      </c>
      <c r="J8" s="411">
        <f>+'ACCIONES 320101'!K8</f>
        <v>0</v>
      </c>
      <c r="K8" s="412">
        <f>+'ACCIONES 320101'!L8</f>
        <v>0</v>
      </c>
      <c r="L8" s="1060"/>
      <c r="M8" s="1066">
        <f>+'ACCIONES 320101'!N8</f>
        <v>0</v>
      </c>
      <c r="N8" s="1060"/>
      <c r="O8" s="1066">
        <f>+'ACCIONES 320101'!P8</f>
        <v>59121253</v>
      </c>
    </row>
    <row r="9" spans="1:15" ht="38.25">
      <c r="A9" s="189"/>
      <c r="B9" s="10" t="s">
        <v>244</v>
      </c>
      <c r="C9" s="125" t="s">
        <v>210</v>
      </c>
      <c r="D9" s="125">
        <v>1</v>
      </c>
      <c r="E9" s="151">
        <f>+'ACCIONES 320101'!F12</f>
        <v>0</v>
      </c>
      <c r="F9" s="151">
        <f>+'ACCIONES 320101'!G12</f>
        <v>0</v>
      </c>
      <c r="G9" s="663">
        <f t="shared" ref="G9:G18" si="0">+E9-F9</f>
        <v>0</v>
      </c>
      <c r="H9" s="1828">
        <f>+'ACCIONES 320101'!I12</f>
        <v>0</v>
      </c>
      <c r="I9" s="1827">
        <f>+'ACCIONES 320101'!J12</f>
        <v>3809707</v>
      </c>
      <c r="J9" s="1827">
        <f>+'ACCIONES 320101'!K12</f>
        <v>16267783</v>
      </c>
      <c r="K9" s="151">
        <f>+'ACCIONES 320101'!L12</f>
        <v>20077490</v>
      </c>
      <c r="L9" s="1060"/>
      <c r="M9" s="1067">
        <f>+'ACCIONES 320101'!N12</f>
        <v>0</v>
      </c>
      <c r="N9" s="1060"/>
      <c r="O9" s="1067">
        <f>+'ACCIONES 320101'!P12</f>
        <v>20077490</v>
      </c>
    </row>
    <row r="10" spans="1:15" ht="25.5">
      <c r="A10" s="189"/>
      <c r="B10" s="10" t="s">
        <v>246</v>
      </c>
      <c r="C10" s="125" t="s">
        <v>211</v>
      </c>
      <c r="D10" s="125">
        <v>1</v>
      </c>
      <c r="E10" s="151">
        <f>+'ACCIONES 320101'!F14</f>
        <v>16155004</v>
      </c>
      <c r="F10" s="151">
        <f>+'ACCIONES 320101'!G14</f>
        <v>16155004</v>
      </c>
      <c r="G10" s="663">
        <f t="shared" si="0"/>
        <v>0</v>
      </c>
      <c r="H10" s="1828">
        <f>+'ACCIONES 320101'!I14</f>
        <v>40649156</v>
      </c>
      <c r="I10" s="1827">
        <f>+'ACCIONES 320101'!J14</f>
        <v>0</v>
      </c>
      <c r="J10" s="1827">
        <f>+'ACCIONES 320101'!K14</f>
        <v>0</v>
      </c>
      <c r="K10" s="151">
        <f>+'ACCIONES 320101'!L14</f>
        <v>40649156</v>
      </c>
      <c r="L10" s="1060"/>
      <c r="M10" s="1067">
        <f>+'ACCIONES 320101'!N14</f>
        <v>0</v>
      </c>
      <c r="N10" s="1060"/>
      <c r="O10" s="1067">
        <f>+'ACCIONES 320101'!P14</f>
        <v>56804160</v>
      </c>
    </row>
    <row r="11" spans="1:15" ht="25.5">
      <c r="A11" s="189"/>
      <c r="B11" s="10" t="s">
        <v>348</v>
      </c>
      <c r="C11" s="125" t="s">
        <v>211</v>
      </c>
      <c r="D11" s="125">
        <v>1</v>
      </c>
      <c r="E11" s="151">
        <f>+'ACCIONES 320101'!F25</f>
        <v>0</v>
      </c>
      <c r="F11" s="151">
        <f>+'ACCIONES 320101'!G25</f>
        <v>0</v>
      </c>
      <c r="G11" s="663">
        <f t="shared" si="0"/>
        <v>0</v>
      </c>
      <c r="H11" s="1828">
        <f>+'ACCIONES 320101'!I25</f>
        <v>0</v>
      </c>
      <c r="I11" s="1827">
        <f>+'ACCIONES 320101'!J25</f>
        <v>0</v>
      </c>
      <c r="J11" s="1827">
        <f>+'ACCIONES 320101'!K25</f>
        <v>0</v>
      </c>
      <c r="K11" s="151">
        <f>+'ACCIONES 320101'!L25</f>
        <v>0</v>
      </c>
      <c r="L11" s="1060"/>
      <c r="M11" s="1067">
        <f>+'ACCIONES 320101'!N25</f>
        <v>0</v>
      </c>
      <c r="N11" s="1060"/>
      <c r="O11" s="1067">
        <f>+'ACCIONES 320101'!P25</f>
        <v>0</v>
      </c>
    </row>
    <row r="12" spans="1:15" ht="32.25" customHeight="1">
      <c r="A12" s="189"/>
      <c r="B12" s="10" t="s">
        <v>248</v>
      </c>
      <c r="C12" s="125" t="s">
        <v>210</v>
      </c>
      <c r="D12" s="125">
        <v>1</v>
      </c>
      <c r="E12" s="151">
        <f>+'ACCIONES 320101'!F28</f>
        <v>818234</v>
      </c>
      <c r="F12" s="151">
        <f>+'ACCIONES 320101'!G28</f>
        <v>818234</v>
      </c>
      <c r="G12" s="663">
        <f t="shared" si="0"/>
        <v>0</v>
      </c>
      <c r="H12" s="1828">
        <f>+'ACCIONES 320101'!I28</f>
        <v>14667268</v>
      </c>
      <c r="I12" s="1827">
        <f>+'ACCIONES 320101'!J28</f>
        <v>17889006</v>
      </c>
      <c r="J12" s="1827">
        <f>+'ACCIONES 320101'!K28</f>
        <v>0</v>
      </c>
      <c r="K12" s="151">
        <f>+'ACCIONES 320101'!L28</f>
        <v>32556274</v>
      </c>
      <c r="L12" s="1060"/>
      <c r="M12" s="1067">
        <f>+'ACCIONES 320101'!N28</f>
        <v>0</v>
      </c>
      <c r="N12" s="1060"/>
      <c r="O12" s="1067">
        <f>+'ACCIONES 320101'!P28</f>
        <v>33374508</v>
      </c>
    </row>
    <row r="13" spans="1:15" s="1629" customFormat="1">
      <c r="A13" s="828"/>
      <c r="B13" s="55" t="s">
        <v>1148</v>
      </c>
      <c r="C13" s="413" t="s">
        <v>210</v>
      </c>
      <c r="D13" s="413">
        <v>1</v>
      </c>
      <c r="E13" s="695">
        <f>+'ACCIONES 320101'!F35</f>
        <v>0</v>
      </c>
      <c r="F13" s="695">
        <f>+'ACCIONES 320101'!G35</f>
        <v>0</v>
      </c>
      <c r="G13" s="1634"/>
      <c r="H13" s="1828">
        <f>+'ACCIONES 320101'!I35</f>
        <v>0</v>
      </c>
      <c r="I13" s="1827">
        <f>+'ACCIONES 320101'!J35</f>
        <v>0</v>
      </c>
      <c r="J13" s="1827">
        <f>+'ACCIONES 320101'!K35</f>
        <v>0</v>
      </c>
      <c r="K13" s="151">
        <f>+'ACCIONES 320101'!L35</f>
        <v>0</v>
      </c>
      <c r="L13" s="1060"/>
      <c r="M13" s="1068">
        <f>+'ACCIONES 320101'!N35</f>
        <v>257760000</v>
      </c>
      <c r="N13" s="1060"/>
      <c r="O13" s="1068">
        <f>+'ACCIONES 320101'!P35</f>
        <v>257760000</v>
      </c>
    </row>
    <row r="14" spans="1:15" ht="39" thickBot="1">
      <c r="A14" s="189"/>
      <c r="B14" s="55" t="s">
        <v>249</v>
      </c>
      <c r="C14" s="413" t="s">
        <v>210</v>
      </c>
      <c r="D14" s="413">
        <v>1</v>
      </c>
      <c r="E14" s="695">
        <f>+'ACCIONES 320101'!F38</f>
        <v>39758400</v>
      </c>
      <c r="F14" s="695">
        <f>+'ACCIONES 320101'!G38</f>
        <v>39758400</v>
      </c>
      <c r="G14" s="663">
        <f t="shared" si="0"/>
        <v>0</v>
      </c>
      <c r="H14" s="791">
        <f>+'ACCIONES 320101'!I38</f>
        <v>0</v>
      </c>
      <c r="I14" s="414">
        <f>+'ACCIONES 320101'!J38</f>
        <v>0</v>
      </c>
      <c r="J14" s="414">
        <f>+'ACCIONES 320101'!K38</f>
        <v>0</v>
      </c>
      <c r="K14" s="695">
        <f>+'ACCIONES 320101'!L38</f>
        <v>0</v>
      </c>
      <c r="L14" s="1060"/>
      <c r="M14" s="1068">
        <f>+'ACCIONES 320101'!N38</f>
        <v>0</v>
      </c>
      <c r="N14" s="1060"/>
      <c r="O14" s="1068">
        <f>+'ACCIONES 320101'!P38</f>
        <v>39758400</v>
      </c>
    </row>
    <row r="15" spans="1:15" ht="24.75" thickBot="1">
      <c r="A15" s="191">
        <v>3201007</v>
      </c>
      <c r="B15" s="415" t="s">
        <v>241</v>
      </c>
      <c r="C15" s="416" t="s">
        <v>210</v>
      </c>
      <c r="D15" s="416">
        <v>1</v>
      </c>
      <c r="E15" s="417">
        <f>+'ACCIONES 320101'!F40</f>
        <v>93971273</v>
      </c>
      <c r="F15" s="417">
        <f>+'ACCIONES 320101'!G40</f>
        <v>93971273</v>
      </c>
      <c r="G15" s="663">
        <f t="shared" si="0"/>
        <v>0</v>
      </c>
      <c r="H15" s="1057">
        <f>SUM(H16:H17)</f>
        <v>1145188</v>
      </c>
      <c r="I15" s="1058">
        <f t="shared" ref="I15:J15" si="1">SUM(I16:I17)</f>
        <v>0</v>
      </c>
      <c r="J15" s="1058">
        <f t="shared" si="1"/>
        <v>0</v>
      </c>
      <c r="K15" s="794">
        <f>+'ACCIONES 320101'!L40</f>
        <v>572594</v>
      </c>
      <c r="L15" s="1064"/>
      <c r="M15" s="793">
        <f>+'ACCIONES 320101'!N40</f>
        <v>0</v>
      </c>
      <c r="N15" s="1064"/>
      <c r="O15" s="793">
        <f>+'ACCIONES 320101'!P40</f>
        <v>94543867</v>
      </c>
    </row>
    <row r="16" spans="1:15" ht="38.25">
      <c r="A16" s="189"/>
      <c r="B16" s="51" t="s">
        <v>253</v>
      </c>
      <c r="C16" s="410" t="s">
        <v>210</v>
      </c>
      <c r="D16" s="410">
        <v>1</v>
      </c>
      <c r="E16" s="412">
        <f>+'ACCIONES 320101'!F41</f>
        <v>10000000</v>
      </c>
      <c r="F16" s="412">
        <f>+'ACCIONES 320101'!G41</f>
        <v>93971273</v>
      </c>
      <c r="G16" s="663">
        <f t="shared" si="0"/>
        <v>-83971273</v>
      </c>
      <c r="H16" s="1066">
        <f>+'ACCIONES 320101'!I40</f>
        <v>572594</v>
      </c>
      <c r="I16" s="412">
        <f>+'ACCIONES 320101'!J40</f>
        <v>0</v>
      </c>
      <c r="J16" s="412">
        <f>+'ACCIONES 320101'!K40</f>
        <v>0</v>
      </c>
      <c r="K16" s="412">
        <f>+'ACCIONES 320101'!L40</f>
        <v>572594</v>
      </c>
      <c r="L16" s="1060"/>
      <c r="M16" s="1066">
        <f>+'ACCIONES 320101'!N40</f>
        <v>0</v>
      </c>
      <c r="N16" s="1060"/>
      <c r="O16" s="1066">
        <f>+'ACCIONES 320101'!P41</f>
        <v>94543867</v>
      </c>
    </row>
    <row r="17" spans="1:15" ht="15.75" thickBot="1">
      <c r="A17" s="189"/>
      <c r="B17" s="54" t="s">
        <v>228</v>
      </c>
      <c r="C17" s="262" t="s">
        <v>210</v>
      </c>
      <c r="D17" s="262">
        <v>1</v>
      </c>
      <c r="E17" s="263">
        <f>+'ACCIONES 320101'!F45</f>
        <v>83971273</v>
      </c>
      <c r="F17" s="263">
        <f>+'ACCIONES 320101'!G45</f>
        <v>83971273</v>
      </c>
      <c r="G17" s="663">
        <f t="shared" si="0"/>
        <v>0</v>
      </c>
      <c r="H17" s="1068">
        <f>+'ACCIONES 320101'!I45</f>
        <v>572594</v>
      </c>
      <c r="I17" s="695">
        <f>+'ACCIONES 320101'!J45</f>
        <v>0</v>
      </c>
      <c r="J17" s="695">
        <f>+'ACCIONES 320101'!K45</f>
        <v>0</v>
      </c>
      <c r="K17" s="695">
        <f>+'ACCIONES 320101'!L45</f>
        <v>572594</v>
      </c>
      <c r="L17" s="1060"/>
      <c r="M17" s="1068">
        <f>+'ACCIONES 320101'!N45</f>
        <v>0</v>
      </c>
      <c r="N17" s="1060"/>
      <c r="O17" s="1068">
        <f>+'ACCIONES 320101'!P45</f>
        <v>84543867</v>
      </c>
    </row>
    <row r="18" spans="1:15" s="797" customFormat="1" ht="15.75" customHeight="1" thickBot="1">
      <c r="A18" s="795"/>
      <c r="B18" s="2308" t="s">
        <v>229</v>
      </c>
      <c r="C18" s="2309"/>
      <c r="D18" s="2310"/>
      <c r="E18" s="1396">
        <f>+E15+E7</f>
        <v>209824164</v>
      </c>
      <c r="F18" s="1396">
        <f>+F15+F7</f>
        <v>209824164</v>
      </c>
      <c r="G18" s="796">
        <f t="shared" si="0"/>
        <v>0</v>
      </c>
      <c r="H18" s="1397">
        <f>+H7+H15</f>
        <v>56461612</v>
      </c>
      <c r="I18" s="1398">
        <f t="shared" ref="I18:J18" si="2">+I7+I15</f>
        <v>21698713</v>
      </c>
      <c r="J18" s="1398">
        <f t="shared" si="2"/>
        <v>16267783</v>
      </c>
      <c r="K18" s="1399">
        <f>+K15+K7</f>
        <v>93855514</v>
      </c>
      <c r="L18" s="1061"/>
      <c r="M18" s="1400">
        <f>+M7+M15</f>
        <v>257760000</v>
      </c>
      <c r="N18" s="1061"/>
      <c r="O18" s="1400">
        <f>+O15+O7</f>
        <v>561439678</v>
      </c>
    </row>
    <row r="19" spans="1:15" ht="15.75" thickBot="1">
      <c r="C19"/>
      <c r="D19" s="405"/>
      <c r="M19"/>
    </row>
    <row r="20" spans="1:15" ht="15.75" thickBot="1">
      <c r="C20"/>
      <c r="D20" s="405"/>
      <c r="E20" s="798">
        <f>215849875-6025711</f>
        <v>209824164</v>
      </c>
      <c r="F20" s="798">
        <f>+E20</f>
        <v>209824164</v>
      </c>
      <c r="G20" s="829"/>
      <c r="H20" s="798">
        <f>64000000-8110982</f>
        <v>55889018</v>
      </c>
      <c r="I20" s="738">
        <f>28809707-7110994</f>
        <v>21698713</v>
      </c>
      <c r="J20" s="738">
        <v>16267783</v>
      </c>
      <c r="K20" s="2008">
        <v>93855514</v>
      </c>
      <c r="L20" s="1664"/>
      <c r="M20" s="1069">
        <v>849110873</v>
      </c>
      <c r="N20" s="1664"/>
      <c r="O20" s="2009">
        <v>1152850551</v>
      </c>
    </row>
    <row r="21" spans="1:15">
      <c r="C21"/>
      <c r="D21" s="405"/>
    </row>
    <row r="22" spans="1:15">
      <c r="E22" s="663">
        <f>+E20-E18</f>
        <v>0</v>
      </c>
      <c r="F22" s="663">
        <f>+F20-F18</f>
        <v>0</v>
      </c>
      <c r="G22" s="663"/>
      <c r="H22" s="663">
        <f>+H20-H18</f>
        <v>-572594</v>
      </c>
      <c r="I22" s="663">
        <f t="shared" ref="I22:K22" si="3">+I20-I18</f>
        <v>0</v>
      </c>
      <c r="J22" s="663">
        <f t="shared" si="3"/>
        <v>0</v>
      </c>
      <c r="K22" s="663">
        <f t="shared" si="3"/>
        <v>0</v>
      </c>
      <c r="L22" s="1065"/>
      <c r="M22" s="1065">
        <v>0</v>
      </c>
      <c r="N22" s="1065"/>
      <c r="O22" s="663">
        <f>+O20-O18</f>
        <v>591410873</v>
      </c>
    </row>
    <row r="24" spans="1:15">
      <c r="A24" s="1494"/>
    </row>
    <row r="25" spans="1:15">
      <c r="A25" s="1494"/>
      <c r="H25" s="1640"/>
    </row>
    <row r="26" spans="1:15">
      <c r="A26" s="1495"/>
      <c r="F26" s="663">
        <f>+F7+K7</f>
        <v>209135811</v>
      </c>
    </row>
    <row r="27" spans="1:15">
      <c r="A27" s="1495"/>
    </row>
    <row r="28" spans="1:15">
      <c r="A28" s="1495"/>
    </row>
    <row r="29" spans="1:15">
      <c r="A29" s="1494"/>
    </row>
    <row r="30" spans="1:15">
      <c r="A30" s="1494"/>
    </row>
  </sheetData>
  <mergeCells count="16">
    <mergeCell ref="O4:O6"/>
    <mergeCell ref="H5:H6"/>
    <mergeCell ref="I5:I6"/>
    <mergeCell ref="J5:J6"/>
    <mergeCell ref="H4:J4"/>
    <mergeCell ref="K4:K6"/>
    <mergeCell ref="M5:M6"/>
    <mergeCell ref="B18:D18"/>
    <mergeCell ref="A1:F1"/>
    <mergeCell ref="A2:F2"/>
    <mergeCell ref="C5:C6"/>
    <mergeCell ref="D5:D6"/>
    <mergeCell ref="A4:A6"/>
    <mergeCell ref="B4:B6"/>
    <mergeCell ref="C4:F4"/>
    <mergeCell ref="F5:F6"/>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7" tint="0.59999389629810485"/>
  </sheetPr>
  <dimension ref="A1:V448"/>
  <sheetViews>
    <sheetView zoomScale="75" zoomScaleNormal="75" workbookViewId="0">
      <pane xSplit="1" ySplit="6" topLeftCell="G16" activePane="bottomRight" state="frozen"/>
      <selection pane="topRight" activeCell="B1" sqref="B1"/>
      <selection pane="bottomLeft" activeCell="A7" sqref="A7"/>
      <selection pane="bottomRight" activeCell="N32" sqref="N32"/>
    </sheetView>
  </sheetViews>
  <sheetFormatPr baseColWidth="10" defaultColWidth="11.42578125" defaultRowHeight="12.75"/>
  <cols>
    <col min="1" max="1" width="39.28515625" style="418" customWidth="1"/>
    <col min="2" max="2" width="16.140625" style="418" customWidth="1"/>
    <col min="3" max="3" width="20" style="418" customWidth="1"/>
    <col min="4" max="4" width="15.7109375" style="418" customWidth="1"/>
    <col min="5" max="5" width="16.5703125" style="418" customWidth="1"/>
    <col min="6" max="6" width="18.5703125" style="425" customWidth="1"/>
    <col min="7" max="7" width="21" style="425" customWidth="1"/>
    <col min="8" max="8" width="1.5703125" style="829" customWidth="1"/>
    <col min="9" max="9" width="18" style="418" customWidth="1"/>
    <col min="10" max="10" width="17.7109375" style="418" customWidth="1"/>
    <col min="11" max="11" width="18" style="418" customWidth="1"/>
    <col min="12" max="12" width="23" style="418" customWidth="1"/>
    <col min="13" max="13" width="3.42578125" style="1664" customWidth="1"/>
    <col min="14" max="14" width="19.140625" style="418" customWidth="1"/>
    <col min="15" max="15" width="4" style="1664" customWidth="1"/>
    <col min="16" max="16" width="21.85546875" style="418" customWidth="1"/>
    <col min="17" max="17" width="10.7109375" style="1664" customWidth="1"/>
    <col min="18" max="18" width="15.5703125" style="418" customWidth="1"/>
    <col min="19" max="16384" width="11.42578125" style="418"/>
  </cols>
  <sheetData>
    <row r="1" spans="1:20" s="1" customFormat="1">
      <c r="A1" s="2311" t="s">
        <v>416</v>
      </c>
      <c r="B1" s="2311"/>
      <c r="C1" s="2311"/>
      <c r="D1" s="2311"/>
      <c r="E1" s="2311"/>
      <c r="F1" s="2311"/>
      <c r="G1" s="2311"/>
      <c r="H1" s="2311"/>
      <c r="I1" s="2311"/>
      <c r="K1" s="2155">
        <f>+G7+L7</f>
        <v>209135811</v>
      </c>
      <c r="M1" s="1663"/>
      <c r="O1" s="1663"/>
      <c r="Q1" s="1663"/>
    </row>
    <row r="2" spans="1:20" s="1" customFormat="1" ht="15" customHeight="1">
      <c r="A2" s="2311" t="s">
        <v>178</v>
      </c>
      <c r="B2" s="2311"/>
      <c r="C2" s="2311"/>
      <c r="D2" s="2311"/>
      <c r="E2" s="2311"/>
      <c r="F2" s="2311"/>
      <c r="G2" s="2311"/>
      <c r="H2" s="2311"/>
      <c r="I2" s="2311"/>
      <c r="M2" s="1663"/>
      <c r="O2" s="1663"/>
      <c r="Q2" s="1663"/>
    </row>
    <row r="3" spans="1:20" ht="13.5" thickBot="1">
      <c r="F3" s="419"/>
      <c r="G3" s="419"/>
      <c r="H3" s="424"/>
      <c r="I3" s="419"/>
    </row>
    <row r="4" spans="1:20" ht="26.25" customHeight="1" thickBot="1">
      <c r="A4" s="2335" t="s">
        <v>446</v>
      </c>
      <c r="B4" s="2335" t="s">
        <v>447</v>
      </c>
      <c r="C4" s="2330" t="s">
        <v>865</v>
      </c>
      <c r="D4" s="2335" t="s">
        <v>448</v>
      </c>
      <c r="E4" s="2335" t="s">
        <v>201</v>
      </c>
      <c r="F4" s="2339" t="s">
        <v>828</v>
      </c>
      <c r="G4" s="2339"/>
      <c r="H4" s="420"/>
      <c r="I4" s="2317" t="s">
        <v>1003</v>
      </c>
      <c r="J4" s="2318"/>
      <c r="K4" s="2319"/>
      <c r="L4" s="2320" t="s">
        <v>1005</v>
      </c>
      <c r="N4" s="1570" t="s">
        <v>254</v>
      </c>
      <c r="P4" s="2313" t="s">
        <v>1006</v>
      </c>
    </row>
    <row r="5" spans="1:20" ht="12.75" customHeight="1">
      <c r="A5" s="2336"/>
      <c r="B5" s="2336"/>
      <c r="C5" s="2338"/>
      <c r="D5" s="2336"/>
      <c r="E5" s="2336"/>
      <c r="F5" s="2330" t="s">
        <v>233</v>
      </c>
      <c r="G5" s="2340" t="s">
        <v>352</v>
      </c>
      <c r="H5" s="420"/>
      <c r="I5" s="2316" t="s">
        <v>1004</v>
      </c>
      <c r="J5" s="2316" t="s">
        <v>202</v>
      </c>
      <c r="K5" s="2316" t="s">
        <v>455</v>
      </c>
      <c r="L5" s="2321"/>
      <c r="N5" s="2323" t="s">
        <v>1055</v>
      </c>
      <c r="P5" s="2314"/>
    </row>
    <row r="6" spans="1:20" ht="27.75" customHeight="1" thickBot="1">
      <c r="A6" s="2337"/>
      <c r="B6" s="2337"/>
      <c r="C6" s="2331"/>
      <c r="D6" s="2337"/>
      <c r="E6" s="2337"/>
      <c r="F6" s="2331"/>
      <c r="G6" s="2332"/>
      <c r="H6" s="420"/>
      <c r="I6" s="2332"/>
      <c r="J6" s="2332"/>
      <c r="K6" s="2332"/>
      <c r="L6" s="2333"/>
      <c r="N6" s="2324"/>
      <c r="P6" s="2334"/>
    </row>
    <row r="7" spans="1:20" ht="39" thickBot="1">
      <c r="A7" s="454" t="s">
        <v>11</v>
      </c>
      <c r="B7" s="1074"/>
      <c r="C7" s="1074"/>
      <c r="D7" s="562" t="s">
        <v>215</v>
      </c>
      <c r="E7" s="562">
        <v>100</v>
      </c>
      <c r="F7" s="2156">
        <f>+F8+F12+F14+F25+F28+F38</f>
        <v>115852891</v>
      </c>
      <c r="G7" s="2157">
        <f>+G8+G12+G14+G25+G28+G35+G38</f>
        <v>115852891</v>
      </c>
      <c r="H7" s="421"/>
      <c r="I7" s="1075">
        <f>+I8+I12+I14+I25+I28+I38</f>
        <v>55316424</v>
      </c>
      <c r="J7" s="1076">
        <f>+J8+J12+J14+J25+J28+J38</f>
        <v>21698713</v>
      </c>
      <c r="K7" s="1076">
        <f>+K8+K12+K14+K25+K28+K38</f>
        <v>16267783</v>
      </c>
      <c r="L7" s="1077">
        <f>+L8+L12+L14+L25+L28+L35+L38</f>
        <v>93282920</v>
      </c>
      <c r="N7" s="1078">
        <f>+N8+N12+N14+N25+N28+N35+N38</f>
        <v>257760000</v>
      </c>
      <c r="P7" s="1078">
        <f>+P8+P12+P14+P25+P28+P35+P38</f>
        <v>466895811</v>
      </c>
    </row>
    <row r="8" spans="1:20" ht="24.75" customHeight="1">
      <c r="A8" s="1585" t="s">
        <v>243</v>
      </c>
      <c r="B8" s="1666"/>
      <c r="C8" s="1666"/>
      <c r="D8" s="1667" t="s">
        <v>327</v>
      </c>
      <c r="E8" s="1667">
        <v>1</v>
      </c>
      <c r="F8" s="2158">
        <f>SUM(F9:F11)</f>
        <v>59121253</v>
      </c>
      <c r="G8" s="2159">
        <f>SUM(G9:G11)</f>
        <v>59121253</v>
      </c>
      <c r="H8" s="421"/>
      <c r="I8" s="1831">
        <f>SUM(I9:I11)</f>
        <v>0</v>
      </c>
      <c r="J8" s="1668">
        <f t="shared" ref="J8:K8" si="0">SUM(J9:J11)</f>
        <v>0</v>
      </c>
      <c r="K8" s="1668">
        <f t="shared" si="0"/>
        <v>0</v>
      </c>
      <c r="L8" s="1669">
        <f>SUM(L9:L11)</f>
        <v>0</v>
      </c>
      <c r="N8" s="1819">
        <f>SUM(N9:N11)</f>
        <v>0</v>
      </c>
      <c r="P8" s="1819">
        <f>SUM(P9:P11)</f>
        <v>59121253</v>
      </c>
      <c r="Q8" s="1663"/>
      <c r="R8" s="1"/>
      <c r="S8" s="1"/>
      <c r="T8" s="1"/>
    </row>
    <row r="9" spans="1:20" ht="25.5">
      <c r="A9" s="760" t="s">
        <v>459</v>
      </c>
      <c r="B9" s="125" t="s">
        <v>237</v>
      </c>
      <c r="C9" s="125">
        <v>83990</v>
      </c>
      <c r="D9" s="34" t="s">
        <v>460</v>
      </c>
      <c r="E9" s="34">
        <v>11</v>
      </c>
      <c r="F9" s="2160">
        <f>45722160+662640</f>
        <v>46384800</v>
      </c>
      <c r="G9" s="2161">
        <f>+F9</f>
        <v>46384800</v>
      </c>
      <c r="H9" s="421"/>
      <c r="I9" s="1832"/>
      <c r="J9" s="789"/>
      <c r="K9" s="789"/>
      <c r="L9" s="1670">
        <f>SUM(I9:K9)</f>
        <v>0</v>
      </c>
      <c r="N9" s="1820"/>
      <c r="P9" s="1820">
        <f>+G9+L9+N9</f>
        <v>46384800</v>
      </c>
      <c r="Q9" s="1663"/>
      <c r="R9" s="1"/>
      <c r="S9" s="1"/>
      <c r="T9" s="1"/>
    </row>
    <row r="10" spans="1:20" s="679" customFormat="1" ht="25.5">
      <c r="A10" s="760" t="s">
        <v>461</v>
      </c>
      <c r="B10" s="125" t="s">
        <v>237</v>
      </c>
      <c r="C10" s="125">
        <v>83990</v>
      </c>
      <c r="D10" s="34" t="s">
        <v>460</v>
      </c>
      <c r="E10" s="34">
        <v>11</v>
      </c>
      <c r="F10" s="2160">
        <v>12736453</v>
      </c>
      <c r="G10" s="2161">
        <f t="shared" ref="G10:G11" si="1">+F10</f>
        <v>12736453</v>
      </c>
      <c r="H10" s="421"/>
      <c r="I10" s="1832"/>
      <c r="J10" s="789"/>
      <c r="K10" s="789"/>
      <c r="L10" s="1670">
        <f t="shared" ref="L10:L11" si="2">SUM(I10:K10)</f>
        <v>0</v>
      </c>
      <c r="M10" s="829"/>
      <c r="N10" s="1820"/>
      <c r="O10" s="829"/>
      <c r="P10" s="1820">
        <f t="shared" ref="P10:P11" si="3">+G10+L10+N10</f>
        <v>12736453</v>
      </c>
      <c r="Q10" s="1664"/>
      <c r="R10" s="418"/>
      <c r="S10" s="418"/>
      <c r="T10" s="418"/>
    </row>
    <row r="11" spans="1:20">
      <c r="A11" s="760" t="s">
        <v>462</v>
      </c>
      <c r="B11" s="125" t="s">
        <v>237</v>
      </c>
      <c r="C11" s="125">
        <v>83990</v>
      </c>
      <c r="D11" s="34" t="s">
        <v>460</v>
      </c>
      <c r="E11" s="34">
        <v>6</v>
      </c>
      <c r="F11" s="2160"/>
      <c r="G11" s="2161">
        <f t="shared" si="1"/>
        <v>0</v>
      </c>
      <c r="H11" s="421"/>
      <c r="I11" s="1832"/>
      <c r="J11" s="789"/>
      <c r="K11" s="789"/>
      <c r="L11" s="1670">
        <f t="shared" si="2"/>
        <v>0</v>
      </c>
      <c r="N11" s="1820"/>
      <c r="P11" s="1820">
        <f t="shared" si="3"/>
        <v>0</v>
      </c>
    </row>
    <row r="12" spans="1:20" ht="38.25">
      <c r="A12" s="173" t="s">
        <v>244</v>
      </c>
      <c r="B12" s="175"/>
      <c r="C12" s="175"/>
      <c r="D12" s="172" t="s">
        <v>327</v>
      </c>
      <c r="E12" s="172">
        <v>1</v>
      </c>
      <c r="F12" s="2162">
        <f t="shared" ref="F12:N12" si="4">SUM(F13:F13)</f>
        <v>0</v>
      </c>
      <c r="G12" s="2163">
        <f>SUM(G13:G13)</f>
        <v>0</v>
      </c>
      <c r="H12" s="421">
        <f t="shared" si="4"/>
        <v>0</v>
      </c>
      <c r="I12" s="2174">
        <f t="shared" si="4"/>
        <v>0</v>
      </c>
      <c r="J12" s="2175">
        <f t="shared" si="4"/>
        <v>3809707</v>
      </c>
      <c r="K12" s="2175">
        <f t="shared" si="4"/>
        <v>16267783</v>
      </c>
      <c r="L12" s="2176">
        <f>SUM(L13:L13)</f>
        <v>20077490</v>
      </c>
      <c r="N12" s="1821">
        <f t="shared" si="4"/>
        <v>0</v>
      </c>
      <c r="P12" s="1821">
        <f>+P13</f>
        <v>20077490</v>
      </c>
    </row>
    <row r="13" spans="1:20" s="679" customFormat="1" ht="24">
      <c r="A13" s="760" t="s">
        <v>463</v>
      </c>
      <c r="B13" s="125" t="s">
        <v>1096</v>
      </c>
      <c r="C13" s="125" t="s">
        <v>1093</v>
      </c>
      <c r="D13" s="34"/>
      <c r="E13" s="34"/>
      <c r="F13" s="2160"/>
      <c r="G13" s="2161">
        <f>+F13</f>
        <v>0</v>
      </c>
      <c r="H13" s="421"/>
      <c r="I13" s="1833"/>
      <c r="J13" s="790">
        <v>3809707</v>
      </c>
      <c r="K13" s="790">
        <v>16267783</v>
      </c>
      <c r="L13" s="1672">
        <f>SUM(I13:K13)</f>
        <v>20077490</v>
      </c>
      <c r="M13" s="829"/>
      <c r="N13" s="1807"/>
      <c r="O13" s="829"/>
      <c r="P13" s="1807">
        <f>+G13+L13+N13</f>
        <v>20077490</v>
      </c>
      <c r="Q13" s="1664"/>
      <c r="R13" s="418"/>
      <c r="S13" s="418"/>
      <c r="T13" s="418"/>
    </row>
    <row r="14" spans="1:20" ht="25.5">
      <c r="A14" s="173" t="s">
        <v>246</v>
      </c>
      <c r="B14" s="175"/>
      <c r="C14" s="175"/>
      <c r="D14" s="172" t="s">
        <v>211</v>
      </c>
      <c r="E14" s="172">
        <v>1</v>
      </c>
      <c r="F14" s="2162">
        <f>SUM(F15:F24)</f>
        <v>16155004</v>
      </c>
      <c r="G14" s="2163">
        <f>SUM(G15:G24)</f>
        <v>16155004</v>
      </c>
      <c r="H14" s="421"/>
      <c r="I14" s="1834">
        <f>SUM(I15:I24)</f>
        <v>40649156</v>
      </c>
      <c r="J14" s="788">
        <f t="shared" ref="J14:K14" si="5">SUM(J15:J24)</f>
        <v>0</v>
      </c>
      <c r="K14" s="788">
        <f t="shared" si="5"/>
        <v>0</v>
      </c>
      <c r="L14" s="1671">
        <f>SUM(L15:L24)</f>
        <v>40649156</v>
      </c>
      <c r="N14" s="1821">
        <f>SUM(N15:N24)</f>
        <v>0</v>
      </c>
      <c r="P14" s="1821">
        <f>SUM(P15:P24)</f>
        <v>56804160</v>
      </c>
    </row>
    <row r="15" spans="1:20" s="679" customFormat="1">
      <c r="A15" s="760" t="s">
        <v>963</v>
      </c>
      <c r="B15" s="30" t="s">
        <v>1087</v>
      </c>
      <c r="C15" s="20">
        <v>4419802</v>
      </c>
      <c r="D15" s="34"/>
      <c r="E15" s="34">
        <v>1</v>
      </c>
      <c r="F15" s="2160">
        <v>2500000</v>
      </c>
      <c r="G15" s="2161">
        <f t="shared" ref="G15:G24" si="6">+F15</f>
        <v>2500000</v>
      </c>
      <c r="H15" s="421"/>
      <c r="I15" s="1835">
        <v>1482677</v>
      </c>
      <c r="J15" s="1661"/>
      <c r="K15" s="1661"/>
      <c r="L15" s="1673">
        <f>SUM(I15:K15)</f>
        <v>1482677</v>
      </c>
      <c r="M15" s="829"/>
      <c r="N15" s="1822"/>
      <c r="O15" s="829"/>
      <c r="P15" s="1822">
        <f>+G15+L15+N15</f>
        <v>3982677</v>
      </c>
      <c r="Q15" s="829"/>
    </row>
    <row r="16" spans="1:20" s="679" customFormat="1" ht="33" customHeight="1">
      <c r="A16" s="760" t="s">
        <v>1039</v>
      </c>
      <c r="B16" s="30" t="s">
        <v>906</v>
      </c>
      <c r="C16" s="125">
        <v>1919</v>
      </c>
      <c r="D16" s="34"/>
      <c r="E16" s="34"/>
      <c r="F16" s="2164">
        <f>1205369-307150</f>
        <v>898219</v>
      </c>
      <c r="G16" s="2161">
        <f t="shared" si="6"/>
        <v>898219</v>
      </c>
      <c r="H16" s="421"/>
      <c r="I16" s="1833"/>
      <c r="J16" s="790"/>
      <c r="K16" s="790"/>
      <c r="L16" s="1673">
        <f t="shared" ref="L16:L19" si="7">SUM(I16:K16)</f>
        <v>0</v>
      </c>
      <c r="M16" s="829"/>
      <c r="N16" s="1807"/>
      <c r="O16" s="829"/>
      <c r="P16" s="1807">
        <f t="shared" ref="P16:P24" si="8">+G16+L16+N16</f>
        <v>898219</v>
      </c>
      <c r="Q16" s="829"/>
    </row>
    <row r="17" spans="1:19" s="679" customFormat="1" ht="33" customHeight="1">
      <c r="A17" s="760" t="s">
        <v>1039</v>
      </c>
      <c r="B17" s="30" t="s">
        <v>870</v>
      </c>
      <c r="C17" s="125" t="s">
        <v>1132</v>
      </c>
      <c r="D17" s="34"/>
      <c r="E17" s="34"/>
      <c r="F17" s="2160"/>
      <c r="G17" s="2161">
        <f t="shared" si="6"/>
        <v>0</v>
      </c>
      <c r="H17" s="421"/>
      <c r="I17" s="1833">
        <f>688744-175109</f>
        <v>513635</v>
      </c>
      <c r="J17" s="790"/>
      <c r="K17" s="790"/>
      <c r="L17" s="1673">
        <f t="shared" si="7"/>
        <v>513635</v>
      </c>
      <c r="M17" s="829"/>
      <c r="N17" s="1807"/>
      <c r="O17" s="829"/>
      <c r="P17" s="1807">
        <f t="shared" si="8"/>
        <v>513635</v>
      </c>
      <c r="Q17" s="829"/>
    </row>
    <row r="18" spans="1:19" s="679" customFormat="1" ht="33" customHeight="1">
      <c r="A18" s="760" t="s">
        <v>1039</v>
      </c>
      <c r="B18" s="30" t="s">
        <v>1087</v>
      </c>
      <c r="C18" s="125" t="s">
        <v>1133</v>
      </c>
      <c r="D18" s="34"/>
      <c r="E18" s="34"/>
      <c r="F18" s="2160">
        <f>2118740+3320018+3450111+2550343-2100000-1395445</f>
        <v>7943767</v>
      </c>
      <c r="G18" s="2161">
        <f t="shared" si="6"/>
        <v>7943767</v>
      </c>
      <c r="H18" s="421"/>
      <c r="I18" s="1833">
        <v>1656568</v>
      </c>
      <c r="J18" s="790"/>
      <c r="K18" s="790"/>
      <c r="L18" s="1673">
        <f t="shared" si="7"/>
        <v>1656568</v>
      </c>
      <c r="M18" s="829"/>
      <c r="N18" s="1807"/>
      <c r="O18" s="829"/>
      <c r="P18" s="1807">
        <f t="shared" si="8"/>
        <v>9600335</v>
      </c>
      <c r="Q18" s="829"/>
    </row>
    <row r="19" spans="1:19" s="679" customFormat="1" ht="50.25" customHeight="1">
      <c r="A19" s="760" t="s">
        <v>1039</v>
      </c>
      <c r="B19" s="30" t="s">
        <v>1099</v>
      </c>
      <c r="C19" s="125" t="s">
        <v>1133</v>
      </c>
      <c r="D19" s="34"/>
      <c r="E19" s="34"/>
      <c r="F19" s="2160">
        <f>2100000-163350</f>
        <v>1936650</v>
      </c>
      <c r="G19" s="2161">
        <f t="shared" si="6"/>
        <v>1936650</v>
      </c>
      <c r="H19" s="421"/>
      <c r="I19" s="1833"/>
      <c r="J19" s="790"/>
      <c r="K19" s="790"/>
      <c r="L19" s="1673">
        <f t="shared" si="7"/>
        <v>0</v>
      </c>
      <c r="M19" s="829"/>
      <c r="N19" s="1807"/>
      <c r="O19" s="829"/>
      <c r="P19" s="1807">
        <f t="shared" si="8"/>
        <v>1936650</v>
      </c>
    </row>
    <row r="20" spans="1:19" s="679" customFormat="1">
      <c r="A20" s="760" t="s">
        <v>464</v>
      </c>
      <c r="B20" s="125" t="s">
        <v>237</v>
      </c>
      <c r="C20" s="125">
        <v>83990</v>
      </c>
      <c r="D20" s="34"/>
      <c r="E20" s="34">
        <v>6</v>
      </c>
      <c r="F20" s="2160">
        <v>2854368</v>
      </c>
      <c r="G20" s="2161">
        <f t="shared" si="6"/>
        <v>2854368</v>
      </c>
      <c r="H20" s="421"/>
      <c r="I20" s="1833"/>
      <c r="J20" s="790"/>
      <c r="K20" s="790"/>
      <c r="L20" s="1672">
        <f t="shared" ref="L20" si="9">SUM(I20:K20)</f>
        <v>0</v>
      </c>
      <c r="M20" s="829"/>
      <c r="N20" s="1807"/>
      <c r="O20" s="829"/>
      <c r="P20" s="1807">
        <f t="shared" si="8"/>
        <v>2854368</v>
      </c>
      <c r="Q20" s="829"/>
    </row>
    <row r="21" spans="1:19" s="679" customFormat="1" ht="38.25">
      <c r="A21" s="760" t="s">
        <v>465</v>
      </c>
      <c r="B21" s="30" t="s">
        <v>1134</v>
      </c>
      <c r="C21" s="125" t="s">
        <v>1135</v>
      </c>
      <c r="D21" s="34"/>
      <c r="E21" s="34">
        <v>1</v>
      </c>
      <c r="F21" s="2160"/>
      <c r="G21" s="2161">
        <f t="shared" si="6"/>
        <v>0</v>
      </c>
      <c r="H21" s="421"/>
      <c r="I21" s="1833">
        <f>9000000-1482677-2345312-1221631</f>
        <v>3950380</v>
      </c>
      <c r="J21" s="790"/>
      <c r="K21" s="790"/>
      <c r="L21" s="1672">
        <f>SUM(I21:K21)</f>
        <v>3950380</v>
      </c>
      <c r="M21" s="829"/>
      <c r="N21" s="1807"/>
      <c r="O21" s="829"/>
      <c r="P21" s="1807">
        <f t="shared" si="8"/>
        <v>3950380</v>
      </c>
      <c r="Q21" s="829"/>
    </row>
    <row r="22" spans="1:19" s="679" customFormat="1" ht="24">
      <c r="A22" s="760" t="s">
        <v>466</v>
      </c>
      <c r="B22" s="125" t="s">
        <v>247</v>
      </c>
      <c r="C22" s="125">
        <v>94339</v>
      </c>
      <c r="D22" s="34"/>
      <c r="E22" s="34">
        <v>1</v>
      </c>
      <c r="F22" s="2160"/>
      <c r="G22" s="2161">
        <f t="shared" si="6"/>
        <v>0</v>
      </c>
      <c r="H22" s="421"/>
      <c r="I22" s="1833">
        <f>22286348+5019053-389594</f>
        <v>26915807</v>
      </c>
      <c r="J22" s="790"/>
      <c r="K22" s="790"/>
      <c r="L22" s="1672">
        <f>SUM(I22:K22)</f>
        <v>26915807</v>
      </c>
      <c r="M22" s="829"/>
      <c r="N22" s="1807"/>
      <c r="O22" s="829"/>
      <c r="P22" s="1807">
        <f t="shared" si="8"/>
        <v>26915807</v>
      </c>
      <c r="Q22" s="1665"/>
      <c r="R22" s="1507"/>
    </row>
    <row r="23" spans="1:19" s="679" customFormat="1" ht="28.5" customHeight="1">
      <c r="A23" s="760" t="s">
        <v>1007</v>
      </c>
      <c r="B23" s="125" t="s">
        <v>237</v>
      </c>
      <c r="C23" s="125">
        <v>83990</v>
      </c>
      <c r="D23" s="34"/>
      <c r="E23" s="34">
        <v>1</v>
      </c>
      <c r="F23" s="2160">
        <v>22000</v>
      </c>
      <c r="G23" s="2165">
        <f t="shared" si="6"/>
        <v>22000</v>
      </c>
      <c r="H23" s="421"/>
      <c r="I23" s="1833">
        <f>2713652-183000</f>
        <v>2530652</v>
      </c>
      <c r="J23" s="790"/>
      <c r="K23" s="790"/>
      <c r="L23" s="1672">
        <f>SUM(I23:K23)</f>
        <v>2530652</v>
      </c>
      <c r="M23" s="829"/>
      <c r="N23" s="1807"/>
      <c r="O23" s="829"/>
      <c r="P23" s="1807">
        <f t="shared" si="8"/>
        <v>2552652</v>
      </c>
      <c r="Q23" s="829"/>
    </row>
    <row r="24" spans="1:19" s="679" customFormat="1">
      <c r="A24" s="760" t="s">
        <v>1088</v>
      </c>
      <c r="B24" s="30" t="s">
        <v>870</v>
      </c>
      <c r="C24" s="125">
        <v>36490</v>
      </c>
      <c r="D24" s="34"/>
      <c r="E24" s="34">
        <v>1</v>
      </c>
      <c r="F24" s="2160"/>
      <c r="G24" s="2161">
        <f t="shared" si="6"/>
        <v>0</v>
      </c>
      <c r="H24" s="421"/>
      <c r="I24" s="1833">
        <f>10000000-5019053-1381510</f>
        <v>3599437</v>
      </c>
      <c r="J24" s="790"/>
      <c r="K24" s="790"/>
      <c r="L24" s="1672">
        <f>SUM(I24:K24)</f>
        <v>3599437</v>
      </c>
      <c r="M24" s="829"/>
      <c r="N24" s="1807"/>
      <c r="O24" s="829"/>
      <c r="P24" s="1807">
        <f t="shared" si="8"/>
        <v>3599437</v>
      </c>
      <c r="Q24" s="2028"/>
    </row>
    <row r="25" spans="1:19" ht="25.5">
      <c r="A25" s="173" t="s">
        <v>348</v>
      </c>
      <c r="B25" s="175"/>
      <c r="C25" s="175"/>
      <c r="D25" s="172" t="s">
        <v>211</v>
      </c>
      <c r="E25" s="172">
        <v>1</v>
      </c>
      <c r="F25" s="2162">
        <f>SUM(F26:F26)</f>
        <v>0</v>
      </c>
      <c r="G25" s="2163">
        <f>SUM(G26:G27)</f>
        <v>0</v>
      </c>
      <c r="H25" s="421"/>
      <c r="I25" s="1834">
        <f>SUM(I26:I27)</f>
        <v>0</v>
      </c>
      <c r="J25" s="788">
        <f t="shared" ref="J25:K25" si="10">SUM(J26:J27)</f>
        <v>0</v>
      </c>
      <c r="K25" s="788">
        <f t="shared" si="10"/>
        <v>0</v>
      </c>
      <c r="L25" s="1671">
        <f>SUM(L26:L27)</f>
        <v>0</v>
      </c>
      <c r="N25" s="1821">
        <f>SUM(N26:N27)</f>
        <v>0</v>
      </c>
      <c r="P25" s="1821">
        <f>SUM(P26:P27)</f>
        <v>0</v>
      </c>
    </row>
    <row r="26" spans="1:19" ht="24">
      <c r="A26" s="760" t="s">
        <v>467</v>
      </c>
      <c r="B26" s="125" t="s">
        <v>247</v>
      </c>
      <c r="C26" s="125">
        <v>94339</v>
      </c>
      <c r="D26" s="34"/>
      <c r="E26" s="34">
        <v>8</v>
      </c>
      <c r="F26" s="2160"/>
      <c r="G26" s="2161">
        <f t="shared" ref="G26:G27" si="11">+F26</f>
        <v>0</v>
      </c>
      <c r="H26" s="421"/>
      <c r="I26" s="1832"/>
      <c r="J26" s="789"/>
      <c r="K26" s="789"/>
      <c r="L26" s="1670">
        <f>SUM(I26:K26)</f>
        <v>0</v>
      </c>
      <c r="N26" s="1820"/>
      <c r="P26" s="1820">
        <f>+G26+L26+N26</f>
        <v>0</v>
      </c>
    </row>
    <row r="27" spans="1:19">
      <c r="A27" s="760" t="s">
        <v>867</v>
      </c>
      <c r="B27" s="125" t="s">
        <v>237</v>
      </c>
      <c r="C27" s="125">
        <v>83990</v>
      </c>
      <c r="D27" s="34"/>
      <c r="E27" s="34"/>
      <c r="F27" s="2160"/>
      <c r="G27" s="2161">
        <f t="shared" si="11"/>
        <v>0</v>
      </c>
      <c r="H27" s="421"/>
      <c r="I27" s="1832"/>
      <c r="J27" s="789"/>
      <c r="K27" s="789"/>
      <c r="L27" s="1670">
        <f>SUM(I27:K27)</f>
        <v>0</v>
      </c>
      <c r="N27" s="1820"/>
      <c r="P27" s="1820">
        <f>+G27+L27+N27</f>
        <v>0</v>
      </c>
    </row>
    <row r="28" spans="1:19" ht="25.5">
      <c r="A28" s="173" t="s">
        <v>248</v>
      </c>
      <c r="B28" s="175"/>
      <c r="C28" s="175"/>
      <c r="D28" s="172" t="s">
        <v>327</v>
      </c>
      <c r="E28" s="172">
        <v>1</v>
      </c>
      <c r="F28" s="2162">
        <f>SUM(F29:F33)</f>
        <v>818234</v>
      </c>
      <c r="G28" s="2163">
        <f>SUM(G29:G34)</f>
        <v>818234</v>
      </c>
      <c r="H28" s="421">
        <f t="shared" ref="H28:K28" si="12">SUM(H29:H34)</f>
        <v>0</v>
      </c>
      <c r="I28" s="2174">
        <f t="shared" si="12"/>
        <v>14667268</v>
      </c>
      <c r="J28" s="2175">
        <f t="shared" si="12"/>
        <v>17889006</v>
      </c>
      <c r="K28" s="2175">
        <f t="shared" si="12"/>
        <v>0</v>
      </c>
      <c r="L28" s="2176">
        <f>SUM(L29:L34)</f>
        <v>32556274</v>
      </c>
      <c r="N28" s="1821">
        <f>SUM(N29:N34)</f>
        <v>0</v>
      </c>
      <c r="P28" s="1821">
        <f>SUM(P29:P34)</f>
        <v>33374508</v>
      </c>
      <c r="S28" s="1505"/>
    </row>
    <row r="29" spans="1:19" s="679" customFormat="1" ht="25.5">
      <c r="A29" s="760" t="s">
        <v>868</v>
      </c>
      <c r="B29" s="30" t="s">
        <v>1136</v>
      </c>
      <c r="C29" s="30">
        <v>83990</v>
      </c>
      <c r="D29" s="34"/>
      <c r="E29" s="34">
        <v>1</v>
      </c>
      <c r="F29" s="2160">
        <f>3880407-3880407</f>
        <v>0</v>
      </c>
      <c r="G29" s="2161">
        <f t="shared" ref="G29:G34" si="13">+F29</f>
        <v>0</v>
      </c>
      <c r="H29" s="421"/>
      <c r="I29" s="1833">
        <f>166108-166108</f>
        <v>0</v>
      </c>
      <c r="J29" s="790">
        <f>1014416-1014416</f>
        <v>0</v>
      </c>
      <c r="K29" s="790"/>
      <c r="L29" s="1672">
        <f>SUM(I29:K29)</f>
        <v>0</v>
      </c>
      <c r="M29" s="829"/>
      <c r="N29" s="1807"/>
      <c r="O29" s="829"/>
      <c r="P29" s="1807">
        <f t="shared" ref="P29:P34" si="14">+G29+L29+N29</f>
        <v>0</v>
      </c>
      <c r="Q29" s="829"/>
      <c r="S29" s="1662"/>
    </row>
    <row r="30" spans="1:19" s="679" customFormat="1">
      <c r="A30" s="760" t="s">
        <v>868</v>
      </c>
      <c r="B30" s="30" t="s">
        <v>287</v>
      </c>
      <c r="C30" s="30">
        <v>2823127</v>
      </c>
      <c r="D30" s="34"/>
      <c r="E30" s="34"/>
      <c r="F30" s="2160"/>
      <c r="G30" s="2161">
        <f t="shared" si="13"/>
        <v>0</v>
      </c>
      <c r="H30" s="421"/>
      <c r="I30" s="1833">
        <f>1303594-331464</f>
        <v>972130</v>
      </c>
      <c r="J30" s="790"/>
      <c r="K30" s="790"/>
      <c r="L30" s="1672">
        <f>SUM(I30:K30)</f>
        <v>972130</v>
      </c>
      <c r="M30" s="829"/>
      <c r="N30" s="1807"/>
      <c r="O30" s="829"/>
      <c r="P30" s="1807">
        <f t="shared" si="14"/>
        <v>972130</v>
      </c>
      <c r="Q30" s="829"/>
      <c r="S30" s="1662"/>
    </row>
    <row r="31" spans="1:19" s="679" customFormat="1">
      <c r="A31" s="760" t="s">
        <v>868</v>
      </c>
      <c r="B31" s="30" t="s">
        <v>245</v>
      </c>
      <c r="C31" s="30" t="s">
        <v>1137</v>
      </c>
      <c r="D31" s="34"/>
      <c r="E31" s="34"/>
      <c r="F31" s="2160"/>
      <c r="G31" s="2161">
        <f t="shared" si="13"/>
        <v>0</v>
      </c>
      <c r="H31" s="421"/>
      <c r="I31" s="1833">
        <f>15461600-3987231</f>
        <v>11474369</v>
      </c>
      <c r="J31" s="790"/>
      <c r="K31" s="790"/>
      <c r="L31" s="1672">
        <f t="shared" ref="L31:L39" si="15">SUM(I31:K31)</f>
        <v>11474369</v>
      </c>
      <c r="M31" s="829"/>
      <c r="N31" s="1807"/>
      <c r="O31" s="829"/>
      <c r="P31" s="1807">
        <f t="shared" si="14"/>
        <v>11474369</v>
      </c>
      <c r="Q31" s="829"/>
      <c r="S31" s="1662"/>
    </row>
    <row r="32" spans="1:19" s="679" customFormat="1" ht="38.25">
      <c r="A32" s="760" t="s">
        <v>868</v>
      </c>
      <c r="B32" s="30" t="s">
        <v>870</v>
      </c>
      <c r="C32" s="30" t="s">
        <v>1138</v>
      </c>
      <c r="D32" s="34"/>
      <c r="E32" s="34"/>
      <c r="F32" s="2160"/>
      <c r="G32" s="2161">
        <f t="shared" si="13"/>
        <v>0</v>
      </c>
      <c r="H32" s="421"/>
      <c r="I32" s="1833">
        <f>3068698-847929</f>
        <v>2220769</v>
      </c>
      <c r="J32" s="790">
        <f>17675460+662640-4662444</f>
        <v>13675656</v>
      </c>
      <c r="K32" s="790"/>
      <c r="L32" s="1672">
        <f t="shared" si="15"/>
        <v>15896425</v>
      </c>
      <c r="M32" s="829"/>
      <c r="N32" s="1807"/>
      <c r="O32" s="829"/>
      <c r="P32" s="1807">
        <f t="shared" si="14"/>
        <v>15896425</v>
      </c>
      <c r="Q32" s="829"/>
      <c r="S32" s="1662"/>
    </row>
    <row r="33" spans="1:20" s="679" customFormat="1">
      <c r="A33" s="760" t="s">
        <v>868</v>
      </c>
      <c r="B33" s="30" t="s">
        <v>1087</v>
      </c>
      <c r="C33" s="30" t="s">
        <v>1139</v>
      </c>
      <c r="D33" s="34"/>
      <c r="E33" s="34"/>
      <c r="F33" s="2160">
        <f>351970+745623-279359</f>
        <v>818234</v>
      </c>
      <c r="G33" s="2161">
        <f t="shared" si="13"/>
        <v>818234</v>
      </c>
      <c r="H33" s="421"/>
      <c r="I33" s="1833"/>
      <c r="J33" s="790"/>
      <c r="K33" s="790"/>
      <c r="L33" s="1672">
        <f t="shared" si="15"/>
        <v>0</v>
      </c>
      <c r="M33" s="829"/>
      <c r="N33" s="1807"/>
      <c r="O33" s="829"/>
      <c r="P33" s="1807">
        <f t="shared" si="14"/>
        <v>818234</v>
      </c>
      <c r="Q33" s="829"/>
      <c r="S33" s="1662"/>
    </row>
    <row r="34" spans="1:20" s="679" customFormat="1">
      <c r="A34" s="760" t="s">
        <v>868</v>
      </c>
      <c r="B34" s="30" t="s">
        <v>1130</v>
      </c>
      <c r="C34" s="30" t="s">
        <v>1140</v>
      </c>
      <c r="D34" s="34"/>
      <c r="E34" s="34"/>
      <c r="F34" s="2160"/>
      <c r="G34" s="2161">
        <f t="shared" si="13"/>
        <v>0</v>
      </c>
      <c r="H34" s="421"/>
      <c r="I34" s="1833"/>
      <c r="J34" s="790">
        <f>2495944+3151540-1434134</f>
        <v>4213350</v>
      </c>
      <c r="K34" s="790"/>
      <c r="L34" s="1672">
        <f t="shared" si="15"/>
        <v>4213350</v>
      </c>
      <c r="M34" s="829"/>
      <c r="N34" s="1807"/>
      <c r="O34" s="829"/>
      <c r="P34" s="1807">
        <f t="shared" si="14"/>
        <v>4213350</v>
      </c>
      <c r="Q34" s="829"/>
      <c r="S34" s="1662"/>
    </row>
    <row r="35" spans="1:20" s="679" customFormat="1">
      <c r="A35" s="173" t="s">
        <v>1148</v>
      </c>
      <c r="B35" s="178"/>
      <c r="C35" s="178"/>
      <c r="D35" s="172"/>
      <c r="E35" s="172"/>
      <c r="F35" s="2162">
        <f t="shared" ref="F35:L35" si="16">SUM(F36:F37)</f>
        <v>0</v>
      </c>
      <c r="G35" s="2163">
        <f t="shared" si="16"/>
        <v>0</v>
      </c>
      <c r="H35" s="1857">
        <f t="shared" si="16"/>
        <v>0</v>
      </c>
      <c r="I35" s="2174">
        <f t="shared" si="16"/>
        <v>0</v>
      </c>
      <c r="J35" s="2175">
        <f t="shared" si="16"/>
        <v>0</v>
      </c>
      <c r="K35" s="2175">
        <f t="shared" si="16"/>
        <v>0</v>
      </c>
      <c r="L35" s="2176">
        <f t="shared" si="16"/>
        <v>0</v>
      </c>
      <c r="M35" s="1858"/>
      <c r="N35" s="1859">
        <f>SUM(N36:N37)</f>
        <v>257760000</v>
      </c>
      <c r="O35" s="1858"/>
      <c r="P35" s="1859">
        <f>SUM(P36:P37)</f>
        <v>257760000</v>
      </c>
      <c r="Q35" s="829"/>
      <c r="S35" s="1662"/>
    </row>
    <row r="36" spans="1:20" s="679" customFormat="1">
      <c r="A36" s="760" t="s">
        <v>1149</v>
      </c>
      <c r="B36" s="30" t="s">
        <v>237</v>
      </c>
      <c r="C36" s="30">
        <v>83990</v>
      </c>
      <c r="D36" s="34" t="s">
        <v>460</v>
      </c>
      <c r="E36" s="34">
        <v>24</v>
      </c>
      <c r="F36" s="2160"/>
      <c r="G36" s="2161">
        <f t="shared" ref="G36:G37" si="17">+F36</f>
        <v>0</v>
      </c>
      <c r="H36" s="421"/>
      <c r="I36" s="1833"/>
      <c r="J36" s="790"/>
      <c r="K36" s="790"/>
      <c r="L36" s="1672">
        <f t="shared" si="15"/>
        <v>0</v>
      </c>
      <c r="M36" s="829"/>
      <c r="N36" s="1807">
        <f>63300000+60000</f>
        <v>63360000</v>
      </c>
      <c r="O36" s="829"/>
      <c r="P36" s="1807">
        <f t="shared" ref="P36:P37" si="18">+G36+L36+N36</f>
        <v>63360000</v>
      </c>
      <c r="Q36" s="2325"/>
      <c r="R36" s="2326"/>
      <c r="S36" s="2326"/>
    </row>
    <row r="37" spans="1:20" s="679" customFormat="1">
      <c r="A37" s="760" t="s">
        <v>1151</v>
      </c>
      <c r="B37" s="30" t="s">
        <v>237</v>
      </c>
      <c r="C37" s="30">
        <v>83990</v>
      </c>
      <c r="D37" s="34" t="s">
        <v>460</v>
      </c>
      <c r="E37" s="34">
        <v>24</v>
      </c>
      <c r="F37" s="2160"/>
      <c r="G37" s="2161">
        <f t="shared" si="17"/>
        <v>0</v>
      </c>
      <c r="H37" s="421"/>
      <c r="I37" s="1833"/>
      <c r="J37" s="790"/>
      <c r="K37" s="790"/>
      <c r="L37" s="1672">
        <f t="shared" si="15"/>
        <v>0</v>
      </c>
      <c r="M37" s="829"/>
      <c r="N37" s="1807">
        <v>194400000</v>
      </c>
      <c r="O37" s="829"/>
      <c r="P37" s="1807">
        <f t="shared" si="18"/>
        <v>194400000</v>
      </c>
      <c r="Q37" s="2325"/>
      <c r="R37" s="2326"/>
      <c r="S37" s="2326"/>
    </row>
    <row r="38" spans="1:20" ht="38.25">
      <c r="A38" s="173" t="s">
        <v>249</v>
      </c>
      <c r="B38" s="175"/>
      <c r="C38" s="175"/>
      <c r="D38" s="172" t="s">
        <v>327</v>
      </c>
      <c r="E38" s="172">
        <v>1</v>
      </c>
      <c r="F38" s="2162">
        <v>39758400</v>
      </c>
      <c r="G38" s="2163">
        <f>+G39</f>
        <v>39758400</v>
      </c>
      <c r="H38" s="421"/>
      <c r="I38" s="1834">
        <f>+I39</f>
        <v>0</v>
      </c>
      <c r="J38" s="788">
        <f t="shared" ref="J38:K38" si="19">+J39</f>
        <v>0</v>
      </c>
      <c r="K38" s="788">
        <f t="shared" si="19"/>
        <v>0</v>
      </c>
      <c r="L38" s="1671">
        <f>+L39</f>
        <v>0</v>
      </c>
      <c r="M38" s="1674"/>
      <c r="N38" s="1821">
        <f>+N39</f>
        <v>0</v>
      </c>
      <c r="O38" s="1674"/>
      <c r="P38" s="1821">
        <f>+P39</f>
        <v>39758400</v>
      </c>
    </row>
    <row r="39" spans="1:20" s="679" customFormat="1" ht="26.25" thickBot="1">
      <c r="A39" s="55" t="s">
        <v>942</v>
      </c>
      <c r="B39" s="537" t="s">
        <v>237</v>
      </c>
      <c r="C39" s="537">
        <v>83990</v>
      </c>
      <c r="D39" s="552" t="s">
        <v>460</v>
      </c>
      <c r="E39" s="552">
        <v>6</v>
      </c>
      <c r="F39" s="2166">
        <f>F38</f>
        <v>39758400</v>
      </c>
      <c r="G39" s="2167">
        <f>+F39</f>
        <v>39758400</v>
      </c>
      <c r="H39" s="421"/>
      <c r="I39" s="1836"/>
      <c r="J39" s="1079"/>
      <c r="K39" s="1079"/>
      <c r="L39" s="1675">
        <f t="shared" si="15"/>
        <v>0</v>
      </c>
      <c r="M39" s="829"/>
      <c r="N39" s="1823"/>
      <c r="O39" s="829"/>
      <c r="P39" s="1823">
        <f>+G39+L39+N39</f>
        <v>39758400</v>
      </c>
      <c r="Q39" s="829"/>
    </row>
    <row r="40" spans="1:20" ht="26.25" thickBot="1">
      <c r="A40" s="462" t="s">
        <v>241</v>
      </c>
      <c r="B40" s="1080"/>
      <c r="C40" s="1080"/>
      <c r="D40" s="549" t="s">
        <v>327</v>
      </c>
      <c r="E40" s="549">
        <v>1</v>
      </c>
      <c r="F40" s="2168">
        <f>+F41+F45</f>
        <v>93971273</v>
      </c>
      <c r="G40" s="2169">
        <f>+G41</f>
        <v>93971273</v>
      </c>
      <c r="H40" s="421"/>
      <c r="I40" s="1081">
        <f>+I41</f>
        <v>572594</v>
      </c>
      <c r="J40" s="1082">
        <f t="shared" ref="J40:K40" si="20">+J41</f>
        <v>0</v>
      </c>
      <c r="K40" s="1082">
        <f t="shared" si="20"/>
        <v>0</v>
      </c>
      <c r="L40" s="1083">
        <f>+L41</f>
        <v>572594</v>
      </c>
      <c r="N40" s="1084">
        <f>+N41</f>
        <v>0</v>
      </c>
      <c r="P40" s="1084">
        <f>+P41</f>
        <v>94543867</v>
      </c>
    </row>
    <row r="41" spans="1:20" ht="38.25">
      <c r="A41" s="1088" t="s">
        <v>253</v>
      </c>
      <c r="B41" s="1071"/>
      <c r="C41" s="1071"/>
      <c r="D41" s="1072" t="s">
        <v>327</v>
      </c>
      <c r="E41" s="1072">
        <v>1</v>
      </c>
      <c r="F41" s="2170">
        <f>SUM(F42:F44)</f>
        <v>10000000</v>
      </c>
      <c r="G41" s="2171">
        <f>SUM(G42:G45)</f>
        <v>93971273</v>
      </c>
      <c r="H41" s="421"/>
      <c r="I41" s="1837">
        <f>SUM(I42:I45)</f>
        <v>572594</v>
      </c>
      <c r="J41" s="1073">
        <f t="shared" ref="J41:K41" si="21">SUM(J42:J45)</f>
        <v>0</v>
      </c>
      <c r="K41" s="1073">
        <f t="shared" si="21"/>
        <v>0</v>
      </c>
      <c r="L41" s="1676">
        <f>SUM(L42:L45)</f>
        <v>572594</v>
      </c>
      <c r="N41" s="1824">
        <f>SUM(N42:N45)</f>
        <v>0</v>
      </c>
      <c r="P41" s="1824">
        <f>SUM(P42:P45)</f>
        <v>94543867</v>
      </c>
    </row>
    <row r="42" spans="1:20" s="679" customFormat="1" ht="25.5">
      <c r="A42" s="760" t="s">
        <v>468</v>
      </c>
      <c r="B42" s="30" t="s">
        <v>242</v>
      </c>
      <c r="C42" s="30" t="s">
        <v>869</v>
      </c>
      <c r="D42" s="34"/>
      <c r="E42" s="34">
        <v>1</v>
      </c>
      <c r="F42" s="2160">
        <v>10000000</v>
      </c>
      <c r="G42" s="2161">
        <f t="shared" ref="G42:G44" si="22">+F42</f>
        <v>10000000</v>
      </c>
      <c r="H42" s="421"/>
      <c r="I42" s="1833"/>
      <c r="J42" s="790"/>
      <c r="K42" s="790"/>
      <c r="L42" s="1672">
        <f>SUM(I42:K42)</f>
        <v>0</v>
      </c>
      <c r="M42" s="829"/>
      <c r="N42" s="1807"/>
      <c r="O42" s="829"/>
      <c r="P42" s="1807">
        <f>+G42+L42+N42</f>
        <v>10000000</v>
      </c>
      <c r="Q42" s="829"/>
    </row>
    <row r="43" spans="1:20" s="679" customFormat="1">
      <c r="A43" s="760" t="s">
        <v>1152</v>
      </c>
      <c r="B43" s="30"/>
      <c r="C43" s="30"/>
      <c r="D43" s="34"/>
      <c r="E43" s="34"/>
      <c r="F43" s="1070"/>
      <c r="G43" s="1829">
        <f t="shared" si="22"/>
        <v>0</v>
      </c>
      <c r="H43" s="421"/>
      <c r="I43" s="1833"/>
      <c r="J43" s="790"/>
      <c r="K43" s="790"/>
      <c r="L43" s="1672">
        <f>SUM(I43:K43)</f>
        <v>0</v>
      </c>
      <c r="M43" s="829"/>
      <c r="N43" s="1807"/>
      <c r="O43" s="829"/>
      <c r="P43" s="1807">
        <f>+G43+L43+N43</f>
        <v>0</v>
      </c>
      <c r="Q43" s="829"/>
    </row>
    <row r="44" spans="1:20" s="679" customFormat="1" ht="25.5">
      <c r="A44" s="760" t="s">
        <v>469</v>
      </c>
      <c r="B44" s="30" t="s">
        <v>870</v>
      </c>
      <c r="C44" s="30">
        <v>3262003</v>
      </c>
      <c r="D44" s="34"/>
      <c r="E44" s="34">
        <v>1</v>
      </c>
      <c r="F44" s="1070">
        <f>5000000-5000000</f>
        <v>0</v>
      </c>
      <c r="G44" s="1829">
        <f t="shared" si="22"/>
        <v>0</v>
      </c>
      <c r="H44" s="421"/>
      <c r="I44" s="1833"/>
      <c r="J44" s="790"/>
      <c r="K44" s="790"/>
      <c r="L44" s="1672">
        <f>SUM(I44:K44)</f>
        <v>0</v>
      </c>
      <c r="M44" s="829"/>
      <c r="N44" s="1807"/>
      <c r="O44" s="829"/>
      <c r="P44" s="1807">
        <f>+G44+L44+N44</f>
        <v>0</v>
      </c>
      <c r="Q44" s="829"/>
    </row>
    <row r="45" spans="1:20" ht="13.5" thickBot="1">
      <c r="A45" s="176" t="s">
        <v>228</v>
      </c>
      <c r="B45" s="181" t="s">
        <v>871</v>
      </c>
      <c r="C45" s="181"/>
      <c r="D45" s="1830" t="s">
        <v>327</v>
      </c>
      <c r="E45" s="1830">
        <v>1</v>
      </c>
      <c r="F45" s="2172">
        <v>83971273</v>
      </c>
      <c r="G45" s="2173">
        <f>+F45</f>
        <v>83971273</v>
      </c>
      <c r="H45" s="421"/>
      <c r="I45" s="1838">
        <f>389594+183000</f>
        <v>572594</v>
      </c>
      <c r="J45" s="1839"/>
      <c r="K45" s="1839"/>
      <c r="L45" s="1840">
        <f t="shared" ref="L45" si="23">SUM(I45:K45)</f>
        <v>572594</v>
      </c>
      <c r="N45" s="1825"/>
      <c r="P45" s="1825">
        <f>+G45+L45+N45</f>
        <v>84543867</v>
      </c>
    </row>
    <row r="46" spans="1:20" ht="15.75" customHeight="1" thickBot="1">
      <c r="A46" s="2327" t="s">
        <v>10</v>
      </c>
      <c r="B46" s="2328"/>
      <c r="C46" s="2328"/>
      <c r="D46" s="2328"/>
      <c r="E46" s="2329"/>
      <c r="F46" s="1401">
        <f>+F7+F40</f>
        <v>209824164</v>
      </c>
      <c r="G46" s="1402">
        <f>+G7+G40</f>
        <v>209824164</v>
      </c>
      <c r="H46" s="423"/>
      <c r="I46" s="1403">
        <f>+I7+I40</f>
        <v>55889018</v>
      </c>
      <c r="J46" s="1404">
        <f>+J7+J40</f>
        <v>21698713</v>
      </c>
      <c r="K46" s="1404">
        <f>+K7+K40</f>
        <v>16267783</v>
      </c>
      <c r="L46" s="1405">
        <f>+L7+L40</f>
        <v>93855514</v>
      </c>
      <c r="N46" s="1404">
        <f>+N7+N40</f>
        <v>257760000</v>
      </c>
      <c r="P46" s="1404">
        <f>+P7+P40</f>
        <v>561439678</v>
      </c>
    </row>
    <row r="47" spans="1:20" ht="13.5" thickBot="1">
      <c r="F47" s="419"/>
      <c r="G47" s="419"/>
      <c r="H47" s="424"/>
      <c r="I47" s="419"/>
      <c r="N47" s="2177"/>
      <c r="P47" s="1826"/>
    </row>
    <row r="48" spans="1:20" s="679" customFormat="1" ht="13.5" thickBot="1">
      <c r="A48" s="418"/>
      <c r="B48" s="418"/>
      <c r="C48" s="418"/>
      <c r="D48" s="418"/>
      <c r="E48" s="418"/>
      <c r="F48" s="798">
        <f>215849875-6025711</f>
        <v>209824164</v>
      </c>
      <c r="G48" s="798">
        <f>+F48</f>
        <v>209824164</v>
      </c>
      <c r="H48" s="829"/>
      <c r="I48" s="798">
        <f>64000000-8110982</f>
        <v>55889018</v>
      </c>
      <c r="J48" s="738">
        <f>28809707-7110994</f>
        <v>21698713</v>
      </c>
      <c r="K48" s="738">
        <v>16267783</v>
      </c>
      <c r="L48" s="2008">
        <v>93855514</v>
      </c>
      <c r="M48" s="1664"/>
      <c r="N48" s="2178">
        <v>257760000</v>
      </c>
      <c r="O48" s="1664"/>
      <c r="P48" s="2009">
        <v>561439678</v>
      </c>
      <c r="Q48" s="1664"/>
      <c r="R48" s="418"/>
      <c r="S48" s="418"/>
      <c r="T48" s="418"/>
    </row>
    <row r="49" spans="6:16">
      <c r="N49" s="2179"/>
    </row>
    <row r="50" spans="6:16">
      <c r="F50" s="739"/>
      <c r="G50" s="739"/>
      <c r="I50" s="1662"/>
      <c r="J50" s="669"/>
      <c r="K50" s="669"/>
      <c r="L50" s="669"/>
      <c r="M50" s="1674"/>
      <c r="N50" s="2179"/>
      <c r="O50" s="1674"/>
      <c r="P50" s="669"/>
    </row>
    <row r="51" spans="6:16">
      <c r="F51" s="739">
        <f>+F48-F46</f>
        <v>0</v>
      </c>
      <c r="G51" s="739">
        <f t="shared" ref="G51:P51" si="24">+G48-G46</f>
        <v>0</v>
      </c>
      <c r="H51" s="739">
        <f t="shared" si="24"/>
        <v>0</v>
      </c>
      <c r="I51" s="739">
        <f t="shared" si="24"/>
        <v>0</v>
      </c>
      <c r="J51" s="739">
        <f t="shared" si="24"/>
        <v>0</v>
      </c>
      <c r="K51" s="739">
        <f t="shared" si="24"/>
        <v>0</v>
      </c>
      <c r="L51" s="739">
        <f t="shared" si="24"/>
        <v>0</v>
      </c>
      <c r="M51" s="739"/>
      <c r="N51" s="2180">
        <f t="shared" si="24"/>
        <v>0</v>
      </c>
      <c r="O51" s="739"/>
      <c r="P51" s="739">
        <f t="shared" si="24"/>
        <v>0</v>
      </c>
    </row>
    <row r="52" spans="6:16">
      <c r="N52" s="2179"/>
    </row>
    <row r="53" spans="6:16">
      <c r="I53" s="669"/>
      <c r="L53" s="669"/>
      <c r="N53" s="2179"/>
    </row>
    <row r="54" spans="6:16">
      <c r="N54" s="2179"/>
    </row>
    <row r="55" spans="6:16">
      <c r="N55" s="2179"/>
    </row>
    <row r="56" spans="6:16">
      <c r="N56" s="2179"/>
    </row>
    <row r="57" spans="6:16">
      <c r="N57" s="2179"/>
    </row>
    <row r="58" spans="6:16">
      <c r="N58" s="2179"/>
    </row>
    <row r="59" spans="6:16">
      <c r="N59" s="2179"/>
    </row>
    <row r="60" spans="6:16">
      <c r="N60" s="2179"/>
    </row>
    <row r="61" spans="6:16">
      <c r="N61" s="2179"/>
    </row>
    <row r="62" spans="6:16">
      <c r="N62" s="2179"/>
    </row>
    <row r="63" spans="6:16">
      <c r="N63" s="2179"/>
    </row>
    <row r="64" spans="6:16">
      <c r="N64" s="2179"/>
    </row>
    <row r="65" spans="14:14">
      <c r="N65" s="2179"/>
    </row>
    <row r="66" spans="14:14">
      <c r="N66" s="2179"/>
    </row>
    <row r="67" spans="14:14">
      <c r="N67" s="2179"/>
    </row>
    <row r="68" spans="14:14">
      <c r="N68" s="2179"/>
    </row>
    <row r="69" spans="14:14">
      <c r="N69" s="2179"/>
    </row>
    <row r="70" spans="14:14">
      <c r="N70" s="2179"/>
    </row>
    <row r="71" spans="14:14">
      <c r="N71" s="2179"/>
    </row>
    <row r="72" spans="14:14">
      <c r="N72" s="2179"/>
    </row>
    <row r="73" spans="14:14">
      <c r="N73" s="2179"/>
    </row>
    <row r="74" spans="14:14">
      <c r="N74" s="2179"/>
    </row>
    <row r="75" spans="14:14">
      <c r="N75" s="2179"/>
    </row>
    <row r="76" spans="14:14">
      <c r="N76" s="2179"/>
    </row>
    <row r="77" spans="14:14">
      <c r="N77" s="2179"/>
    </row>
    <row r="78" spans="14:14">
      <c r="N78" s="2179"/>
    </row>
    <row r="79" spans="14:14">
      <c r="N79" s="2179"/>
    </row>
    <row r="119" spans="22:22">
      <c r="V119" s="418">
        <v>125</v>
      </c>
    </row>
    <row r="120" spans="22:22">
      <c r="V120" s="418">
        <v>126</v>
      </c>
    </row>
    <row r="121" spans="22:22">
      <c r="V121" s="418">
        <v>127</v>
      </c>
    </row>
    <row r="122" spans="22:22">
      <c r="V122" s="418">
        <v>128</v>
      </c>
    </row>
    <row r="123" spans="22:22">
      <c r="V123" s="418">
        <v>129</v>
      </c>
    </row>
    <row r="124" spans="22:22">
      <c r="V124" s="418">
        <v>130</v>
      </c>
    </row>
    <row r="125" spans="22:22">
      <c r="V125" s="418">
        <v>131</v>
      </c>
    </row>
    <row r="126" spans="22:22">
      <c r="V126" s="418">
        <v>132</v>
      </c>
    </row>
    <row r="127" spans="22:22">
      <c r="V127" s="418">
        <v>133</v>
      </c>
    </row>
    <row r="128" spans="22:22">
      <c r="V128" s="418">
        <v>134</v>
      </c>
    </row>
    <row r="129" spans="22:22">
      <c r="V129" s="418">
        <v>135</v>
      </c>
    </row>
    <row r="130" spans="22:22">
      <c r="V130" s="418">
        <v>136</v>
      </c>
    </row>
    <row r="131" spans="22:22">
      <c r="V131" s="418">
        <v>137</v>
      </c>
    </row>
    <row r="132" spans="22:22">
      <c r="V132" s="418">
        <v>138</v>
      </c>
    </row>
    <row r="133" spans="22:22">
      <c r="V133" s="418">
        <v>139</v>
      </c>
    </row>
    <row r="134" spans="22:22">
      <c r="V134" s="418">
        <v>140</v>
      </c>
    </row>
    <row r="135" spans="22:22">
      <c r="V135" s="418">
        <v>141</v>
      </c>
    </row>
    <row r="136" spans="22:22">
      <c r="V136" s="418">
        <v>142</v>
      </c>
    </row>
    <row r="137" spans="22:22">
      <c r="V137" s="418">
        <v>143</v>
      </c>
    </row>
    <row r="138" spans="22:22">
      <c r="V138" s="418">
        <v>144</v>
      </c>
    </row>
    <row r="139" spans="22:22">
      <c r="V139" s="418">
        <v>145</v>
      </c>
    </row>
    <row r="140" spans="22:22">
      <c r="V140" s="418">
        <v>146</v>
      </c>
    </row>
    <row r="141" spans="22:22">
      <c r="V141" s="418">
        <v>147</v>
      </c>
    </row>
    <row r="142" spans="22:22">
      <c r="V142" s="418">
        <v>148</v>
      </c>
    </row>
    <row r="143" spans="22:22">
      <c r="V143" s="418">
        <v>149</v>
      </c>
    </row>
    <row r="144" spans="22:22">
      <c r="V144" s="418">
        <v>150</v>
      </c>
    </row>
    <row r="145" spans="22:22">
      <c r="V145" s="418">
        <v>151</v>
      </c>
    </row>
    <row r="146" spans="22:22">
      <c r="V146" s="418">
        <v>152</v>
      </c>
    </row>
    <row r="147" spans="22:22">
      <c r="V147" s="418">
        <v>153</v>
      </c>
    </row>
    <row r="148" spans="22:22">
      <c r="V148" s="418">
        <v>154</v>
      </c>
    </row>
    <row r="149" spans="22:22">
      <c r="V149" s="418">
        <v>155</v>
      </c>
    </row>
    <row r="150" spans="22:22">
      <c r="V150" s="418">
        <v>156</v>
      </c>
    </row>
    <row r="151" spans="22:22">
      <c r="V151" s="418">
        <v>157</v>
      </c>
    </row>
    <row r="152" spans="22:22">
      <c r="V152" s="418">
        <v>158</v>
      </c>
    </row>
    <row r="153" spans="22:22">
      <c r="V153" s="418">
        <v>159</v>
      </c>
    </row>
    <row r="154" spans="22:22">
      <c r="V154" s="418">
        <v>160</v>
      </c>
    </row>
    <row r="155" spans="22:22">
      <c r="V155" s="418">
        <v>161</v>
      </c>
    </row>
    <row r="156" spans="22:22">
      <c r="V156" s="418">
        <v>162</v>
      </c>
    </row>
    <row r="157" spans="22:22">
      <c r="V157" s="418">
        <v>163</v>
      </c>
    </row>
    <row r="158" spans="22:22">
      <c r="V158" s="418">
        <v>164</v>
      </c>
    </row>
    <row r="159" spans="22:22">
      <c r="V159" s="418">
        <v>165</v>
      </c>
    </row>
    <row r="160" spans="22:22">
      <c r="V160" s="418">
        <v>166</v>
      </c>
    </row>
    <row r="161" spans="22:22">
      <c r="V161" s="418">
        <v>167</v>
      </c>
    </row>
    <row r="162" spans="22:22">
      <c r="V162" s="418">
        <v>168</v>
      </c>
    </row>
    <row r="163" spans="22:22">
      <c r="V163" s="418">
        <v>169</v>
      </c>
    </row>
    <row r="164" spans="22:22">
      <c r="V164" s="418">
        <v>170</v>
      </c>
    </row>
    <row r="165" spans="22:22">
      <c r="V165" s="418">
        <v>171</v>
      </c>
    </row>
    <row r="166" spans="22:22">
      <c r="V166" s="418">
        <v>172</v>
      </c>
    </row>
    <row r="167" spans="22:22">
      <c r="V167" s="418">
        <v>173</v>
      </c>
    </row>
    <row r="168" spans="22:22">
      <c r="V168" s="418">
        <v>174</v>
      </c>
    </row>
    <row r="169" spans="22:22">
      <c r="V169" s="418">
        <v>175</v>
      </c>
    </row>
    <row r="170" spans="22:22">
      <c r="V170" s="418">
        <v>176</v>
      </c>
    </row>
    <row r="171" spans="22:22">
      <c r="V171" s="418">
        <v>177</v>
      </c>
    </row>
    <row r="172" spans="22:22">
      <c r="V172" s="418">
        <v>178</v>
      </c>
    </row>
    <row r="173" spans="22:22">
      <c r="V173" s="418">
        <v>179</v>
      </c>
    </row>
    <row r="174" spans="22:22">
      <c r="V174" s="418">
        <v>180</v>
      </c>
    </row>
    <row r="175" spans="22:22">
      <c r="V175" s="418">
        <v>181</v>
      </c>
    </row>
    <row r="176" spans="22:22">
      <c r="V176" s="418">
        <v>182</v>
      </c>
    </row>
    <row r="177" spans="22:22">
      <c r="V177" s="418">
        <v>183</v>
      </c>
    </row>
    <row r="178" spans="22:22">
      <c r="V178" s="418">
        <v>184</v>
      </c>
    </row>
    <row r="179" spans="22:22">
      <c r="V179" s="418">
        <v>185</v>
      </c>
    </row>
    <row r="180" spans="22:22">
      <c r="V180" s="418">
        <v>186</v>
      </c>
    </row>
    <row r="181" spans="22:22">
      <c r="V181" s="418">
        <v>187</v>
      </c>
    </row>
    <row r="182" spans="22:22">
      <c r="V182" s="418">
        <v>188</v>
      </c>
    </row>
    <row r="183" spans="22:22">
      <c r="V183" s="418">
        <v>189</v>
      </c>
    </row>
    <row r="184" spans="22:22">
      <c r="V184" s="418">
        <v>190</v>
      </c>
    </row>
    <row r="185" spans="22:22">
      <c r="V185" s="418">
        <v>191</v>
      </c>
    </row>
    <row r="186" spans="22:22">
      <c r="V186" s="418">
        <v>192</v>
      </c>
    </row>
    <row r="187" spans="22:22">
      <c r="V187" s="418">
        <v>193</v>
      </c>
    </row>
    <row r="188" spans="22:22">
      <c r="V188" s="418">
        <v>194</v>
      </c>
    </row>
    <row r="189" spans="22:22">
      <c r="V189" s="418">
        <v>195</v>
      </c>
    </row>
    <row r="190" spans="22:22">
      <c r="V190" s="418">
        <v>196</v>
      </c>
    </row>
    <row r="191" spans="22:22">
      <c r="V191" s="418">
        <v>197</v>
      </c>
    </row>
    <row r="192" spans="22:22">
      <c r="V192" s="418">
        <v>198</v>
      </c>
    </row>
    <row r="193" spans="22:22">
      <c r="V193" s="418">
        <v>199</v>
      </c>
    </row>
    <row r="194" spans="22:22">
      <c r="V194" s="418">
        <v>200</v>
      </c>
    </row>
    <row r="195" spans="22:22">
      <c r="V195" s="418">
        <v>201</v>
      </c>
    </row>
    <row r="196" spans="22:22">
      <c r="V196" s="418">
        <v>202</v>
      </c>
    </row>
    <row r="197" spans="22:22">
      <c r="V197" s="418">
        <v>203</v>
      </c>
    </row>
    <row r="198" spans="22:22">
      <c r="V198" s="418">
        <v>204</v>
      </c>
    </row>
    <row r="199" spans="22:22">
      <c r="V199" s="418">
        <v>205</v>
      </c>
    </row>
    <row r="200" spans="22:22">
      <c r="V200" s="418">
        <v>206</v>
      </c>
    </row>
    <row r="201" spans="22:22">
      <c r="V201" s="418">
        <v>207</v>
      </c>
    </row>
    <row r="202" spans="22:22">
      <c r="V202" s="418">
        <v>208</v>
      </c>
    </row>
    <row r="203" spans="22:22">
      <c r="V203" s="418">
        <v>209</v>
      </c>
    </row>
    <row r="204" spans="22:22">
      <c r="V204" s="418">
        <v>210</v>
      </c>
    </row>
    <row r="205" spans="22:22">
      <c r="V205" s="418">
        <v>211</v>
      </c>
    </row>
    <row r="206" spans="22:22">
      <c r="V206" s="418">
        <v>212</v>
      </c>
    </row>
    <row r="207" spans="22:22">
      <c r="V207" s="418">
        <v>213</v>
      </c>
    </row>
    <row r="208" spans="22:22">
      <c r="V208" s="418">
        <v>214</v>
      </c>
    </row>
    <row r="209" spans="22:22">
      <c r="V209" s="418">
        <v>215</v>
      </c>
    </row>
    <row r="210" spans="22:22">
      <c r="V210" s="418">
        <v>216</v>
      </c>
    </row>
    <row r="211" spans="22:22">
      <c r="V211" s="418">
        <v>217</v>
      </c>
    </row>
    <row r="212" spans="22:22">
      <c r="V212" s="418">
        <v>218</v>
      </c>
    </row>
    <row r="213" spans="22:22">
      <c r="V213" s="418">
        <v>219</v>
      </c>
    </row>
    <row r="214" spans="22:22">
      <c r="V214" s="418">
        <v>220</v>
      </c>
    </row>
    <row r="215" spans="22:22">
      <c r="V215" s="418">
        <v>221</v>
      </c>
    </row>
    <row r="216" spans="22:22">
      <c r="V216" s="418">
        <v>222</v>
      </c>
    </row>
    <row r="217" spans="22:22">
      <c r="V217" s="418">
        <v>223</v>
      </c>
    </row>
    <row r="218" spans="22:22">
      <c r="V218" s="418">
        <v>224</v>
      </c>
    </row>
    <row r="219" spans="22:22">
      <c r="V219" s="418">
        <v>225</v>
      </c>
    </row>
    <row r="220" spans="22:22">
      <c r="V220" s="418">
        <v>226</v>
      </c>
    </row>
    <row r="221" spans="22:22">
      <c r="V221" s="418">
        <v>227</v>
      </c>
    </row>
    <row r="222" spans="22:22">
      <c r="V222" s="418">
        <v>228</v>
      </c>
    </row>
    <row r="223" spans="22:22">
      <c r="V223" s="418">
        <v>229</v>
      </c>
    </row>
    <row r="224" spans="22:22">
      <c r="V224" s="418">
        <v>230</v>
      </c>
    </row>
    <row r="225" spans="22:22">
      <c r="V225" s="418">
        <v>231</v>
      </c>
    </row>
    <row r="226" spans="22:22">
      <c r="V226" s="418">
        <v>232</v>
      </c>
    </row>
    <row r="227" spans="22:22">
      <c r="V227" s="418">
        <v>233</v>
      </c>
    </row>
    <row r="228" spans="22:22">
      <c r="V228" s="418">
        <v>234</v>
      </c>
    </row>
    <row r="229" spans="22:22">
      <c r="V229" s="418">
        <v>235</v>
      </c>
    </row>
    <row r="230" spans="22:22">
      <c r="V230" s="418">
        <v>236</v>
      </c>
    </row>
    <row r="231" spans="22:22">
      <c r="V231" s="418">
        <v>237</v>
      </c>
    </row>
    <row r="232" spans="22:22">
      <c r="V232" s="418">
        <v>238</v>
      </c>
    </row>
    <row r="233" spans="22:22">
      <c r="V233" s="418">
        <v>239</v>
      </c>
    </row>
    <row r="234" spans="22:22">
      <c r="V234" s="418">
        <v>240</v>
      </c>
    </row>
    <row r="235" spans="22:22">
      <c r="V235" s="418">
        <v>241</v>
      </c>
    </row>
    <row r="236" spans="22:22">
      <c r="V236" s="418">
        <v>242</v>
      </c>
    </row>
    <row r="237" spans="22:22">
      <c r="V237" s="418">
        <v>243</v>
      </c>
    </row>
    <row r="238" spans="22:22">
      <c r="V238" s="418">
        <v>244</v>
      </c>
    </row>
    <row r="239" spans="22:22">
      <c r="V239" s="418">
        <v>245</v>
      </c>
    </row>
    <row r="240" spans="22:22">
      <c r="V240" s="418">
        <v>246</v>
      </c>
    </row>
    <row r="241" spans="22:22">
      <c r="V241" s="418">
        <v>247</v>
      </c>
    </row>
    <row r="242" spans="22:22">
      <c r="V242" s="418">
        <v>248</v>
      </c>
    </row>
    <row r="243" spans="22:22">
      <c r="V243" s="418">
        <v>249</v>
      </c>
    </row>
    <row r="244" spans="22:22">
      <c r="V244" s="418">
        <v>250</v>
      </c>
    </row>
    <row r="245" spans="22:22">
      <c r="V245" s="418">
        <v>251</v>
      </c>
    </row>
    <row r="246" spans="22:22">
      <c r="V246" s="418">
        <v>252</v>
      </c>
    </row>
    <row r="247" spans="22:22">
      <c r="V247" s="418">
        <v>253</v>
      </c>
    </row>
    <row r="248" spans="22:22">
      <c r="V248" s="418">
        <v>254</v>
      </c>
    </row>
    <row r="249" spans="22:22">
      <c r="V249" s="418">
        <v>255</v>
      </c>
    </row>
    <row r="250" spans="22:22">
      <c r="V250" s="418">
        <v>256</v>
      </c>
    </row>
    <row r="251" spans="22:22">
      <c r="V251" s="418">
        <v>257</v>
      </c>
    </row>
    <row r="252" spans="22:22">
      <c r="V252" s="418">
        <v>258</v>
      </c>
    </row>
    <row r="253" spans="22:22">
      <c r="V253" s="418">
        <v>259</v>
      </c>
    </row>
    <row r="254" spans="22:22">
      <c r="V254" s="418">
        <v>260</v>
      </c>
    </row>
    <row r="255" spans="22:22">
      <c r="V255" s="418">
        <v>261</v>
      </c>
    </row>
    <row r="256" spans="22:22">
      <c r="V256" s="418">
        <v>262</v>
      </c>
    </row>
    <row r="257" spans="22:22">
      <c r="V257" s="418">
        <v>263</v>
      </c>
    </row>
    <row r="258" spans="22:22">
      <c r="V258" s="418">
        <v>264</v>
      </c>
    </row>
    <row r="259" spans="22:22">
      <c r="V259" s="418">
        <v>265</v>
      </c>
    </row>
    <row r="260" spans="22:22">
      <c r="V260" s="418">
        <v>266</v>
      </c>
    </row>
    <row r="261" spans="22:22">
      <c r="V261" s="418">
        <v>267</v>
      </c>
    </row>
    <row r="262" spans="22:22">
      <c r="V262" s="418">
        <v>268</v>
      </c>
    </row>
    <row r="263" spans="22:22">
      <c r="V263" s="418">
        <v>269</v>
      </c>
    </row>
    <row r="264" spans="22:22">
      <c r="V264" s="418">
        <v>270</v>
      </c>
    </row>
    <row r="265" spans="22:22">
      <c r="V265" s="418">
        <v>271</v>
      </c>
    </row>
    <row r="266" spans="22:22">
      <c r="V266" s="418">
        <v>272</v>
      </c>
    </row>
    <row r="267" spans="22:22">
      <c r="V267" s="418">
        <v>273</v>
      </c>
    </row>
    <row r="268" spans="22:22">
      <c r="V268" s="418">
        <v>274</v>
      </c>
    </row>
    <row r="269" spans="22:22">
      <c r="V269" s="418">
        <v>275</v>
      </c>
    </row>
    <row r="270" spans="22:22">
      <c r="V270" s="418">
        <v>276</v>
      </c>
    </row>
    <row r="271" spans="22:22">
      <c r="V271" s="418">
        <v>277</v>
      </c>
    </row>
    <row r="272" spans="22:22">
      <c r="V272" s="418">
        <v>278</v>
      </c>
    </row>
    <row r="273" spans="22:22">
      <c r="V273" s="418">
        <v>279</v>
      </c>
    </row>
    <row r="274" spans="22:22">
      <c r="V274" s="418">
        <v>280</v>
      </c>
    </row>
    <row r="275" spans="22:22">
      <c r="V275" s="418">
        <v>281</v>
      </c>
    </row>
    <row r="276" spans="22:22">
      <c r="V276" s="418">
        <v>282</v>
      </c>
    </row>
    <row r="277" spans="22:22">
      <c r="V277" s="418">
        <v>283</v>
      </c>
    </row>
    <row r="278" spans="22:22">
      <c r="V278" s="418">
        <v>284</v>
      </c>
    </row>
    <row r="279" spans="22:22">
      <c r="V279" s="418">
        <v>285</v>
      </c>
    </row>
    <row r="280" spans="22:22">
      <c r="V280" s="418">
        <v>286</v>
      </c>
    </row>
    <row r="281" spans="22:22">
      <c r="V281" s="418">
        <v>287</v>
      </c>
    </row>
    <row r="282" spans="22:22">
      <c r="V282" s="418">
        <v>288</v>
      </c>
    </row>
    <row r="283" spans="22:22">
      <c r="V283" s="418">
        <v>289</v>
      </c>
    </row>
    <row r="284" spans="22:22">
      <c r="V284" s="418">
        <v>290</v>
      </c>
    </row>
    <row r="285" spans="22:22">
      <c r="V285" s="418">
        <v>291</v>
      </c>
    </row>
    <row r="286" spans="22:22">
      <c r="V286" s="418">
        <v>292</v>
      </c>
    </row>
    <row r="287" spans="22:22">
      <c r="V287" s="418">
        <v>293</v>
      </c>
    </row>
    <row r="288" spans="22:22">
      <c r="V288" s="418">
        <v>294</v>
      </c>
    </row>
    <row r="289" spans="22:22">
      <c r="V289" s="418">
        <v>295</v>
      </c>
    </row>
    <row r="290" spans="22:22">
      <c r="V290" s="418">
        <v>296</v>
      </c>
    </row>
    <row r="291" spans="22:22">
      <c r="V291" s="418">
        <v>297</v>
      </c>
    </row>
    <row r="292" spans="22:22">
      <c r="V292" s="418">
        <v>298</v>
      </c>
    </row>
    <row r="293" spans="22:22">
      <c r="V293" s="418">
        <v>299</v>
      </c>
    </row>
    <row r="294" spans="22:22">
      <c r="V294" s="418">
        <v>300</v>
      </c>
    </row>
    <row r="295" spans="22:22">
      <c r="V295" s="418">
        <v>301</v>
      </c>
    </row>
    <row r="296" spans="22:22">
      <c r="V296" s="418">
        <v>302</v>
      </c>
    </row>
    <row r="297" spans="22:22">
      <c r="V297" s="418">
        <v>303</v>
      </c>
    </row>
    <row r="298" spans="22:22">
      <c r="V298" s="418">
        <v>304</v>
      </c>
    </row>
    <row r="299" spans="22:22">
      <c r="V299" s="418">
        <v>305</v>
      </c>
    </row>
    <row r="300" spans="22:22">
      <c r="V300" s="418">
        <v>306</v>
      </c>
    </row>
    <row r="301" spans="22:22">
      <c r="V301" s="418">
        <v>307</v>
      </c>
    </row>
    <row r="302" spans="22:22">
      <c r="V302" s="418">
        <v>308</v>
      </c>
    </row>
    <row r="303" spans="22:22">
      <c r="V303" s="418">
        <v>309</v>
      </c>
    </row>
    <row r="304" spans="22:22">
      <c r="V304" s="418">
        <v>310</v>
      </c>
    </row>
    <row r="305" spans="22:22">
      <c r="V305" s="418">
        <v>311</v>
      </c>
    </row>
    <row r="306" spans="22:22">
      <c r="V306" s="418">
        <v>312</v>
      </c>
    </row>
    <row r="307" spans="22:22">
      <c r="V307" s="418">
        <v>313</v>
      </c>
    </row>
    <row r="308" spans="22:22">
      <c r="V308" s="418">
        <v>314</v>
      </c>
    </row>
    <row r="309" spans="22:22">
      <c r="V309" s="418">
        <v>315</v>
      </c>
    </row>
    <row r="310" spans="22:22">
      <c r="V310" s="418">
        <v>316</v>
      </c>
    </row>
    <row r="311" spans="22:22">
      <c r="V311" s="418">
        <v>317</v>
      </c>
    </row>
    <row r="312" spans="22:22">
      <c r="V312" s="418">
        <v>318</v>
      </c>
    </row>
    <row r="313" spans="22:22">
      <c r="V313" s="418">
        <v>319</v>
      </c>
    </row>
    <row r="314" spans="22:22">
      <c r="V314" s="418">
        <v>320</v>
      </c>
    </row>
    <row r="315" spans="22:22">
      <c r="V315" s="418">
        <v>321</v>
      </c>
    </row>
    <row r="316" spans="22:22">
      <c r="V316" s="418">
        <v>322</v>
      </c>
    </row>
    <row r="317" spans="22:22">
      <c r="V317" s="418">
        <v>323</v>
      </c>
    </row>
    <row r="318" spans="22:22">
      <c r="V318" s="418">
        <v>324</v>
      </c>
    </row>
    <row r="319" spans="22:22">
      <c r="V319" s="418">
        <v>325</v>
      </c>
    </row>
    <row r="320" spans="22:22">
      <c r="V320" s="418">
        <v>326</v>
      </c>
    </row>
    <row r="321" spans="22:22">
      <c r="V321" s="418">
        <v>327</v>
      </c>
    </row>
    <row r="322" spans="22:22">
      <c r="V322" s="418">
        <v>328</v>
      </c>
    </row>
    <row r="323" spans="22:22">
      <c r="V323" s="418">
        <v>329</v>
      </c>
    </row>
    <row r="324" spans="22:22">
      <c r="V324" s="418">
        <v>330</v>
      </c>
    </row>
    <row r="325" spans="22:22">
      <c r="V325" s="418">
        <v>331</v>
      </c>
    </row>
    <row r="326" spans="22:22">
      <c r="V326" s="418">
        <v>332</v>
      </c>
    </row>
    <row r="327" spans="22:22">
      <c r="V327" s="418">
        <v>333</v>
      </c>
    </row>
    <row r="328" spans="22:22">
      <c r="V328" s="418">
        <v>334</v>
      </c>
    </row>
    <row r="329" spans="22:22">
      <c r="V329" s="418">
        <v>335</v>
      </c>
    </row>
    <row r="330" spans="22:22">
      <c r="V330" s="418">
        <v>336</v>
      </c>
    </row>
    <row r="331" spans="22:22">
      <c r="V331" s="418">
        <v>337</v>
      </c>
    </row>
    <row r="332" spans="22:22">
      <c r="V332" s="418">
        <v>338</v>
      </c>
    </row>
    <row r="333" spans="22:22">
      <c r="V333" s="418">
        <v>339</v>
      </c>
    </row>
    <row r="334" spans="22:22">
      <c r="V334" s="418">
        <v>340</v>
      </c>
    </row>
    <row r="335" spans="22:22">
      <c r="V335" s="418">
        <v>341</v>
      </c>
    </row>
    <row r="336" spans="22:22">
      <c r="V336" s="418">
        <v>342</v>
      </c>
    </row>
    <row r="337" spans="22:22">
      <c r="V337" s="418">
        <v>343</v>
      </c>
    </row>
    <row r="338" spans="22:22">
      <c r="V338" s="418">
        <v>344</v>
      </c>
    </row>
    <row r="339" spans="22:22">
      <c r="V339" s="418">
        <v>345</v>
      </c>
    </row>
    <row r="340" spans="22:22">
      <c r="V340" s="418">
        <v>346</v>
      </c>
    </row>
    <row r="341" spans="22:22">
      <c r="V341" s="418">
        <v>347</v>
      </c>
    </row>
    <row r="342" spans="22:22">
      <c r="V342" s="418">
        <v>348</v>
      </c>
    </row>
    <row r="343" spans="22:22">
      <c r="V343" s="418">
        <v>349</v>
      </c>
    </row>
    <row r="344" spans="22:22">
      <c r="V344" s="418">
        <v>350</v>
      </c>
    </row>
    <row r="345" spans="22:22">
      <c r="V345" s="418">
        <v>351</v>
      </c>
    </row>
    <row r="346" spans="22:22">
      <c r="V346" s="418">
        <v>352</v>
      </c>
    </row>
    <row r="347" spans="22:22">
      <c r="V347" s="418">
        <v>353</v>
      </c>
    </row>
    <row r="348" spans="22:22">
      <c r="V348" s="418">
        <v>354</v>
      </c>
    </row>
    <row r="349" spans="22:22">
      <c r="V349" s="418">
        <v>355</v>
      </c>
    </row>
    <row r="350" spans="22:22">
      <c r="V350" s="418">
        <v>356</v>
      </c>
    </row>
    <row r="351" spans="22:22">
      <c r="V351" s="418">
        <v>357</v>
      </c>
    </row>
    <row r="352" spans="22:22">
      <c r="V352" s="418">
        <v>358</v>
      </c>
    </row>
    <row r="353" spans="22:22">
      <c r="V353" s="418">
        <v>359</v>
      </c>
    </row>
    <row r="354" spans="22:22">
      <c r="V354" s="418">
        <v>360</v>
      </c>
    </row>
    <row r="355" spans="22:22">
      <c r="V355" s="418">
        <v>361</v>
      </c>
    </row>
    <row r="356" spans="22:22">
      <c r="V356" s="418">
        <v>362</v>
      </c>
    </row>
    <row r="357" spans="22:22">
      <c r="V357" s="418">
        <v>363</v>
      </c>
    </row>
    <row r="358" spans="22:22">
      <c r="V358" s="418">
        <v>364</v>
      </c>
    </row>
    <row r="359" spans="22:22">
      <c r="V359" s="418">
        <v>365</v>
      </c>
    </row>
    <row r="360" spans="22:22">
      <c r="V360" s="418">
        <v>366</v>
      </c>
    </row>
    <row r="361" spans="22:22">
      <c r="V361" s="418">
        <v>367</v>
      </c>
    </row>
    <row r="362" spans="22:22">
      <c r="V362" s="418">
        <v>368</v>
      </c>
    </row>
    <row r="363" spans="22:22">
      <c r="V363" s="418">
        <v>369</v>
      </c>
    </row>
    <row r="364" spans="22:22">
      <c r="V364" s="418">
        <v>370</v>
      </c>
    </row>
    <row r="365" spans="22:22">
      <c r="V365" s="418">
        <v>371</v>
      </c>
    </row>
    <row r="366" spans="22:22">
      <c r="V366" s="418">
        <v>372</v>
      </c>
    </row>
    <row r="367" spans="22:22">
      <c r="V367" s="418">
        <v>373</v>
      </c>
    </row>
    <row r="368" spans="22:22">
      <c r="V368" s="418">
        <v>374</v>
      </c>
    </row>
    <row r="369" spans="22:22">
      <c r="V369" s="418">
        <v>375</v>
      </c>
    </row>
    <row r="370" spans="22:22">
      <c r="V370" s="418">
        <v>376</v>
      </c>
    </row>
    <row r="371" spans="22:22">
      <c r="V371" s="418">
        <v>377</v>
      </c>
    </row>
    <row r="372" spans="22:22">
      <c r="V372" s="418">
        <v>378</v>
      </c>
    </row>
    <row r="373" spans="22:22">
      <c r="V373" s="418">
        <v>379</v>
      </c>
    </row>
    <row r="374" spans="22:22">
      <c r="V374" s="418">
        <v>380</v>
      </c>
    </row>
    <row r="375" spans="22:22">
      <c r="V375" s="418">
        <v>381</v>
      </c>
    </row>
    <row r="376" spans="22:22">
      <c r="V376" s="418">
        <v>382</v>
      </c>
    </row>
    <row r="377" spans="22:22">
      <c r="V377" s="418">
        <v>383</v>
      </c>
    </row>
    <row r="378" spans="22:22">
      <c r="V378" s="418">
        <v>384</v>
      </c>
    </row>
    <row r="379" spans="22:22">
      <c r="V379" s="418">
        <v>385</v>
      </c>
    </row>
    <row r="380" spans="22:22">
      <c r="V380" s="418">
        <v>386</v>
      </c>
    </row>
    <row r="381" spans="22:22">
      <c r="V381" s="418">
        <v>387</v>
      </c>
    </row>
    <row r="382" spans="22:22">
      <c r="V382" s="418">
        <v>388</v>
      </c>
    </row>
    <row r="383" spans="22:22">
      <c r="V383" s="418">
        <v>389</v>
      </c>
    </row>
    <row r="384" spans="22:22">
      <c r="V384" s="418">
        <v>390</v>
      </c>
    </row>
    <row r="385" spans="22:22">
      <c r="V385" s="418">
        <v>391</v>
      </c>
    </row>
    <row r="386" spans="22:22">
      <c r="V386" s="418">
        <v>392</v>
      </c>
    </row>
    <row r="387" spans="22:22">
      <c r="V387" s="418">
        <v>393</v>
      </c>
    </row>
    <row r="388" spans="22:22">
      <c r="V388" s="418">
        <v>394</v>
      </c>
    </row>
    <row r="389" spans="22:22">
      <c r="V389" s="418">
        <v>395</v>
      </c>
    </row>
    <row r="390" spans="22:22">
      <c r="V390" s="418">
        <v>396</v>
      </c>
    </row>
    <row r="391" spans="22:22">
      <c r="V391" s="418">
        <v>397</v>
      </c>
    </row>
    <row r="392" spans="22:22">
      <c r="V392" s="418">
        <v>398</v>
      </c>
    </row>
    <row r="393" spans="22:22">
      <c r="V393" s="418">
        <v>399</v>
      </c>
    </row>
    <row r="394" spans="22:22">
      <c r="V394" s="418">
        <v>400</v>
      </c>
    </row>
    <row r="395" spans="22:22">
      <c r="V395" s="418">
        <v>401</v>
      </c>
    </row>
    <row r="396" spans="22:22">
      <c r="V396" s="418">
        <v>402</v>
      </c>
    </row>
    <row r="397" spans="22:22">
      <c r="V397" s="418">
        <v>403</v>
      </c>
    </row>
    <row r="398" spans="22:22">
      <c r="V398" s="418">
        <v>404</v>
      </c>
    </row>
    <row r="399" spans="22:22">
      <c r="V399" s="418">
        <v>405</v>
      </c>
    </row>
    <row r="400" spans="22:22">
      <c r="V400" s="418">
        <v>406</v>
      </c>
    </row>
    <row r="401" spans="22:22">
      <c r="V401" s="418">
        <v>407</v>
      </c>
    </row>
    <row r="402" spans="22:22">
      <c r="V402" s="418">
        <v>408</v>
      </c>
    </row>
    <row r="403" spans="22:22">
      <c r="V403" s="418">
        <v>409</v>
      </c>
    </row>
    <row r="404" spans="22:22">
      <c r="V404" s="418">
        <v>410</v>
      </c>
    </row>
    <row r="405" spans="22:22">
      <c r="V405" s="418">
        <v>411</v>
      </c>
    </row>
    <row r="406" spans="22:22">
      <c r="V406" s="418">
        <v>412</v>
      </c>
    </row>
    <row r="407" spans="22:22">
      <c r="V407" s="418">
        <v>413</v>
      </c>
    </row>
    <row r="408" spans="22:22">
      <c r="V408" s="418">
        <v>414</v>
      </c>
    </row>
    <row r="409" spans="22:22">
      <c r="V409" s="418">
        <v>415</v>
      </c>
    </row>
    <row r="410" spans="22:22">
      <c r="V410" s="418">
        <v>416</v>
      </c>
    </row>
    <row r="411" spans="22:22">
      <c r="V411" s="418">
        <v>417</v>
      </c>
    </row>
    <row r="412" spans="22:22">
      <c r="V412" s="418">
        <v>418</v>
      </c>
    </row>
    <row r="413" spans="22:22">
      <c r="V413" s="418">
        <v>419</v>
      </c>
    </row>
    <row r="414" spans="22:22">
      <c r="V414" s="418">
        <v>420</v>
      </c>
    </row>
    <row r="415" spans="22:22">
      <c r="V415" s="418">
        <v>421</v>
      </c>
    </row>
    <row r="416" spans="22:22">
      <c r="V416" s="418">
        <v>422</v>
      </c>
    </row>
    <row r="417" spans="22:22">
      <c r="V417" s="418">
        <v>423</v>
      </c>
    </row>
    <row r="418" spans="22:22">
      <c r="V418" s="418">
        <v>424</v>
      </c>
    </row>
    <row r="419" spans="22:22">
      <c r="V419" s="418">
        <v>425</v>
      </c>
    </row>
    <row r="420" spans="22:22">
      <c r="V420" s="418">
        <v>426</v>
      </c>
    </row>
    <row r="421" spans="22:22">
      <c r="V421" s="418">
        <v>427</v>
      </c>
    </row>
    <row r="422" spans="22:22">
      <c r="V422" s="418">
        <v>428</v>
      </c>
    </row>
    <row r="423" spans="22:22">
      <c r="V423" s="418">
        <v>429</v>
      </c>
    </row>
    <row r="424" spans="22:22">
      <c r="V424" s="418">
        <v>430</v>
      </c>
    </row>
    <row r="425" spans="22:22">
      <c r="V425" s="418">
        <v>431</v>
      </c>
    </row>
    <row r="426" spans="22:22">
      <c r="V426" s="418">
        <v>432</v>
      </c>
    </row>
    <row r="427" spans="22:22">
      <c r="V427" s="418">
        <v>433</v>
      </c>
    </row>
    <row r="428" spans="22:22">
      <c r="V428" s="418">
        <v>434</v>
      </c>
    </row>
    <row r="429" spans="22:22">
      <c r="V429" s="418">
        <v>435</v>
      </c>
    </row>
    <row r="430" spans="22:22">
      <c r="V430" s="418">
        <v>436</v>
      </c>
    </row>
    <row r="431" spans="22:22">
      <c r="V431" s="418">
        <v>437</v>
      </c>
    </row>
    <row r="432" spans="22:22">
      <c r="V432" s="418">
        <v>438</v>
      </c>
    </row>
    <row r="433" spans="22:22">
      <c r="V433" s="418">
        <v>439</v>
      </c>
    </row>
    <row r="434" spans="22:22">
      <c r="V434" s="418">
        <v>440</v>
      </c>
    </row>
    <row r="435" spans="22:22">
      <c r="V435" s="418">
        <v>441</v>
      </c>
    </row>
    <row r="436" spans="22:22">
      <c r="V436" s="418">
        <v>442</v>
      </c>
    </row>
    <row r="437" spans="22:22">
      <c r="V437" s="418">
        <v>443</v>
      </c>
    </row>
    <row r="438" spans="22:22">
      <c r="V438" s="418">
        <v>444</v>
      </c>
    </row>
    <row r="439" spans="22:22">
      <c r="V439" s="418">
        <v>445</v>
      </c>
    </row>
    <row r="440" spans="22:22">
      <c r="V440" s="418">
        <v>446</v>
      </c>
    </row>
    <row r="441" spans="22:22">
      <c r="V441" s="418">
        <v>447</v>
      </c>
    </row>
    <row r="442" spans="22:22">
      <c r="V442" s="418">
        <v>448</v>
      </c>
    </row>
    <row r="443" spans="22:22">
      <c r="V443" s="418">
        <v>449</v>
      </c>
    </row>
    <row r="444" spans="22:22">
      <c r="V444" s="418">
        <v>450</v>
      </c>
    </row>
    <row r="445" spans="22:22">
      <c r="V445" s="418">
        <v>451</v>
      </c>
    </row>
    <row r="446" spans="22:22">
      <c r="V446" s="418">
        <v>452</v>
      </c>
    </row>
    <row r="447" spans="22:22">
      <c r="V447" s="418">
        <v>453</v>
      </c>
    </row>
    <row r="448" spans="22:22">
      <c r="V448" s="418">
        <v>454</v>
      </c>
    </row>
  </sheetData>
  <mergeCells count="19">
    <mergeCell ref="A1:I1"/>
    <mergeCell ref="A2:I2"/>
    <mergeCell ref="A4:A6"/>
    <mergeCell ref="B4:B6"/>
    <mergeCell ref="C4:C6"/>
    <mergeCell ref="D4:D6"/>
    <mergeCell ref="E4:E6"/>
    <mergeCell ref="F4:G4"/>
    <mergeCell ref="I4:K4"/>
    <mergeCell ref="G5:G6"/>
    <mergeCell ref="Q36:S37"/>
    <mergeCell ref="A46:E46"/>
    <mergeCell ref="F5:F6"/>
    <mergeCell ref="I5:I6"/>
    <mergeCell ref="J5:J6"/>
    <mergeCell ref="K5:K6"/>
    <mergeCell ref="L4:L6"/>
    <mergeCell ref="P4:P6"/>
    <mergeCell ref="N5:N6"/>
  </mergeCells>
  <pageMargins left="0.7" right="0.7" top="0.75" bottom="0.75" header="0.3" footer="0.3"/>
  <pageSetup orientation="portrait" verticalDpi="597"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7" tint="0.59999389629810485"/>
  </sheetPr>
  <dimension ref="A1:L19"/>
  <sheetViews>
    <sheetView workbookViewId="0">
      <selection activeCell="E21" sqref="E21"/>
    </sheetView>
  </sheetViews>
  <sheetFormatPr baseColWidth="10" defaultRowHeight="15"/>
  <cols>
    <col min="2" max="2" width="45.42578125" customWidth="1"/>
    <col min="3" max="3" width="11.7109375" customWidth="1"/>
    <col min="5" max="5" width="17.28515625" customWidth="1"/>
    <col min="6" max="6" width="17" customWidth="1"/>
    <col min="7" max="7" width="4.5703125" customWidth="1"/>
    <col min="8" max="8" width="17.42578125" customWidth="1"/>
    <col min="9" max="9" width="1.7109375" customWidth="1"/>
    <col min="10" max="10" width="12.28515625" customWidth="1"/>
    <col min="11" max="11" width="3.42578125" customWidth="1"/>
    <col min="12" max="12" width="16.5703125" customWidth="1"/>
  </cols>
  <sheetData>
    <row r="1" spans="1:12" s="1" customFormat="1" ht="15" customHeight="1">
      <c r="A1" s="2311" t="s">
        <v>416</v>
      </c>
      <c r="B1" s="2311"/>
      <c r="C1" s="2311"/>
      <c r="D1" s="2311"/>
      <c r="E1" s="2311"/>
      <c r="F1" s="2311"/>
    </row>
    <row r="2" spans="1:12" s="1" customFormat="1" ht="15" customHeight="1">
      <c r="A2" s="2311" t="s">
        <v>179</v>
      </c>
      <c r="B2" s="2311"/>
      <c r="C2" s="2311"/>
      <c r="D2" s="2311"/>
      <c r="E2" s="2311"/>
      <c r="F2" s="2311"/>
    </row>
    <row r="3" spans="1:12" ht="15.75" thickBot="1">
      <c r="B3" s="1"/>
      <c r="C3" s="1"/>
      <c r="D3" s="1"/>
      <c r="E3" s="1"/>
      <c r="F3" s="1"/>
    </row>
    <row r="4" spans="1:12" ht="15" customHeight="1" thickBot="1">
      <c r="A4" s="2312" t="s">
        <v>394</v>
      </c>
      <c r="B4" s="2346" t="s">
        <v>198</v>
      </c>
      <c r="C4" s="2346">
        <v>2022</v>
      </c>
      <c r="D4" s="2346"/>
      <c r="E4" s="2346"/>
      <c r="F4" s="2346"/>
      <c r="H4" s="2344" t="s">
        <v>1005</v>
      </c>
      <c r="I4" s="418"/>
      <c r="J4" s="1809" t="s">
        <v>254</v>
      </c>
      <c r="K4" s="418"/>
      <c r="L4" s="2313" t="s">
        <v>1006</v>
      </c>
    </row>
    <row r="5" spans="1:12" ht="21" customHeight="1" thickBot="1">
      <c r="A5" s="2312"/>
      <c r="B5" s="2346"/>
      <c r="C5" s="2339" t="s">
        <v>200</v>
      </c>
      <c r="D5" s="2339" t="s">
        <v>201</v>
      </c>
      <c r="E5" s="1059" t="s">
        <v>199</v>
      </c>
      <c r="F5" s="2347" t="s">
        <v>205</v>
      </c>
      <c r="H5" s="2345"/>
      <c r="I5" s="418"/>
      <c r="J5" s="2323" t="s">
        <v>1055</v>
      </c>
      <c r="K5" s="418"/>
      <c r="L5" s="2314"/>
    </row>
    <row r="6" spans="1:12" ht="26.25" thickBot="1">
      <c r="A6" s="2312"/>
      <c r="B6" s="2346"/>
      <c r="C6" s="2339"/>
      <c r="D6" s="2339"/>
      <c r="E6" s="1059" t="s">
        <v>233</v>
      </c>
      <c r="F6" s="2347"/>
      <c r="H6" s="815" t="s">
        <v>1011</v>
      </c>
      <c r="I6" s="418"/>
      <c r="J6" s="2324"/>
      <c r="K6" s="418"/>
      <c r="L6" s="2334"/>
    </row>
    <row r="7" spans="1:12" ht="26.25" thickBot="1">
      <c r="A7" s="507">
        <v>3201003</v>
      </c>
      <c r="B7" s="1590" t="s">
        <v>235</v>
      </c>
      <c r="C7" s="1591" t="s">
        <v>215</v>
      </c>
      <c r="D7" s="1591">
        <v>100</v>
      </c>
      <c r="E7" s="1851">
        <f>+'ACCIONES 320102'!G7</f>
        <v>209563485.71000001</v>
      </c>
      <c r="F7" s="1851">
        <f>+'ACCIONES 320102'!H7</f>
        <v>209563485.71000001</v>
      </c>
      <c r="G7" s="134">
        <f>+E7-F7</f>
        <v>0</v>
      </c>
      <c r="H7" s="1852">
        <f>+'ACCIONES 320102'!J7</f>
        <v>110521600</v>
      </c>
      <c r="J7" s="1852">
        <f>+'ACCIONES 320102'!L7</f>
        <v>0</v>
      </c>
      <c r="L7" s="1852">
        <f>+'ACCIONES 320102'!N7</f>
        <v>320085085.71000004</v>
      </c>
    </row>
    <row r="8" spans="1:12" ht="25.5">
      <c r="B8" s="723" t="s">
        <v>236</v>
      </c>
      <c r="C8" s="718" t="s">
        <v>210</v>
      </c>
      <c r="D8" s="718">
        <v>1</v>
      </c>
      <c r="E8" s="1854">
        <f>+'ACCIONES 320102'!G8</f>
        <v>167596285.71000001</v>
      </c>
      <c r="F8" s="1855">
        <f>+'ACCIONES 320102'!H8</f>
        <v>167596285.71000001</v>
      </c>
      <c r="G8" s="134">
        <f t="shared" ref="G8:G15" si="0">+E8-F8</f>
        <v>0</v>
      </c>
      <c r="H8" s="1853">
        <f>+'ACCIONES 320102'!J8</f>
        <v>0</v>
      </c>
      <c r="J8" s="1853">
        <f>+'ACCIONES 320102'!L8</f>
        <v>0</v>
      </c>
      <c r="L8" s="1853">
        <f>+'ACCIONES 320102'!N8</f>
        <v>167596285.71000001</v>
      </c>
    </row>
    <row r="9" spans="1:12" ht="25.5">
      <c r="B9" s="760" t="s">
        <v>238</v>
      </c>
      <c r="C9" s="1626" t="s">
        <v>210</v>
      </c>
      <c r="D9" s="1626">
        <v>0</v>
      </c>
      <c r="E9" s="509">
        <f>+'ACCIONES 320102'!G13</f>
        <v>41967200</v>
      </c>
      <c r="F9" s="510">
        <f>+'ACCIONES 320102'!H13</f>
        <v>41967200</v>
      </c>
      <c r="G9" s="134">
        <f t="shared" si="0"/>
        <v>0</v>
      </c>
      <c r="H9" s="1086">
        <f>+'ACCIONES 320102'!J13</f>
        <v>0</v>
      </c>
      <c r="J9" s="1086">
        <f>+'ACCIONES 320102'!L13</f>
        <v>0</v>
      </c>
      <c r="L9" s="1086">
        <f>+'ACCIONES 320102'!N13</f>
        <v>41967200</v>
      </c>
    </row>
    <row r="10" spans="1:12" ht="25.5">
      <c r="B10" s="760" t="s">
        <v>239</v>
      </c>
      <c r="C10" s="1626" t="s">
        <v>210</v>
      </c>
      <c r="D10" s="1626">
        <v>1</v>
      </c>
      <c r="E10" s="509">
        <f>+'ACCIONES 320102'!G16</f>
        <v>0</v>
      </c>
      <c r="F10" s="510">
        <f>+'ACCIONES 320102'!H16</f>
        <v>0</v>
      </c>
      <c r="G10" s="134">
        <f t="shared" si="0"/>
        <v>0</v>
      </c>
      <c r="H10" s="1086">
        <f>+'ACCIONES 320102'!J16</f>
        <v>78080000</v>
      </c>
      <c r="J10" s="1086">
        <f>+'ACCIONES 320102'!L16</f>
        <v>0</v>
      </c>
      <c r="L10" s="1086">
        <f>+'ACCIONES 320102'!N16</f>
        <v>78080000</v>
      </c>
    </row>
    <row r="11" spans="1:12" ht="26.25" thickBot="1">
      <c r="B11" s="760" t="s">
        <v>240</v>
      </c>
      <c r="C11" s="1626" t="s">
        <v>210</v>
      </c>
      <c r="D11" s="1626">
        <v>1</v>
      </c>
      <c r="E11" s="509">
        <f>+'ACCIONES 320102'!G19</f>
        <v>0</v>
      </c>
      <c r="F11" s="510">
        <f>+'ACCIONES 320102'!H19</f>
        <v>0</v>
      </c>
      <c r="G11" s="134">
        <f t="shared" si="0"/>
        <v>0</v>
      </c>
      <c r="H11" s="1086">
        <f>+'ACCIONES 320102'!J19</f>
        <v>32441600</v>
      </c>
      <c r="J11" s="1086">
        <f>+'ACCIONES 320102'!L19</f>
        <v>0</v>
      </c>
      <c r="L11" s="1086">
        <f>+'ACCIONES 320102'!N19</f>
        <v>32441600</v>
      </c>
    </row>
    <row r="12" spans="1:12" ht="26.25" thickBot="1">
      <c r="A12" s="508">
        <v>3299060</v>
      </c>
      <c r="B12" s="1842" t="s">
        <v>241</v>
      </c>
      <c r="C12" s="1848" t="s">
        <v>210</v>
      </c>
      <c r="D12" s="1848">
        <v>1</v>
      </c>
      <c r="E12" s="1849">
        <f>SUM(E13:E14)</f>
        <v>107725787.28999999</v>
      </c>
      <c r="F12" s="1850">
        <f>+'ACCIONES 320102'!H22</f>
        <v>107725787.28999999</v>
      </c>
      <c r="G12" s="134">
        <f t="shared" si="0"/>
        <v>0</v>
      </c>
      <c r="H12" s="1847">
        <f>+'ACCIONES 320102'!J22</f>
        <v>0</v>
      </c>
      <c r="J12" s="1847">
        <f>+'ACCIONES 320102'!L22</f>
        <v>0</v>
      </c>
      <c r="L12" s="1847">
        <f>+'ACCIONES 320102'!N22</f>
        <v>107725787.28999999</v>
      </c>
    </row>
    <row r="13" spans="1:12" ht="38.25">
      <c r="B13" s="51" t="s">
        <v>5</v>
      </c>
      <c r="C13" s="126" t="s">
        <v>210</v>
      </c>
      <c r="D13" s="126">
        <v>1</v>
      </c>
      <c r="E13" s="511">
        <v>23754514.289999999</v>
      </c>
      <c r="F13" s="127">
        <f>+'ACCIONES 320102'!H23</f>
        <v>23754514.289999999</v>
      </c>
      <c r="G13" s="134">
        <f t="shared" si="0"/>
        <v>0</v>
      </c>
      <c r="H13" s="1085">
        <f>+'ACCIONES 320102'!H23</f>
        <v>23754514.289999999</v>
      </c>
      <c r="J13" s="1085">
        <f>+'ACCIONES 320102'!J23</f>
        <v>0</v>
      </c>
      <c r="L13" s="1085">
        <f>+'ACCIONES 320102'!N23</f>
        <v>107725787.28999999</v>
      </c>
    </row>
    <row r="14" spans="1:12" ht="15.75" thickBot="1">
      <c r="B14" s="271" t="s">
        <v>228</v>
      </c>
      <c r="C14" s="196"/>
      <c r="D14" s="196"/>
      <c r="E14" s="272">
        <v>83971273</v>
      </c>
      <c r="F14" s="198">
        <f>+'ACCIONES 320102'!H26</f>
        <v>83971273</v>
      </c>
      <c r="G14" s="134">
        <f t="shared" si="0"/>
        <v>0</v>
      </c>
      <c r="H14" s="1087">
        <f>+'ACCIONES 320102'!J26</f>
        <v>0</v>
      </c>
      <c r="J14" s="1087">
        <f>+'ACCIONES 320102'!L26</f>
        <v>0</v>
      </c>
      <c r="L14" s="1087">
        <f>+'ACCIONES 320102'!N26</f>
        <v>83971273</v>
      </c>
    </row>
    <row r="15" spans="1:12" ht="15.75" thickBot="1">
      <c r="B15" s="2341" t="s">
        <v>229</v>
      </c>
      <c r="C15" s="2342"/>
      <c r="D15" s="2343"/>
      <c r="E15" s="1406">
        <f>+E12+E7</f>
        <v>317289273</v>
      </c>
      <c r="F15" s="1407">
        <f>+F7+F12</f>
        <v>317289273</v>
      </c>
      <c r="G15" s="134">
        <f t="shared" si="0"/>
        <v>0</v>
      </c>
      <c r="H15" s="1408">
        <f>+H7+H12</f>
        <v>110521600</v>
      </c>
      <c r="J15" s="1408">
        <f>+J7+J12</f>
        <v>0</v>
      </c>
      <c r="L15" s="1408">
        <f>+L7+L12</f>
        <v>427810873</v>
      </c>
    </row>
    <row r="16" spans="1:12" ht="15.75" thickBot="1"/>
    <row r="17" spans="5:12" ht="15.75" thickBot="1">
      <c r="E17" s="813">
        <v>317289273</v>
      </c>
      <c r="F17" s="814">
        <v>317289273</v>
      </c>
      <c r="H17" s="814">
        <v>110521600</v>
      </c>
      <c r="J17" s="814">
        <v>816149600</v>
      </c>
      <c r="L17" s="814">
        <f>427810873+816149600</f>
        <v>1243960473</v>
      </c>
    </row>
    <row r="19" spans="5:12">
      <c r="E19" s="134">
        <f>+E17-E15</f>
        <v>0</v>
      </c>
      <c r="F19" s="134">
        <f>+F17-F15</f>
        <v>0</v>
      </c>
      <c r="G19" s="134">
        <f t="shared" ref="G19:L19" si="1">+G17-G15</f>
        <v>0</v>
      </c>
      <c r="H19" s="134">
        <f t="shared" si="1"/>
        <v>0</v>
      </c>
      <c r="I19" s="134">
        <f t="shared" si="1"/>
        <v>0</v>
      </c>
      <c r="J19" s="134">
        <v>0</v>
      </c>
      <c r="K19" s="134"/>
      <c r="L19" s="134">
        <f t="shared" si="1"/>
        <v>816149600</v>
      </c>
    </row>
  </sheetData>
  <mergeCells count="12">
    <mergeCell ref="B15:D15"/>
    <mergeCell ref="H4:H5"/>
    <mergeCell ref="L4:L6"/>
    <mergeCell ref="A1:F1"/>
    <mergeCell ref="A2:F2"/>
    <mergeCell ref="B4:B6"/>
    <mergeCell ref="D5:D6"/>
    <mergeCell ref="C4:F4"/>
    <mergeCell ref="C5:C6"/>
    <mergeCell ref="F5:F6"/>
    <mergeCell ref="A4:A6"/>
    <mergeCell ref="J5:J6"/>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theme="7" tint="0.59999389629810485"/>
  </sheetPr>
  <dimension ref="A1:S36"/>
  <sheetViews>
    <sheetView workbookViewId="0">
      <pane xSplit="2" ySplit="6" topLeftCell="C7" activePane="bottomRight" state="frozen"/>
      <selection pane="topRight" activeCell="C1" sqref="C1"/>
      <selection pane="bottomLeft" activeCell="A7" sqref="A7"/>
      <selection pane="bottomRight" activeCell="P16" sqref="A16:P17"/>
    </sheetView>
  </sheetViews>
  <sheetFormatPr baseColWidth="10" defaultColWidth="11.42578125" defaultRowHeight="12.75"/>
  <cols>
    <col min="1" max="1" width="47.42578125" style="1" customWidth="1"/>
    <col min="2" max="2" width="18.28515625" style="1" hidden="1" customWidth="1"/>
    <col min="3" max="3" width="17.5703125" style="1" customWidth="1"/>
    <col min="4" max="4" width="6.7109375" style="1" bestFit="1" customWidth="1"/>
    <col min="5" max="5" width="12.5703125" style="1" customWidth="1"/>
    <col min="6" max="6" width="10.28515625" style="184" customWidth="1"/>
    <col min="7" max="7" width="17.42578125" style="184" bestFit="1" customWidth="1"/>
    <col min="8" max="8" width="16.85546875" style="1" customWidth="1"/>
    <col min="9" max="9" width="2.140625" style="1" customWidth="1"/>
    <col min="10" max="10" width="15.42578125" style="1" customWidth="1"/>
    <col min="11" max="11" width="2.140625" style="807" customWidth="1"/>
    <col min="12" max="12" width="16.140625" style="807" customWidth="1"/>
    <col min="13" max="13" width="4.140625" style="807" customWidth="1"/>
    <col min="14" max="14" width="17.28515625" style="1" customWidth="1"/>
    <col min="15" max="15" width="11.5703125" style="1" bestFit="1" customWidth="1"/>
    <col min="16" max="16" width="11.42578125" style="1"/>
    <col min="17" max="17" width="12.140625" style="1" bestFit="1" customWidth="1"/>
    <col min="18" max="18" width="11.42578125" style="1"/>
    <col min="19" max="19" width="12.140625" style="1" bestFit="1" customWidth="1"/>
    <col min="20" max="16384" width="11.42578125" style="1"/>
  </cols>
  <sheetData>
    <row r="1" spans="1:18">
      <c r="A1" s="275" t="s">
        <v>932</v>
      </c>
      <c r="B1" s="275"/>
      <c r="F1" s="1"/>
      <c r="G1" s="1"/>
      <c r="H1" s="184"/>
      <c r="J1" s="184"/>
      <c r="K1" s="802"/>
      <c r="L1" s="802"/>
      <c r="M1" s="802"/>
      <c r="O1" s="1663"/>
    </row>
    <row r="2" spans="1:18">
      <c r="F2" s="1"/>
      <c r="G2" s="1"/>
      <c r="H2" s="184"/>
      <c r="J2" s="184"/>
      <c r="K2" s="802"/>
      <c r="L2" s="802"/>
      <c r="M2" s="802"/>
      <c r="O2" s="1663"/>
    </row>
    <row r="3" spans="1:18" ht="13.5" thickBot="1">
      <c r="F3" s="1"/>
      <c r="G3" s="1"/>
      <c r="H3" s="184"/>
      <c r="J3" s="184"/>
      <c r="K3" s="802"/>
      <c r="L3" s="802"/>
      <c r="M3" s="802"/>
      <c r="O3" s="1664"/>
      <c r="P3" s="418"/>
      <c r="Q3" s="418"/>
      <c r="R3" s="418"/>
    </row>
    <row r="4" spans="1:18" ht="12.75" customHeight="1" thickBot="1">
      <c r="A4" s="2358" t="s">
        <v>446</v>
      </c>
      <c r="B4" s="2356" t="s">
        <v>471</v>
      </c>
      <c r="C4" s="2353" t="s">
        <v>447</v>
      </c>
      <c r="D4" s="2353" t="s">
        <v>872</v>
      </c>
      <c r="E4" s="2353" t="s">
        <v>448</v>
      </c>
      <c r="F4" s="2353" t="s">
        <v>201</v>
      </c>
      <c r="G4" s="2356" t="s">
        <v>233</v>
      </c>
      <c r="H4" s="2361" t="s">
        <v>352</v>
      </c>
      <c r="J4" s="2344" t="s">
        <v>1005</v>
      </c>
      <c r="K4" s="418"/>
      <c r="L4" s="1809" t="s">
        <v>254</v>
      </c>
      <c r="M4" s="418"/>
      <c r="N4" s="2313" t="s">
        <v>1006</v>
      </c>
      <c r="O4" s="1664"/>
      <c r="P4" s="418"/>
      <c r="Q4" s="418"/>
      <c r="R4" s="418"/>
    </row>
    <row r="5" spans="1:18">
      <c r="A5" s="2359"/>
      <c r="B5" s="2357"/>
      <c r="C5" s="2354"/>
      <c r="D5" s="2354"/>
      <c r="E5" s="2354"/>
      <c r="F5" s="2354"/>
      <c r="G5" s="2357"/>
      <c r="H5" s="2362"/>
      <c r="J5" s="2345"/>
      <c r="K5" s="418"/>
      <c r="L5" s="2323" t="s">
        <v>1055</v>
      </c>
      <c r="M5" s="418"/>
      <c r="N5" s="2351"/>
      <c r="O5" s="1664"/>
      <c r="P5" s="418"/>
      <c r="Q5" s="418"/>
      <c r="R5" s="418"/>
    </row>
    <row r="6" spans="1:18" ht="26.25" thickBot="1">
      <c r="A6" s="2360"/>
      <c r="B6" s="2357"/>
      <c r="C6" s="2355"/>
      <c r="D6" s="2355"/>
      <c r="E6" s="2355"/>
      <c r="F6" s="2355"/>
      <c r="G6" s="2357"/>
      <c r="H6" s="2363"/>
      <c r="J6" s="885" t="s">
        <v>1011</v>
      </c>
      <c r="K6" s="418"/>
      <c r="L6" s="2324"/>
      <c r="M6" s="418"/>
      <c r="N6" s="2352"/>
      <c r="O6" s="1664"/>
      <c r="P6" s="418"/>
      <c r="Q6" s="418"/>
      <c r="R6" s="418"/>
    </row>
    <row r="7" spans="1:18" ht="26.25" thickBot="1">
      <c r="A7" s="454" t="s">
        <v>235</v>
      </c>
      <c r="B7" s="1099"/>
      <c r="C7" s="1074"/>
      <c r="D7" s="1074"/>
      <c r="E7" s="1100" t="s">
        <v>215</v>
      </c>
      <c r="F7" s="1100">
        <v>100</v>
      </c>
      <c r="G7" s="1101">
        <f>+G8+G13+G16+G19</f>
        <v>209563485.71000001</v>
      </c>
      <c r="H7" s="1102">
        <f>+H8+H13+H16+H19</f>
        <v>209563485.71000001</v>
      </c>
      <c r="J7" s="1103">
        <f>+J8+J13+J16+J19</f>
        <v>110521600</v>
      </c>
      <c r="K7" s="803"/>
      <c r="L7" s="1103">
        <f>+L8+L13+L16+L19</f>
        <v>0</v>
      </c>
      <c r="M7" s="803"/>
      <c r="N7" s="1103">
        <f>+N8+N13+N16+N19</f>
        <v>320085085.71000004</v>
      </c>
      <c r="O7" s="1664"/>
      <c r="P7" s="418"/>
      <c r="Q7" s="418"/>
      <c r="R7" s="418"/>
    </row>
    <row r="8" spans="1:18" ht="25.5">
      <c r="A8" s="1088" t="s">
        <v>236</v>
      </c>
      <c r="B8" s="1089"/>
      <c r="C8" s="1071"/>
      <c r="D8" s="1071"/>
      <c r="E8" s="1090" t="s">
        <v>210</v>
      </c>
      <c r="F8" s="1090"/>
      <c r="G8" s="1091">
        <f>SUM(G9:G12)</f>
        <v>167596285.71000001</v>
      </c>
      <c r="H8" s="1092">
        <f>SUM(H9:H12)</f>
        <v>167596285.71000001</v>
      </c>
      <c r="J8" s="1093">
        <f>SUM(J9:J12)</f>
        <v>0</v>
      </c>
      <c r="K8" s="803"/>
      <c r="L8" s="1093">
        <f>SUM(L9:L12)</f>
        <v>0</v>
      </c>
      <c r="M8" s="803"/>
      <c r="N8" s="1093">
        <f>SUM(N9:N12)</f>
        <v>167596285.71000001</v>
      </c>
    </row>
    <row r="9" spans="1:18">
      <c r="A9" s="760" t="s">
        <v>472</v>
      </c>
      <c r="B9" s="665" t="s">
        <v>933</v>
      </c>
      <c r="C9" s="266" t="s">
        <v>237</v>
      </c>
      <c r="D9" s="266">
        <v>83990</v>
      </c>
      <c r="E9" s="266" t="s">
        <v>473</v>
      </c>
      <c r="F9" s="266">
        <v>11</v>
      </c>
      <c r="G9" s="427">
        <v>49698000</v>
      </c>
      <c r="H9" s="267">
        <f>G9</f>
        <v>49698000</v>
      </c>
      <c r="I9" s="268"/>
      <c r="J9" s="809"/>
      <c r="K9" s="804"/>
      <c r="L9" s="811"/>
      <c r="M9" s="804"/>
      <c r="N9" s="811">
        <f>+H9+J9+L9</f>
        <v>49698000</v>
      </c>
    </row>
    <row r="10" spans="1:18">
      <c r="A10" s="760" t="s">
        <v>934</v>
      </c>
      <c r="B10" s="665" t="s">
        <v>935</v>
      </c>
      <c r="C10" s="266" t="s">
        <v>237</v>
      </c>
      <c r="D10" s="266">
        <v>83990</v>
      </c>
      <c r="E10" s="266" t="s">
        <v>473</v>
      </c>
      <c r="F10" s="266">
        <v>8</v>
      </c>
      <c r="G10" s="427">
        <v>33963885.710000001</v>
      </c>
      <c r="H10" s="267">
        <f t="shared" ref="H10:H12" si="0">G10</f>
        <v>33963885.710000001</v>
      </c>
      <c r="I10" s="268"/>
      <c r="J10" s="809"/>
      <c r="K10" s="804"/>
      <c r="L10" s="811"/>
      <c r="M10" s="804"/>
      <c r="N10" s="811">
        <f t="shared" ref="N10:N12" si="1">+H10+J10+L10</f>
        <v>33963885.710000001</v>
      </c>
    </row>
    <row r="11" spans="1:18">
      <c r="A11" s="760" t="s">
        <v>873</v>
      </c>
      <c r="B11" s="665" t="s">
        <v>936</v>
      </c>
      <c r="C11" s="266" t="s">
        <v>237</v>
      </c>
      <c r="D11" s="266">
        <v>83990</v>
      </c>
      <c r="E11" s="266" t="s">
        <v>473</v>
      </c>
      <c r="F11" s="266">
        <v>11</v>
      </c>
      <c r="G11" s="427">
        <v>41967200</v>
      </c>
      <c r="H11" s="267">
        <f t="shared" si="0"/>
        <v>41967200</v>
      </c>
      <c r="I11" s="268"/>
      <c r="J11" s="809"/>
      <c r="K11" s="804"/>
      <c r="L11" s="811"/>
      <c r="M11" s="804"/>
      <c r="N11" s="811">
        <f t="shared" si="1"/>
        <v>41967200</v>
      </c>
    </row>
    <row r="12" spans="1:18" ht="25.5">
      <c r="A12" s="760" t="s">
        <v>874</v>
      </c>
      <c r="B12" s="665" t="s">
        <v>937</v>
      </c>
      <c r="C12" s="266" t="s">
        <v>237</v>
      </c>
      <c r="D12" s="266">
        <v>83990</v>
      </c>
      <c r="E12" s="266" t="s">
        <v>473</v>
      </c>
      <c r="F12" s="266">
        <v>11</v>
      </c>
      <c r="G12" s="427">
        <v>41967200</v>
      </c>
      <c r="H12" s="267">
        <f t="shared" si="0"/>
        <v>41967200</v>
      </c>
      <c r="I12" s="268"/>
      <c r="J12" s="809"/>
      <c r="K12" s="804"/>
      <c r="L12" s="811"/>
      <c r="M12" s="804"/>
      <c r="N12" s="811">
        <f t="shared" si="1"/>
        <v>41967200</v>
      </c>
    </row>
    <row r="13" spans="1:18" ht="25.5">
      <c r="A13" s="173" t="s">
        <v>238</v>
      </c>
      <c r="B13" s="264"/>
      <c r="C13" s="178"/>
      <c r="D13" s="178"/>
      <c r="E13" s="178" t="s">
        <v>210</v>
      </c>
      <c r="F13" s="178"/>
      <c r="G13" s="426">
        <f>+G14</f>
        <v>41967200</v>
      </c>
      <c r="H13" s="265">
        <f>SUM(H14:H15)</f>
        <v>41967200</v>
      </c>
      <c r="J13" s="808">
        <f>SUM(J14:J15)</f>
        <v>0</v>
      </c>
      <c r="K13" s="803"/>
      <c r="L13" s="808">
        <f>SUM(L14:L15)</f>
        <v>0</v>
      </c>
      <c r="M13" s="803"/>
      <c r="N13" s="808">
        <f>SUM(N14:N15)</f>
        <v>41967200</v>
      </c>
      <c r="P13" s="428"/>
    </row>
    <row r="14" spans="1:18" s="268" customFormat="1">
      <c r="A14" s="760" t="s">
        <v>875</v>
      </c>
      <c r="B14" s="227" t="s">
        <v>938</v>
      </c>
      <c r="C14" s="266" t="s">
        <v>237</v>
      </c>
      <c r="D14" s="266">
        <v>83990</v>
      </c>
      <c r="E14" s="266" t="s">
        <v>473</v>
      </c>
      <c r="F14" s="266">
        <v>11</v>
      </c>
      <c r="G14" s="427">
        <v>41967200</v>
      </c>
      <c r="H14" s="267">
        <f>+G14</f>
        <v>41967200</v>
      </c>
      <c r="J14" s="809"/>
      <c r="K14" s="804"/>
      <c r="L14" s="811"/>
      <c r="M14" s="804"/>
      <c r="N14" s="811">
        <f t="shared" ref="N14:N15" si="2">+H14+J14+L14</f>
        <v>41967200</v>
      </c>
      <c r="O14" s="1"/>
      <c r="P14" s="429"/>
    </row>
    <row r="15" spans="1:18" s="764" customFormat="1" ht="25.5">
      <c r="A15" s="760" t="s">
        <v>939</v>
      </c>
      <c r="B15" s="227"/>
      <c r="C15" s="1626" t="s">
        <v>237</v>
      </c>
      <c r="D15" s="1626"/>
      <c r="E15" s="1626" t="s">
        <v>210</v>
      </c>
      <c r="F15" s="1626">
        <v>1</v>
      </c>
      <c r="G15" s="430"/>
      <c r="H15" s="267">
        <f>+G15</f>
        <v>0</v>
      </c>
      <c r="J15" s="810"/>
      <c r="K15" s="804"/>
      <c r="L15" s="811"/>
      <c r="M15" s="804"/>
      <c r="N15" s="811">
        <f t="shared" si="2"/>
        <v>0</v>
      </c>
      <c r="O15" s="65"/>
      <c r="P15" s="671"/>
    </row>
    <row r="16" spans="1:18" ht="25.5">
      <c r="A16" s="173" t="s">
        <v>239</v>
      </c>
      <c r="B16" s="264"/>
      <c r="C16" s="178"/>
      <c r="D16" s="178"/>
      <c r="E16" s="178" t="s">
        <v>210</v>
      </c>
      <c r="F16" s="178"/>
      <c r="G16" s="299"/>
      <c r="H16" s="265">
        <f>SUM(H17:H18)</f>
        <v>0</v>
      </c>
      <c r="J16" s="808">
        <f>SUM(J17:J18)</f>
        <v>78080000</v>
      </c>
      <c r="K16" s="803"/>
      <c r="L16" s="808">
        <f>SUM(L17:L18)</f>
        <v>0</v>
      </c>
      <c r="M16" s="803"/>
      <c r="N16" s="808">
        <f>SUM(N17:N18)</f>
        <v>78080000</v>
      </c>
    </row>
    <row r="17" spans="1:19" s="1628" customFormat="1" ht="24.75" customHeight="1">
      <c r="A17" s="760" t="s">
        <v>474</v>
      </c>
      <c r="B17" s="227"/>
      <c r="C17" s="30" t="s">
        <v>242</v>
      </c>
      <c r="D17" s="30">
        <v>85962</v>
      </c>
      <c r="E17" s="1626" t="s">
        <v>210</v>
      </c>
      <c r="F17" s="1626">
        <v>1</v>
      </c>
      <c r="G17" s="1655"/>
      <c r="H17" s="670">
        <f>+G17</f>
        <v>0</v>
      </c>
      <c r="J17" s="1844">
        <f>80000000-22000000</f>
        <v>58000000</v>
      </c>
      <c r="K17" s="804"/>
      <c r="L17" s="811"/>
      <c r="M17" s="804"/>
      <c r="N17" s="811">
        <f t="shared" ref="N17:N18" si="3">+H17+J17+L17</f>
        <v>58000000</v>
      </c>
    </row>
    <row r="18" spans="1:19" s="679" customFormat="1" ht="18" customHeight="1" thickBot="1">
      <c r="A18" s="760" t="s">
        <v>1080</v>
      </c>
      <c r="B18" s="227"/>
      <c r="C18" s="30" t="s">
        <v>1150</v>
      </c>
      <c r="D18" s="30">
        <v>85962</v>
      </c>
      <c r="E18" s="34" t="s">
        <v>210</v>
      </c>
      <c r="F18" s="34">
        <v>1</v>
      </c>
      <c r="G18" s="1656"/>
      <c r="H18" s="1657">
        <f>+G18</f>
        <v>0</v>
      </c>
      <c r="J18" s="1658">
        <f>20000000*1.004</f>
        <v>20080000</v>
      </c>
      <c r="K18" s="1654"/>
      <c r="L18" s="1659"/>
      <c r="M18" s="1654"/>
      <c r="N18" s="1659">
        <f t="shared" si="3"/>
        <v>20080000</v>
      </c>
    </row>
    <row r="19" spans="1:19" ht="25.5">
      <c r="A19" s="173" t="s">
        <v>240</v>
      </c>
      <c r="B19" s="264"/>
      <c r="C19" s="178"/>
      <c r="D19" s="178"/>
      <c r="E19" s="178" t="s">
        <v>210</v>
      </c>
      <c r="F19" s="178"/>
      <c r="G19" s="299"/>
      <c r="H19" s="265">
        <f>SUM(H20:H21)</f>
        <v>0</v>
      </c>
      <c r="J19" s="808">
        <f>SUM(J20:J21)</f>
        <v>32441600</v>
      </c>
      <c r="K19" s="803"/>
      <c r="L19" s="1841">
        <f>SUM(L20:L21)</f>
        <v>0</v>
      </c>
      <c r="M19" s="803"/>
      <c r="N19" s="1841">
        <f>SUM(N20:N21)</f>
        <v>32441600</v>
      </c>
    </row>
    <row r="20" spans="1:19" s="1628" customFormat="1">
      <c r="A20" s="55" t="s">
        <v>476</v>
      </c>
      <c r="B20" s="1660"/>
      <c r="C20" s="22" t="s">
        <v>237</v>
      </c>
      <c r="D20" s="22">
        <v>83990</v>
      </c>
      <c r="E20" s="22" t="s">
        <v>473</v>
      </c>
      <c r="F20" s="22">
        <v>8</v>
      </c>
      <c r="G20" s="22"/>
      <c r="H20" s="1843">
        <f>+G20</f>
        <v>0</v>
      </c>
      <c r="J20" s="1845">
        <f>30521600-14457600</f>
        <v>16064000</v>
      </c>
      <c r="K20" s="804"/>
      <c r="L20" s="811"/>
      <c r="M20" s="804"/>
      <c r="N20" s="811">
        <f t="shared" ref="N20:N21" si="4">+H20+J20+L20</f>
        <v>16064000</v>
      </c>
    </row>
    <row r="21" spans="1:19" s="679" customFormat="1" ht="17.100000000000001" customHeight="1" thickBot="1">
      <c r="A21" s="760" t="s">
        <v>1081</v>
      </c>
      <c r="B21" s="20"/>
      <c r="C21" s="34" t="s">
        <v>237</v>
      </c>
      <c r="D21" s="34">
        <v>83990</v>
      </c>
      <c r="E21" s="34" t="s">
        <v>473</v>
      </c>
      <c r="F21" s="34">
        <v>4</v>
      </c>
      <c r="G21" s="34"/>
      <c r="H21" s="1657">
        <f>+G21</f>
        <v>0</v>
      </c>
      <c r="J21" s="1846">
        <v>16377600</v>
      </c>
      <c r="K21" s="1654"/>
      <c r="L21" s="811"/>
      <c r="M21" s="1654"/>
      <c r="N21" s="811">
        <f t="shared" si="4"/>
        <v>16377600</v>
      </c>
    </row>
    <row r="22" spans="1:19" ht="26.25" thickBot="1">
      <c r="A22" s="512" t="s">
        <v>241</v>
      </c>
      <c r="B22" s="1105"/>
      <c r="C22" s="1106"/>
      <c r="D22" s="1106"/>
      <c r="E22" s="1106" t="s">
        <v>210</v>
      </c>
      <c r="F22" s="1106"/>
      <c r="G22" s="1107">
        <f>+G23+G26</f>
        <v>107725787.28999999</v>
      </c>
      <c r="H22" s="1108">
        <f>+H23+H26</f>
        <v>107725787.28999999</v>
      </c>
      <c r="J22" s="1104">
        <f>J23</f>
        <v>0</v>
      </c>
      <c r="K22" s="805"/>
      <c r="L22" s="1104">
        <f>L23</f>
        <v>0</v>
      </c>
      <c r="M22" s="805"/>
      <c r="N22" s="1104">
        <f>+N23</f>
        <v>107725787.28999999</v>
      </c>
    </row>
    <row r="23" spans="1:19" ht="31.5" customHeight="1">
      <c r="A23" s="1088" t="s">
        <v>5</v>
      </c>
      <c r="B23" s="1095"/>
      <c r="C23" s="1096"/>
      <c r="D23" s="1096"/>
      <c r="E23" s="1096" t="s">
        <v>210</v>
      </c>
      <c r="F23" s="1096"/>
      <c r="G23" s="1097">
        <f>+G24+G25</f>
        <v>23754514.289999999</v>
      </c>
      <c r="H23" s="1098">
        <f>SUM(H24:H25)</f>
        <v>23754514.289999999</v>
      </c>
      <c r="J23" s="1094">
        <f>SUM(J24:J26)</f>
        <v>0</v>
      </c>
      <c r="K23" s="805"/>
      <c r="L23" s="1094">
        <f>SUM(L24:L26)</f>
        <v>0</v>
      </c>
      <c r="M23" s="805"/>
      <c r="N23" s="1094">
        <f>SUM(N24:N26)</f>
        <v>107725787.28999999</v>
      </c>
    </row>
    <row r="24" spans="1:19" ht="51">
      <c r="A24" s="760" t="s">
        <v>477</v>
      </c>
      <c r="B24" s="227"/>
      <c r="C24" s="30" t="s">
        <v>242</v>
      </c>
      <c r="D24" s="30" t="s">
        <v>940</v>
      </c>
      <c r="E24" s="1626" t="s">
        <v>210</v>
      </c>
      <c r="F24" s="1626">
        <v>1</v>
      </c>
      <c r="G24" s="430">
        <v>18000000</v>
      </c>
      <c r="H24" s="269">
        <v>18000000</v>
      </c>
      <c r="I24" s="65"/>
      <c r="J24" s="811"/>
      <c r="K24" s="803"/>
      <c r="L24" s="811"/>
      <c r="M24" s="803"/>
      <c r="N24" s="811">
        <f t="shared" ref="N24:N26" si="5">+H24+J24+L24</f>
        <v>18000000</v>
      </c>
    </row>
    <row r="25" spans="1:19" ht="38.25">
      <c r="A25" s="760" t="s">
        <v>478</v>
      </c>
      <c r="B25" s="227"/>
      <c r="C25" s="30" t="s">
        <v>242</v>
      </c>
      <c r="D25" s="30">
        <v>63391</v>
      </c>
      <c r="E25" s="1626" t="s">
        <v>210</v>
      </c>
      <c r="F25" s="1626">
        <v>1</v>
      </c>
      <c r="G25" s="430">
        <v>5754514.29</v>
      </c>
      <c r="H25" s="269">
        <f>10000000-4245485.71</f>
        <v>5754514.29</v>
      </c>
      <c r="I25" s="65"/>
      <c r="J25" s="811"/>
      <c r="K25" s="803"/>
      <c r="L25" s="811"/>
      <c r="M25" s="803"/>
      <c r="N25" s="811">
        <f t="shared" si="5"/>
        <v>5754514.29</v>
      </c>
    </row>
    <row r="26" spans="1:19" ht="13.5" thickBot="1">
      <c r="A26" s="176" t="s">
        <v>228</v>
      </c>
      <c r="B26" s="666"/>
      <c r="C26" s="177"/>
      <c r="D26" s="177"/>
      <c r="E26" s="181" t="s">
        <v>210</v>
      </c>
      <c r="F26" s="181"/>
      <c r="G26" s="667">
        <f>+H26</f>
        <v>83971273</v>
      </c>
      <c r="H26" s="270">
        <v>83971273</v>
      </c>
      <c r="J26" s="812"/>
      <c r="K26" s="803"/>
      <c r="L26" s="812"/>
      <c r="M26" s="803"/>
      <c r="N26" s="812">
        <f t="shared" si="5"/>
        <v>83971273</v>
      </c>
    </row>
    <row r="27" spans="1:19" ht="18" customHeight="1" thickBot="1">
      <c r="A27" s="2348" t="s">
        <v>10</v>
      </c>
      <c r="B27" s="2349"/>
      <c r="C27" s="2349"/>
      <c r="D27" s="2349"/>
      <c r="E27" s="2349"/>
      <c r="F27" s="2350"/>
      <c r="G27" s="1409">
        <f>+G22+G7</f>
        <v>317289273</v>
      </c>
      <c r="H27" s="1410">
        <f>+H22+H7</f>
        <v>317289273</v>
      </c>
      <c r="J27" s="1411">
        <f>+J7+J22</f>
        <v>110521600</v>
      </c>
      <c r="K27" s="806"/>
      <c r="L27" s="1411">
        <f>+L7+L22</f>
        <v>0</v>
      </c>
      <c r="M27" s="806"/>
      <c r="N27" s="1411">
        <f>+N7+N22</f>
        <v>427810873</v>
      </c>
      <c r="O27" s="428"/>
      <c r="P27" s="428"/>
      <c r="Q27" s="428"/>
      <c r="R27" s="428"/>
      <c r="S27" s="428"/>
    </row>
    <row r="28" spans="1:19" s="65" customFormat="1">
      <c r="A28" s="1"/>
      <c r="B28" s="1"/>
      <c r="C28" s="1"/>
      <c r="D28" s="1"/>
      <c r="E28" s="1"/>
      <c r="F28" s="1"/>
      <c r="G28" s="1"/>
      <c r="H28" s="184"/>
      <c r="I28" s="1"/>
      <c r="J28" s="1"/>
      <c r="K28" s="807"/>
      <c r="L28" s="1628"/>
      <c r="M28" s="807"/>
      <c r="O28" s="431"/>
      <c r="P28" s="431"/>
      <c r="Q28" s="431"/>
      <c r="R28" s="431"/>
      <c r="S28" s="431"/>
    </row>
    <row r="29" spans="1:19" s="65" customFormat="1" ht="12.75" customHeight="1" thickBot="1">
      <c r="A29" s="1"/>
      <c r="B29" s="1"/>
      <c r="C29" s="1"/>
      <c r="D29" s="1"/>
      <c r="E29" s="1"/>
      <c r="F29" s="1"/>
      <c r="G29" s="1"/>
      <c r="H29" s="668"/>
      <c r="I29" s="1"/>
      <c r="J29" s="1"/>
      <c r="K29" s="807"/>
      <c r="L29" s="1628"/>
      <c r="M29" s="807"/>
      <c r="O29" s="431"/>
      <c r="P29" s="431"/>
      <c r="Q29" s="431"/>
      <c r="R29" s="431"/>
      <c r="S29" s="431"/>
    </row>
    <row r="30" spans="1:19" s="65" customFormat="1" ht="18" customHeight="1" thickBot="1">
      <c r="A30" s="1"/>
      <c r="B30" s="1"/>
      <c r="C30" s="1"/>
      <c r="D30" s="1"/>
      <c r="E30" s="1"/>
      <c r="F30" s="1"/>
      <c r="G30" s="1109">
        <v>317289273</v>
      </c>
      <c r="H30" s="1110">
        <v>317289273</v>
      </c>
      <c r="I30" s="1"/>
      <c r="J30" s="1111">
        <v>110521600</v>
      </c>
      <c r="K30" s="807"/>
      <c r="L30" s="1111"/>
      <c r="M30" s="807"/>
      <c r="N30" s="1111">
        <f>427810873</f>
        <v>427810873</v>
      </c>
      <c r="O30" s="431"/>
      <c r="P30" s="431"/>
      <c r="Q30" s="431"/>
      <c r="R30" s="431"/>
      <c r="S30" s="431"/>
    </row>
    <row r="33" spans="7:14">
      <c r="G33" s="741">
        <f>+G30-G27</f>
        <v>0</v>
      </c>
      <c r="H33" s="741">
        <f>+H30-H27</f>
        <v>0</v>
      </c>
      <c r="I33" s="741">
        <f t="shared" ref="I33:N33" si="6">+I30-I27</f>
        <v>0</v>
      </c>
      <c r="J33" s="741">
        <f t="shared" si="6"/>
        <v>0</v>
      </c>
      <c r="K33" s="741">
        <f t="shared" si="6"/>
        <v>0</v>
      </c>
      <c r="L33" s="741">
        <f>+L30-L27</f>
        <v>0</v>
      </c>
      <c r="M33" s="741"/>
      <c r="N33" s="741">
        <f t="shared" si="6"/>
        <v>0</v>
      </c>
    </row>
    <row r="36" spans="7:14">
      <c r="H36" s="1653"/>
    </row>
  </sheetData>
  <mergeCells count="12">
    <mergeCell ref="A27:F27"/>
    <mergeCell ref="N4:N6"/>
    <mergeCell ref="E4:E6"/>
    <mergeCell ref="G4:G6"/>
    <mergeCell ref="A4:A6"/>
    <mergeCell ref="B4:B6"/>
    <mergeCell ref="C4:C6"/>
    <mergeCell ref="D4:D6"/>
    <mergeCell ref="F4:F6"/>
    <mergeCell ref="H4:H6"/>
    <mergeCell ref="J4:J5"/>
    <mergeCell ref="L5:L6"/>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7" tint="0.59999389629810485"/>
  </sheetPr>
  <dimension ref="A1:P42"/>
  <sheetViews>
    <sheetView zoomScale="80" zoomScaleNormal="80" workbookViewId="0">
      <pane ySplit="6" topLeftCell="A7" activePane="bottomLeft" state="frozen"/>
      <selection activeCell="B1" sqref="B1"/>
      <selection pane="bottomLeft" activeCell="G35" sqref="G35"/>
    </sheetView>
  </sheetViews>
  <sheetFormatPr baseColWidth="10" defaultRowHeight="15"/>
  <cols>
    <col min="1" max="1" width="14.140625" customWidth="1"/>
    <col min="2" max="2" width="40.7109375" customWidth="1"/>
    <col min="3" max="3" width="11" hidden="1" customWidth="1"/>
    <col min="4" max="4" width="10.42578125" hidden="1" customWidth="1"/>
    <col min="5" max="5" width="15.140625" customWidth="1"/>
    <col min="6" max="6" width="18" customWidth="1"/>
    <col min="7" max="8" width="17.140625" customWidth="1"/>
    <col min="9" max="9" width="16.28515625" customWidth="1"/>
    <col min="10" max="10" width="5.85546875" customWidth="1"/>
    <col min="11" max="12" width="14.140625" bestFit="1" customWidth="1"/>
    <col min="13" max="13" width="15" customWidth="1"/>
    <col min="14" max="14" width="16.7109375" customWidth="1"/>
    <col min="15" max="15" width="5.5703125" customWidth="1"/>
    <col min="16" max="16" width="15" customWidth="1"/>
  </cols>
  <sheetData>
    <row r="1" spans="1:16" s="1" customFormat="1" ht="15" customHeight="1">
      <c r="A1" s="2311" t="s">
        <v>416</v>
      </c>
      <c r="B1" s="2311"/>
      <c r="C1" s="2311"/>
      <c r="D1" s="2311"/>
      <c r="E1" s="2311"/>
      <c r="F1" s="2311"/>
      <c r="G1" s="2311"/>
      <c r="H1" s="2311"/>
      <c r="I1" s="2311"/>
    </row>
    <row r="2" spans="1:16" s="1" customFormat="1" ht="15" customHeight="1">
      <c r="A2" s="2311" t="s">
        <v>180</v>
      </c>
      <c r="B2" s="2311"/>
      <c r="C2" s="2311"/>
      <c r="D2" s="2311"/>
      <c r="E2" s="2311"/>
      <c r="F2" s="2311"/>
      <c r="G2" s="2311"/>
      <c r="H2" s="2311"/>
      <c r="I2" s="2311"/>
    </row>
    <row r="3" spans="1:16" ht="16.5" thickBot="1">
      <c r="B3" s="506"/>
    </row>
    <row r="4" spans="1:16" ht="15.75" customHeight="1" thickBot="1">
      <c r="A4" s="2369" t="s">
        <v>394</v>
      </c>
      <c r="B4" s="2368" t="s">
        <v>198</v>
      </c>
      <c r="C4" s="2368">
        <v>2022</v>
      </c>
      <c r="D4" s="2368"/>
      <c r="E4" s="2368"/>
      <c r="F4" s="2368"/>
      <c r="G4" s="2368"/>
      <c r="H4" s="2368"/>
      <c r="I4" s="2368"/>
      <c r="K4" s="2312" t="s">
        <v>199</v>
      </c>
      <c r="L4" s="2312"/>
      <c r="M4" s="2312"/>
      <c r="N4" s="2364" t="s">
        <v>1005</v>
      </c>
      <c r="O4" s="807"/>
      <c r="P4" s="2364" t="s">
        <v>1006</v>
      </c>
    </row>
    <row r="5" spans="1:16" ht="25.5" customHeight="1" thickBot="1">
      <c r="A5" s="2370"/>
      <c r="B5" s="2368"/>
      <c r="C5" s="2339" t="s">
        <v>255</v>
      </c>
      <c r="D5" s="2312" t="s">
        <v>201</v>
      </c>
      <c r="E5" s="2368" t="s">
        <v>254</v>
      </c>
      <c r="F5" s="2368"/>
      <c r="G5" s="2368"/>
      <c r="H5" s="2368"/>
      <c r="I5" s="2312" t="s">
        <v>205</v>
      </c>
      <c r="K5" s="2312" t="s">
        <v>202</v>
      </c>
      <c r="L5" s="2312" t="s">
        <v>204</v>
      </c>
      <c r="M5" s="2312" t="s">
        <v>234</v>
      </c>
      <c r="N5" s="2365"/>
      <c r="O5" s="807"/>
      <c r="P5" s="2365"/>
    </row>
    <row r="6" spans="1:16" ht="26.25" customHeight="1" thickBot="1">
      <c r="A6" s="2371"/>
      <c r="B6" s="2368"/>
      <c r="C6" s="2339"/>
      <c r="D6" s="2312"/>
      <c r="E6" s="1112" t="s">
        <v>202</v>
      </c>
      <c r="F6" s="1112" t="s">
        <v>204</v>
      </c>
      <c r="G6" s="1112" t="s">
        <v>234</v>
      </c>
      <c r="H6" s="1112" t="s">
        <v>257</v>
      </c>
      <c r="I6" s="2312"/>
      <c r="K6" s="2312"/>
      <c r="L6" s="2312"/>
      <c r="M6" s="2312"/>
      <c r="N6" s="2365"/>
      <c r="O6" s="807"/>
      <c r="P6" s="2365"/>
    </row>
    <row r="7" spans="1:16" ht="39" thickBot="1">
      <c r="A7" s="206">
        <v>3201009</v>
      </c>
      <c r="B7" s="514" t="s">
        <v>46</v>
      </c>
      <c r="C7" s="515" t="s">
        <v>215</v>
      </c>
      <c r="D7" s="515">
        <v>100</v>
      </c>
      <c r="E7" s="516">
        <f>+E8</f>
        <v>0</v>
      </c>
      <c r="F7" s="516">
        <f>+F8</f>
        <v>31025890</v>
      </c>
      <c r="G7" s="516">
        <f>+G8</f>
        <v>0</v>
      </c>
      <c r="H7" s="516">
        <f t="shared" ref="H7" si="0">+H8</f>
        <v>0</v>
      </c>
      <c r="I7" s="517">
        <f>+'ACCIONES 320103'!J7</f>
        <v>31025889.559999999</v>
      </c>
      <c r="J7" s="32">
        <f>+(E7+F7+G7+H7)-I7</f>
        <v>0.44000000134110451</v>
      </c>
      <c r="K7" s="949">
        <f>+'ACCIONES 320103'!L7</f>
        <v>0</v>
      </c>
      <c r="L7" s="516">
        <f>+'ACCIONES 320103'!M7</f>
        <v>6929889.1200000001</v>
      </c>
      <c r="M7" s="516">
        <f>+'ACCIONES 320103'!N7</f>
        <v>0</v>
      </c>
      <c r="N7" s="517">
        <f>+'ACCIONES 320103'!O7</f>
        <v>6929889.1200000001</v>
      </c>
      <c r="O7" s="933"/>
      <c r="P7" s="937">
        <f>+'ACCIONES 320103'!Q7</f>
        <v>37955778.68</v>
      </c>
    </row>
    <row r="8" spans="1:16" ht="39" thickBot="1">
      <c r="B8" s="469" t="s">
        <v>258</v>
      </c>
      <c r="C8" s="518" t="s">
        <v>215</v>
      </c>
      <c r="D8" s="518">
        <v>100</v>
      </c>
      <c r="E8" s="519">
        <f>+'ACCIONES 320103'!F8</f>
        <v>0</v>
      </c>
      <c r="F8" s="519">
        <f>+'ACCIONES 320103'!G8</f>
        <v>31025890</v>
      </c>
      <c r="G8" s="519">
        <f>+'ACCIONES 320103'!H8</f>
        <v>0</v>
      </c>
      <c r="H8" s="519">
        <f>+'ACCIONES 320103'!I8</f>
        <v>0</v>
      </c>
      <c r="I8" s="520">
        <f>+'ACCIONES 320103'!J8</f>
        <v>31025889.559999999</v>
      </c>
      <c r="J8" s="32">
        <f t="shared" ref="J8:J36" si="1">+(E8+F8+G8+H8)-I8</f>
        <v>0.44000000134110451</v>
      </c>
      <c r="K8" s="950">
        <f>+'ACCIONES 320103'!L8</f>
        <v>0</v>
      </c>
      <c r="L8" s="519">
        <f>+'ACCIONES 320103'!M8</f>
        <v>6929889.1200000001</v>
      </c>
      <c r="M8" s="519">
        <f>+'ACCIONES 320103'!N8</f>
        <v>0</v>
      </c>
      <c r="N8" s="520">
        <f>+'ACCIONES 320103'!O8</f>
        <v>6929889.1200000001</v>
      </c>
      <c r="O8" s="933"/>
      <c r="P8" s="938">
        <f>+'ACCIONES 320103'!Q8</f>
        <v>37955778.68</v>
      </c>
    </row>
    <row r="9" spans="1:16" ht="39" thickBot="1">
      <c r="A9" s="216">
        <v>3201009</v>
      </c>
      <c r="B9" s="521" t="s">
        <v>48</v>
      </c>
      <c r="C9" s="522" t="s">
        <v>215</v>
      </c>
      <c r="D9" s="522">
        <v>100</v>
      </c>
      <c r="E9" s="523">
        <f>+E10</f>
        <v>0</v>
      </c>
      <c r="F9" s="523">
        <f t="shared" ref="F9:H9" si="2">+F10</f>
        <v>0</v>
      </c>
      <c r="G9" s="523">
        <f t="shared" si="2"/>
        <v>51185778</v>
      </c>
      <c r="H9" s="523">
        <f t="shared" si="2"/>
        <v>0</v>
      </c>
      <c r="I9" s="524">
        <f>+'ACCIONES 320103'!J15</f>
        <v>51185778</v>
      </c>
      <c r="J9" s="32">
        <f t="shared" si="1"/>
        <v>0</v>
      </c>
      <c r="K9" s="951">
        <f>+'ACCIONES 320103'!L15</f>
        <v>0</v>
      </c>
      <c r="L9" s="523">
        <f>+'ACCIONES 320103'!M15</f>
        <v>1637973.7919999999</v>
      </c>
      <c r="M9" s="523">
        <f>+'ACCIONES 320103'!N15</f>
        <v>0</v>
      </c>
      <c r="N9" s="524">
        <f>+'ACCIONES 320103'!O15</f>
        <v>1637973.7919999999</v>
      </c>
      <c r="O9" s="933"/>
      <c r="P9" s="939">
        <f>+'ACCIONES 320103'!Q15</f>
        <v>52823751.792000003</v>
      </c>
    </row>
    <row r="10" spans="1:16" ht="39" thickBot="1">
      <c r="B10" s="469" t="s">
        <v>259</v>
      </c>
      <c r="C10" s="518" t="s">
        <v>215</v>
      </c>
      <c r="D10" s="518">
        <f>+D9</f>
        <v>100</v>
      </c>
      <c r="E10" s="519">
        <f>+'ACCIONES 320103'!F16</f>
        <v>0</v>
      </c>
      <c r="F10" s="519">
        <f>+'ACCIONES 320103'!G16</f>
        <v>0</v>
      </c>
      <c r="G10" s="519">
        <f>+'ACCIONES 320103'!H16</f>
        <v>51185778</v>
      </c>
      <c r="H10" s="519">
        <f>+'ACCIONES 320103'!I16</f>
        <v>0</v>
      </c>
      <c r="I10" s="520">
        <f>+'ACCIONES 320103'!J16</f>
        <v>51185778</v>
      </c>
      <c r="J10" s="32">
        <f t="shared" si="1"/>
        <v>0</v>
      </c>
      <c r="K10" s="950">
        <f>+'ACCIONES 320103'!L16</f>
        <v>0</v>
      </c>
      <c r="L10" s="519">
        <f>+'ACCIONES 320103'!M16</f>
        <v>1637973.7919999999</v>
      </c>
      <c r="M10" s="519">
        <f>+'ACCIONES 320103'!N16</f>
        <v>0</v>
      </c>
      <c r="N10" s="520">
        <f>+'ACCIONES 320103'!O16</f>
        <v>1637973.7919999999</v>
      </c>
      <c r="O10" s="933"/>
      <c r="P10" s="938">
        <f>+'ACCIONES 320103'!Q16</f>
        <v>52823751.792000003</v>
      </c>
    </row>
    <row r="11" spans="1:16" ht="26.25" thickBot="1">
      <c r="A11" s="205">
        <v>3201026</v>
      </c>
      <c r="B11" s="525" t="s">
        <v>49</v>
      </c>
      <c r="C11" s="515" t="s">
        <v>215</v>
      </c>
      <c r="D11" s="515">
        <v>90</v>
      </c>
      <c r="E11" s="516">
        <f>+E12</f>
        <v>40613151.842137754</v>
      </c>
      <c r="F11" s="516">
        <f t="shared" ref="F11" si="3">+F12</f>
        <v>457728892.66839385</v>
      </c>
      <c r="G11" s="516">
        <f>+G12</f>
        <v>19123601.648000002</v>
      </c>
      <c r="H11" s="516">
        <f>+H12</f>
        <v>16672005.199999996</v>
      </c>
      <c r="I11" s="517">
        <f>+'ACCIONES 320103'!J21</f>
        <v>534137651.79853165</v>
      </c>
      <c r="J11" s="32">
        <f t="shared" si="1"/>
        <v>-0.44000005722045898</v>
      </c>
      <c r="K11" s="949">
        <f>+'ACCIONES 320103'!L21</f>
        <v>24732608</v>
      </c>
      <c r="L11" s="516">
        <f>+'ACCIONES 320103'!M21</f>
        <v>14971206.68</v>
      </c>
      <c r="M11" s="516">
        <f>+'ACCIONES 320103'!N21</f>
        <v>57242384.301120035</v>
      </c>
      <c r="N11" s="517">
        <f>+'ACCIONES 320103'!O21</f>
        <v>96946198.981120035</v>
      </c>
      <c r="O11" s="933"/>
      <c r="P11" s="937">
        <f>+'ACCIONES 320103'!Q21</f>
        <v>631083850.77965176</v>
      </c>
    </row>
    <row r="12" spans="1:16" ht="26.25" thickBot="1">
      <c r="B12" s="469" t="s">
        <v>260</v>
      </c>
      <c r="C12" s="518" t="s">
        <v>215</v>
      </c>
      <c r="D12" s="518">
        <v>90</v>
      </c>
      <c r="E12" s="519">
        <f>+'ACCIONES 320103'!F22</f>
        <v>40613151.842137754</v>
      </c>
      <c r="F12" s="519">
        <f>+'ACCIONES 320103'!G22</f>
        <v>457728892.66839385</v>
      </c>
      <c r="G12" s="519">
        <f>+'ACCIONES 320103'!H22</f>
        <v>19123601.648000002</v>
      </c>
      <c r="H12" s="519">
        <f>+'ACCIONES 320103'!I22</f>
        <v>16672005.199999996</v>
      </c>
      <c r="I12" s="520">
        <f>+'ACCIONES 320103'!J22</f>
        <v>534137651.79853165</v>
      </c>
      <c r="J12" s="32">
        <f t="shared" si="1"/>
        <v>-0.44000005722045898</v>
      </c>
      <c r="K12" s="950">
        <f>+'ACCIONES 320103'!L22</f>
        <v>24732608</v>
      </c>
      <c r="L12" s="519">
        <f>+'ACCIONES 320103'!M22</f>
        <v>14971206.68</v>
      </c>
      <c r="M12" s="519">
        <f>+'ACCIONES 320103'!N22</f>
        <v>57242384.301120035</v>
      </c>
      <c r="N12" s="520">
        <f>+'ACCIONES 320103'!O22</f>
        <v>96946198.981120035</v>
      </c>
      <c r="O12" s="933"/>
      <c r="P12" s="938">
        <f>+'ACCIONES 320103'!Q22</f>
        <v>631083850.77965176</v>
      </c>
    </row>
    <row r="13" spans="1:16" s="188" customFormat="1" ht="39" thickBot="1">
      <c r="A13" s="217"/>
      <c r="B13" s="526" t="s">
        <v>50</v>
      </c>
      <c r="C13" s="515" t="s">
        <v>261</v>
      </c>
      <c r="D13" s="515">
        <v>60</v>
      </c>
      <c r="E13" s="516">
        <f t="shared" ref="E13:H13" si="4">+E14</f>
        <v>0</v>
      </c>
      <c r="F13" s="516">
        <f>+F14</f>
        <v>0</v>
      </c>
      <c r="G13" s="516">
        <f>+G14</f>
        <v>0</v>
      </c>
      <c r="H13" s="516">
        <f t="shared" si="4"/>
        <v>0</v>
      </c>
      <c r="I13" s="517">
        <f>+'ACCIONES 320103'!J83</f>
        <v>0</v>
      </c>
      <c r="J13" s="32">
        <f t="shared" si="1"/>
        <v>0</v>
      </c>
      <c r="K13" s="949">
        <f>+'ACCIONES 320103'!L83</f>
        <v>0</v>
      </c>
      <c r="L13" s="516">
        <f>+'ACCIONES 320103'!M83</f>
        <v>0</v>
      </c>
      <c r="M13" s="516">
        <f>+'ACCIONES 320103'!N83</f>
        <v>0</v>
      </c>
      <c r="N13" s="517">
        <f>+'ACCIONES 320103'!O83</f>
        <v>0</v>
      </c>
      <c r="O13" s="933"/>
      <c r="P13" s="937">
        <f>+'ACCIONES 320103'!Q83</f>
        <v>0</v>
      </c>
    </row>
    <row r="14" spans="1:16" ht="26.25" thickBot="1">
      <c r="B14" s="469" t="s">
        <v>262</v>
      </c>
      <c r="C14" s="518" t="s">
        <v>261</v>
      </c>
      <c r="D14" s="518">
        <f>+D13</f>
        <v>60</v>
      </c>
      <c r="E14" s="519">
        <f>+'ACCIONES 320103'!F84</f>
        <v>0</v>
      </c>
      <c r="F14" s="519">
        <f>+'ACCIONES 320103'!G84</f>
        <v>0</v>
      </c>
      <c r="G14" s="519">
        <f>+'ACCIONES 320103'!H84</f>
        <v>0</v>
      </c>
      <c r="H14" s="519">
        <f>+'ACCIONES 320103'!I84</f>
        <v>0</v>
      </c>
      <c r="I14" s="520">
        <f>+'ACCIONES 320103'!J84</f>
        <v>0</v>
      </c>
      <c r="J14" s="32">
        <f t="shared" si="1"/>
        <v>0</v>
      </c>
      <c r="K14" s="950">
        <f>+'ACCIONES 320103'!L84</f>
        <v>0</v>
      </c>
      <c r="L14" s="519">
        <f>+'ACCIONES 320103'!M84</f>
        <v>0</v>
      </c>
      <c r="M14" s="519">
        <f>+'ACCIONES 320103'!N84</f>
        <v>0</v>
      </c>
      <c r="N14" s="520">
        <f>+'ACCIONES 320103'!O84</f>
        <v>0</v>
      </c>
      <c r="O14" s="933"/>
      <c r="P14" s="938">
        <f>+'ACCIONES 320103'!Q84</f>
        <v>0</v>
      </c>
    </row>
    <row r="15" spans="1:16" ht="26.25" thickBot="1">
      <c r="A15" s="208">
        <v>3201025</v>
      </c>
      <c r="B15" s="527" t="s">
        <v>51</v>
      </c>
      <c r="C15" s="522" t="s">
        <v>215</v>
      </c>
      <c r="D15" s="522">
        <v>80</v>
      </c>
      <c r="E15" s="523">
        <f>+E16+E17</f>
        <v>78785254.040000021</v>
      </c>
      <c r="F15" s="523">
        <f>+F16+F17</f>
        <v>246248440.57971862</v>
      </c>
      <c r="G15" s="523">
        <f>+G16+G17</f>
        <v>127743745.62069111</v>
      </c>
      <c r="H15" s="523">
        <f>+H16+H17</f>
        <v>24854723</v>
      </c>
      <c r="I15" s="524">
        <f>+'ACCIONES 320103'!J88</f>
        <v>477632163.24040973</v>
      </c>
      <c r="J15" s="32">
        <f>+(E15+F15+G15+H15)-I15</f>
        <v>0</v>
      </c>
      <c r="K15" s="951">
        <f>+'ACCIONES 320103'!L88</f>
        <v>6443478.9359999998</v>
      </c>
      <c r="L15" s="523">
        <f>+'ACCIONES 320103'!M88</f>
        <v>0</v>
      </c>
      <c r="M15" s="523">
        <f>+'ACCIONES 320103'!N88</f>
        <v>19591556.981372707</v>
      </c>
      <c r="N15" s="524">
        <f>+'ACCIONES 320103'!O88</f>
        <v>26035035.917372707</v>
      </c>
      <c r="O15" s="933"/>
      <c r="P15" s="939">
        <f>+'ACCIONES 320103'!Q88</f>
        <v>503667199.15778238</v>
      </c>
    </row>
    <row r="16" spans="1:16" ht="25.5">
      <c r="B16" s="513" t="s">
        <v>263</v>
      </c>
      <c r="C16" s="761" t="s">
        <v>215</v>
      </c>
      <c r="D16" s="761">
        <f>+D15</f>
        <v>80</v>
      </c>
      <c r="E16" s="26">
        <f>+'ACCIONES 320103'!F89</f>
        <v>78785254.040000021</v>
      </c>
      <c r="F16" s="26">
        <f>+'ACCIONES 320103'!G89</f>
        <v>246248440.57971862</v>
      </c>
      <c r="G16" s="26">
        <f>+'ACCIONES 320103'!H89</f>
        <v>63493152.646627098</v>
      </c>
      <c r="H16" s="26">
        <f>+'ACCIONES 320103'!I89</f>
        <v>24854723</v>
      </c>
      <c r="I16" s="27">
        <f>+'ACCIONES 320103'!J89</f>
        <v>413381570.26634574</v>
      </c>
      <c r="J16" s="32">
        <f t="shared" si="1"/>
        <v>0</v>
      </c>
      <c r="K16" s="952">
        <f>+'ACCIONES 320103'!L89</f>
        <v>6443478.9359999998</v>
      </c>
      <c r="L16" s="26">
        <f>+'ACCIONES 320103'!M89</f>
        <v>0</v>
      </c>
      <c r="M16" s="26">
        <f>+'ACCIONES 320103'!N89</f>
        <v>19591556.981372707</v>
      </c>
      <c r="N16" s="27">
        <f>+'ACCIONES 320103'!O89</f>
        <v>26035035.917372707</v>
      </c>
      <c r="O16" s="933"/>
      <c r="P16" s="940">
        <f>+'ACCIONES 320103'!Q89</f>
        <v>439416606.18371838</v>
      </c>
    </row>
    <row r="17" spans="1:16" ht="26.25" thickBot="1">
      <c r="B17" s="528" t="s">
        <v>563</v>
      </c>
      <c r="C17" s="518" t="s">
        <v>215</v>
      </c>
      <c r="D17" s="21">
        <v>80</v>
      </c>
      <c r="E17" s="529">
        <f>+'ACCIONES 320103'!F128</f>
        <v>0</v>
      </c>
      <c r="F17" s="529">
        <f>+'ACCIONES 320103'!G128</f>
        <v>0</v>
      </c>
      <c r="G17" s="529">
        <f>+'ACCIONES 320103'!H128</f>
        <v>64250592.974064007</v>
      </c>
      <c r="H17" s="529">
        <f>+'ACCIONES 320103'!I128</f>
        <v>0</v>
      </c>
      <c r="I17" s="954">
        <f>+'ACCIONES 320103'!J128</f>
        <v>64250592.974064007</v>
      </c>
      <c r="J17" s="32">
        <f t="shared" si="1"/>
        <v>0</v>
      </c>
      <c r="K17" s="953">
        <f>+'ACCIONES 320103'!L128</f>
        <v>0</v>
      </c>
      <c r="L17" s="529">
        <f>+'ACCIONES 320103'!M128</f>
        <v>0</v>
      </c>
      <c r="M17" s="529">
        <f>+'ACCIONES 320103'!N128</f>
        <v>0</v>
      </c>
      <c r="N17" s="954">
        <f>+'ACCIONES 320103'!O128</f>
        <v>0</v>
      </c>
      <c r="O17" s="933"/>
      <c r="P17" s="941">
        <f>+'ACCIONES 320103'!Q128</f>
        <v>64250592.974064007</v>
      </c>
    </row>
    <row r="18" spans="1:16" ht="26.25" thickBot="1">
      <c r="A18" s="205">
        <v>3201022</v>
      </c>
      <c r="B18" s="525" t="s">
        <v>52</v>
      </c>
      <c r="C18" s="515" t="s">
        <v>215</v>
      </c>
      <c r="D18" s="515">
        <v>30</v>
      </c>
      <c r="E18" s="516">
        <f>+E19+E20</f>
        <v>0</v>
      </c>
      <c r="F18" s="516">
        <f>+F19+F20</f>
        <v>380420729.99851435</v>
      </c>
      <c r="G18" s="516">
        <f>+G19+G20</f>
        <v>67842617.106360003</v>
      </c>
      <c r="H18" s="516">
        <f t="shared" ref="H18" si="5">+H19+H20</f>
        <v>0</v>
      </c>
      <c r="I18" s="517">
        <f>+'ACCIONES 320103'!J138</f>
        <v>448263347.05687433</v>
      </c>
      <c r="J18" s="32">
        <f t="shared" si="1"/>
        <v>4.8000037670135498E-2</v>
      </c>
      <c r="K18" s="949">
        <f>+'ACCIONES 320103'!L138</f>
        <v>0</v>
      </c>
      <c r="L18" s="516">
        <f>+'ACCIONES 320103'!M138</f>
        <v>95382960.228000015</v>
      </c>
      <c r="M18" s="516">
        <f>+'ACCIONES 320103'!N138</f>
        <v>138232343.46150723</v>
      </c>
      <c r="N18" s="517">
        <f>+'ACCIONES 320103'!O138</f>
        <v>233615303.68950722</v>
      </c>
      <c r="O18" s="933"/>
      <c r="P18" s="937">
        <f>+'ACCIONES 320103'!Q138</f>
        <v>681878650.74638164</v>
      </c>
    </row>
    <row r="19" spans="1:16" ht="25.5">
      <c r="B19" s="513" t="s">
        <v>268</v>
      </c>
      <c r="C19" s="761" t="s">
        <v>215</v>
      </c>
      <c r="D19" s="761">
        <v>30</v>
      </c>
      <c r="E19" s="530">
        <f>+'ACCIONES 320103'!F139</f>
        <v>0</v>
      </c>
      <c r="F19" s="530">
        <f>+'ACCIONES 320103'!G139</f>
        <v>380420729.99851435</v>
      </c>
      <c r="G19" s="530">
        <f>+'ACCIONES 320103'!H139</f>
        <v>0</v>
      </c>
      <c r="H19" s="530">
        <f>+'ACCIONES 320103'!I139</f>
        <v>0</v>
      </c>
      <c r="I19" s="956">
        <f>+'ACCIONES 320103'!J139</f>
        <v>380420729.95051432</v>
      </c>
      <c r="J19" s="32">
        <f t="shared" si="1"/>
        <v>4.8000037670135498E-2</v>
      </c>
      <c r="K19" s="955">
        <f>+'ACCIONES 320103'!L139</f>
        <v>0</v>
      </c>
      <c r="L19" s="530">
        <f>+'ACCIONES 320103'!M139</f>
        <v>95382960.228000015</v>
      </c>
      <c r="M19" s="530">
        <f>+'ACCIONES 320103'!N139</f>
        <v>138232343.46150723</v>
      </c>
      <c r="N19" s="956">
        <f>+'ACCIONES 320103'!O139</f>
        <v>233615303.68950722</v>
      </c>
      <c r="O19" s="934"/>
      <c r="P19" s="942">
        <f>+'ACCIONES 320103'!Q139</f>
        <v>614036033.64002168</v>
      </c>
    </row>
    <row r="20" spans="1:16" ht="26.25" thickBot="1">
      <c r="B20" s="55" t="s">
        <v>581</v>
      </c>
      <c r="C20" s="518" t="s">
        <v>215</v>
      </c>
      <c r="D20" s="21">
        <v>30</v>
      </c>
      <c r="E20" s="531">
        <f>+'ACCIONES 320103'!F171</f>
        <v>0</v>
      </c>
      <c r="F20" s="531">
        <f>+'ACCIONES 320103'!G171</f>
        <v>0</v>
      </c>
      <c r="G20" s="531">
        <f>+'ACCIONES 320103'!H171</f>
        <v>67842617.106360003</v>
      </c>
      <c r="H20" s="531">
        <f>+'ACCIONES 320103'!I171</f>
        <v>0</v>
      </c>
      <c r="I20" s="958">
        <f>+'ACCIONES 320103'!J171</f>
        <v>67842617.106360003</v>
      </c>
      <c r="J20" s="32">
        <f t="shared" si="1"/>
        <v>0</v>
      </c>
      <c r="K20" s="957">
        <f>+'ACCIONES 320103'!L171</f>
        <v>0</v>
      </c>
      <c r="L20" s="531">
        <f>+'ACCIONES 320103'!M171</f>
        <v>0</v>
      </c>
      <c r="M20" s="531">
        <f>+'ACCIONES 320103'!N171</f>
        <v>0</v>
      </c>
      <c r="N20" s="958">
        <f>+'ACCIONES 320103'!O171</f>
        <v>0</v>
      </c>
      <c r="O20" s="934"/>
      <c r="P20" s="943">
        <f>+'ACCIONES 320103'!Q171</f>
        <v>67842617.106360003</v>
      </c>
    </row>
    <row r="21" spans="1:16" ht="51.75" thickBot="1">
      <c r="A21" s="208">
        <v>3201008</v>
      </c>
      <c r="B21" s="527" t="s">
        <v>265</v>
      </c>
      <c r="C21" s="522" t="s">
        <v>211</v>
      </c>
      <c r="D21" s="534">
        <v>120</v>
      </c>
      <c r="E21" s="535">
        <f>+E22+E23</f>
        <v>0</v>
      </c>
      <c r="F21" s="535">
        <f>+F22+F23</f>
        <v>0</v>
      </c>
      <c r="G21" s="535">
        <f t="shared" ref="G21:H21" si="6">+G22+G23</f>
        <v>0</v>
      </c>
      <c r="H21" s="535">
        <f t="shared" si="6"/>
        <v>0</v>
      </c>
      <c r="I21" s="524">
        <f>+'ACCIONES 320103'!J181</f>
        <v>0</v>
      </c>
      <c r="J21" s="32">
        <f t="shared" si="1"/>
        <v>0</v>
      </c>
      <c r="K21" s="959">
        <f>+'ACCIONES 320103'!L181</f>
        <v>0</v>
      </c>
      <c r="L21" s="535">
        <f>+'ACCIONES 320103'!M181</f>
        <v>0</v>
      </c>
      <c r="M21" s="535">
        <f>+'ACCIONES 320103'!N181</f>
        <v>8189868.9600000009</v>
      </c>
      <c r="N21" s="960">
        <f>+'ACCIONES 320103'!O181</f>
        <v>8189868.9600000009</v>
      </c>
      <c r="O21" s="934"/>
      <c r="P21" s="944">
        <f>+'ACCIONES 320103'!Q181</f>
        <v>8189868.9600000009</v>
      </c>
    </row>
    <row r="22" spans="1:16" ht="25.5">
      <c r="B22" s="532" t="s">
        <v>266</v>
      </c>
      <c r="C22" s="761" t="s">
        <v>211</v>
      </c>
      <c r="D22" s="533">
        <v>120</v>
      </c>
      <c r="E22" s="530">
        <f>+'ACCIONES 320103'!F182</f>
        <v>0</v>
      </c>
      <c r="F22" s="530">
        <f>+'ACCIONES 320103'!G182</f>
        <v>0</v>
      </c>
      <c r="G22" s="530">
        <f>+'ACCIONES 320103'!H182</f>
        <v>0</v>
      </c>
      <c r="H22" s="530">
        <f>+'ACCIONES 320103'!I182</f>
        <v>0</v>
      </c>
      <c r="I22" s="956">
        <f>+'ACCIONES 320103'!J182</f>
        <v>0</v>
      </c>
      <c r="J22" s="32">
        <f t="shared" si="1"/>
        <v>0</v>
      </c>
      <c r="K22" s="955">
        <f>+'ACCIONES 320103'!L182</f>
        <v>0</v>
      </c>
      <c r="L22" s="530">
        <f>+'ACCIONES 320103'!M182</f>
        <v>0</v>
      </c>
      <c r="M22" s="530">
        <f>+'ACCIONES 320103'!N182</f>
        <v>8189868.9600000009</v>
      </c>
      <c r="N22" s="956">
        <f>+'ACCIONES 320103'!O182</f>
        <v>8189868.9600000009</v>
      </c>
      <c r="O22" s="934"/>
      <c r="P22" s="942">
        <f>+'ACCIONES 320103'!Q182</f>
        <v>8189868.9600000009</v>
      </c>
    </row>
    <row r="23" spans="1:16" ht="26.25" thickBot="1">
      <c r="B23" s="536" t="s">
        <v>267</v>
      </c>
      <c r="C23" s="21" t="s">
        <v>211</v>
      </c>
      <c r="D23" s="537">
        <v>120</v>
      </c>
      <c r="E23" s="531">
        <f>+'ACCIONES 320103'!F186</f>
        <v>0</v>
      </c>
      <c r="F23" s="531">
        <f>+'ACCIONES 320103'!G186</f>
        <v>0</v>
      </c>
      <c r="G23" s="531">
        <f>+'ACCIONES 320103'!H186</f>
        <v>0</v>
      </c>
      <c r="H23" s="531">
        <f>+'ACCIONES 320103'!I186</f>
        <v>0</v>
      </c>
      <c r="I23" s="958">
        <f>+'ACCIONES 320103'!J186</f>
        <v>0</v>
      </c>
      <c r="J23" s="32">
        <f t="shared" si="1"/>
        <v>0</v>
      </c>
      <c r="K23" s="957">
        <f>+'ACCIONES 320103'!L186</f>
        <v>0</v>
      </c>
      <c r="L23" s="531">
        <f>+'ACCIONES 320103'!M186</f>
        <v>0</v>
      </c>
      <c r="M23" s="531">
        <f>+'ACCIONES 320103'!N186</f>
        <v>0</v>
      </c>
      <c r="N23" s="958">
        <f>+'ACCIONES 320103'!O186</f>
        <v>0</v>
      </c>
      <c r="O23" s="934"/>
      <c r="P23" s="943">
        <f>+'ACCIONES 320103'!Q186</f>
        <v>0</v>
      </c>
    </row>
    <row r="24" spans="1:16" ht="26.25" thickBot="1">
      <c r="A24" s="208">
        <v>3201008</v>
      </c>
      <c r="B24" s="527" t="s">
        <v>269</v>
      </c>
      <c r="C24" s="522" t="s">
        <v>211</v>
      </c>
      <c r="D24" s="522">
        <v>1</v>
      </c>
      <c r="E24" s="523">
        <f>+E25+E26</f>
        <v>0</v>
      </c>
      <c r="F24" s="523">
        <f t="shared" ref="F24:G24" si="7">+F25+F26</f>
        <v>0</v>
      </c>
      <c r="G24" s="523">
        <f t="shared" si="7"/>
        <v>0</v>
      </c>
      <c r="H24" s="523">
        <f>+H25+H26</f>
        <v>0</v>
      </c>
      <c r="I24" s="524">
        <f>+'ACCIONES 320103'!J190</f>
        <v>0</v>
      </c>
      <c r="J24" s="32">
        <f t="shared" si="1"/>
        <v>0</v>
      </c>
      <c r="K24" s="951">
        <f>+'ACCIONES 320103'!L190</f>
        <v>0</v>
      </c>
      <c r="L24" s="523">
        <f>+'ACCIONES 320103'!M190</f>
        <v>0</v>
      </c>
      <c r="M24" s="523">
        <f>+'ACCIONES 320103'!N190</f>
        <v>0</v>
      </c>
      <c r="N24" s="524">
        <f>+'ACCIONES 320103'!O190</f>
        <v>0</v>
      </c>
      <c r="O24" s="933"/>
      <c r="P24" s="939">
        <f>+'ACCIONES 320103'!Q190</f>
        <v>0</v>
      </c>
    </row>
    <row r="25" spans="1:16" ht="25.5">
      <c r="B25" s="532" t="s">
        <v>270</v>
      </c>
      <c r="C25" s="761" t="s">
        <v>211</v>
      </c>
      <c r="D25" s="761">
        <v>1</v>
      </c>
      <c r="E25" s="26">
        <f>+'ACCIONES 320103'!F191</f>
        <v>0</v>
      </c>
      <c r="F25" s="26">
        <f>+'ACCIONES 320103'!G191</f>
        <v>0</v>
      </c>
      <c r="G25" s="26">
        <f>+'ACCIONES 320103'!H191</f>
        <v>0</v>
      </c>
      <c r="H25" s="26">
        <f>+'ACCIONES 320103'!I191</f>
        <v>0</v>
      </c>
      <c r="I25" s="27">
        <f>+'ACCIONES 320103'!J191</f>
        <v>0</v>
      </c>
      <c r="J25" s="32">
        <f t="shared" si="1"/>
        <v>0</v>
      </c>
      <c r="K25" s="952">
        <f>+'ACCIONES 320103'!L191</f>
        <v>0</v>
      </c>
      <c r="L25" s="26">
        <f>+'ACCIONES 320103'!M191</f>
        <v>0</v>
      </c>
      <c r="M25" s="26">
        <f>+'ACCIONES 320103'!N191</f>
        <v>0</v>
      </c>
      <c r="N25" s="27">
        <f>+'ACCIONES 320103'!O191</f>
        <v>0</v>
      </c>
      <c r="O25" s="933"/>
      <c r="P25" s="940">
        <f>+'ACCIONES 320103'!Q191</f>
        <v>0</v>
      </c>
    </row>
    <row r="26" spans="1:16" ht="26.25" thickBot="1">
      <c r="B26" s="536" t="s">
        <v>271</v>
      </c>
      <c r="C26" s="21" t="s">
        <v>210</v>
      </c>
      <c r="D26" s="21">
        <v>1</v>
      </c>
      <c r="E26" s="529">
        <f>+'ACCIONES 320103'!F186</f>
        <v>0</v>
      </c>
      <c r="F26" s="529">
        <f>+'ACCIONES 320103'!G186</f>
        <v>0</v>
      </c>
      <c r="G26" s="529">
        <f>+'ACCIONES 320103'!H186</f>
        <v>0</v>
      </c>
      <c r="H26" s="529">
        <f>+'ACCIONES 320103'!I186</f>
        <v>0</v>
      </c>
      <c r="I26" s="954">
        <f>+'ACCIONES 320103'!J186</f>
        <v>0</v>
      </c>
      <c r="J26" s="32">
        <f t="shared" si="1"/>
        <v>0</v>
      </c>
      <c r="K26" s="953">
        <f>+'ACCIONES 320103'!L195</f>
        <v>0</v>
      </c>
      <c r="L26" s="529">
        <f>+'ACCIONES 320103'!M195</f>
        <v>0</v>
      </c>
      <c r="M26" s="529">
        <f>+'ACCIONES 320103'!N195</f>
        <v>0</v>
      </c>
      <c r="N26" s="954">
        <f>+'ACCIONES 320103'!O195</f>
        <v>0</v>
      </c>
      <c r="O26" s="933"/>
      <c r="P26" s="941">
        <f>+'ACCIONES 320103'!Q195</f>
        <v>0</v>
      </c>
    </row>
    <row r="27" spans="1:16" ht="26.25" thickBot="1">
      <c r="A27" s="208">
        <v>3201008</v>
      </c>
      <c r="B27" s="527" t="s">
        <v>272</v>
      </c>
      <c r="C27" s="522" t="s">
        <v>211</v>
      </c>
      <c r="D27" s="522">
        <v>1</v>
      </c>
      <c r="E27" s="523">
        <f>+E28</f>
        <v>0</v>
      </c>
      <c r="F27" s="523">
        <f t="shared" ref="F27:H27" si="8">+F28</f>
        <v>0</v>
      </c>
      <c r="G27" s="523">
        <f t="shared" si="8"/>
        <v>0</v>
      </c>
      <c r="H27" s="523">
        <f t="shared" si="8"/>
        <v>0</v>
      </c>
      <c r="I27" s="524">
        <f>+'ACCIONES 320103'!J199</f>
        <v>0</v>
      </c>
      <c r="J27" s="32">
        <f t="shared" si="1"/>
        <v>0</v>
      </c>
      <c r="K27" s="984">
        <f>+'ACCIONES 320103'!L199</f>
        <v>0</v>
      </c>
      <c r="L27" s="711">
        <f>+'ACCIONES 320103'!M199</f>
        <v>0</v>
      </c>
      <c r="M27" s="711">
        <f>+'ACCIONES 320103'!N199</f>
        <v>81855084.876000002</v>
      </c>
      <c r="N27" s="712">
        <f>+'ACCIONES 320103'!O199</f>
        <v>81855084.876000002</v>
      </c>
      <c r="O27" s="933">
        <f>+'ACCIONES 320103'!P199</f>
        <v>0</v>
      </c>
      <c r="P27" s="712">
        <f>+'ACCIONES 320103'!Q200</f>
        <v>81855084.876000002</v>
      </c>
    </row>
    <row r="28" spans="1:16" ht="39" thickBot="1">
      <c r="B28" s="538" t="s">
        <v>386</v>
      </c>
      <c r="C28" s="518" t="s">
        <v>211</v>
      </c>
      <c r="D28" s="518">
        <v>1</v>
      </c>
      <c r="E28" s="519">
        <f>+'ACCIONES 320103'!F200</f>
        <v>0</v>
      </c>
      <c r="F28" s="519">
        <f>+'ACCIONES 320103'!G200</f>
        <v>0</v>
      </c>
      <c r="G28" s="519">
        <f>+'ACCIONES 320103'!H200</f>
        <v>0</v>
      </c>
      <c r="H28" s="519">
        <f>+'ACCIONES 320103'!I200</f>
        <v>0</v>
      </c>
      <c r="I28" s="520">
        <f>+'ACCIONES 320103'!J200</f>
        <v>0</v>
      </c>
      <c r="J28" s="32">
        <f t="shared" si="1"/>
        <v>0</v>
      </c>
      <c r="K28" s="980">
        <f>+'ACCIONES 320103'!L200</f>
        <v>0</v>
      </c>
      <c r="L28" s="28">
        <f>+'ACCIONES 320103'!M200</f>
        <v>0</v>
      </c>
      <c r="M28" s="28">
        <f>+'ACCIONES 320103'!N200</f>
        <v>81855084.876000002</v>
      </c>
      <c r="N28" s="129">
        <f>+'ACCIONES 320103'!O200</f>
        <v>81855084.876000002</v>
      </c>
      <c r="O28" s="933"/>
      <c r="P28" s="938">
        <f>+'ACCIONES 320103'!Q200</f>
        <v>81855084.876000002</v>
      </c>
    </row>
    <row r="29" spans="1:16" ht="39" thickBot="1">
      <c r="A29" s="204">
        <v>3201026</v>
      </c>
      <c r="B29" s="539" t="s">
        <v>275</v>
      </c>
      <c r="C29" s="522" t="s">
        <v>215</v>
      </c>
      <c r="D29" s="522">
        <v>100</v>
      </c>
      <c r="E29" s="523">
        <f>+E30</f>
        <v>0</v>
      </c>
      <c r="F29" s="523">
        <f t="shared" ref="F29:H29" si="9">+F30</f>
        <v>0</v>
      </c>
      <c r="G29" s="523">
        <f>+G30</f>
        <v>24254612.219999999</v>
      </c>
      <c r="H29" s="523">
        <f t="shared" si="9"/>
        <v>0</v>
      </c>
      <c r="I29" s="524">
        <f>+'ACCIONES 320103'!J204</f>
        <v>24254612.219999999</v>
      </c>
      <c r="J29" s="32">
        <f t="shared" si="1"/>
        <v>0</v>
      </c>
      <c r="K29" s="1799">
        <f>+'ACCIONES 320103'!L204</f>
        <v>0</v>
      </c>
      <c r="L29" s="1800">
        <f>+'ACCIONES 320103'!M204</f>
        <v>7242077.6200000001</v>
      </c>
      <c r="M29" s="1800">
        <f>+'ACCIONES 320103'!N204</f>
        <v>10082645</v>
      </c>
      <c r="N29" s="1801">
        <f>+'ACCIONES 320103'!O204</f>
        <v>17324722.620000001</v>
      </c>
      <c r="O29" s="933"/>
      <c r="P29" s="939">
        <f>+'ACCIONES 320103'!Q204</f>
        <v>41579334.840000004</v>
      </c>
    </row>
    <row r="30" spans="1:16" ht="26.25" thickBot="1">
      <c r="B30" s="538" t="s">
        <v>273</v>
      </c>
      <c r="C30" s="518" t="s">
        <v>215</v>
      </c>
      <c r="D30" s="518">
        <v>100</v>
      </c>
      <c r="E30" s="540">
        <f>+'ACCIONES 320103'!F205</f>
        <v>0</v>
      </c>
      <c r="F30" s="540">
        <f>+'ACCIONES 320103'!G205</f>
        <v>0</v>
      </c>
      <c r="G30" s="540">
        <f>+'ACCIONES 320103'!H205</f>
        <v>24254612.219999999</v>
      </c>
      <c r="H30" s="540">
        <f>+'ACCIONES 320103'!I205</f>
        <v>0</v>
      </c>
      <c r="I30" s="520">
        <f>+'ACCIONES 320103'!J205</f>
        <v>24254612.219999999</v>
      </c>
      <c r="J30" s="32">
        <f t="shared" si="1"/>
        <v>0</v>
      </c>
      <c r="K30" s="961">
        <f>+'ACCIONES 320103'!L205</f>
        <v>0</v>
      </c>
      <c r="L30" s="540">
        <f>+'ACCIONES 320103'!M205</f>
        <v>7242077.6200000001</v>
      </c>
      <c r="M30" s="540">
        <f>+'ACCIONES 320103'!N205</f>
        <v>10082645</v>
      </c>
      <c r="N30" s="962">
        <f>+'ACCIONES 320103'!O205</f>
        <v>17324722.620000001</v>
      </c>
      <c r="O30" s="935"/>
      <c r="P30" s="945">
        <f>+'ACCIONES 320103'!Q205</f>
        <v>41579334.840000004</v>
      </c>
    </row>
    <row r="31" spans="1:16" ht="39" thickBot="1">
      <c r="A31" s="204">
        <v>3201026</v>
      </c>
      <c r="B31" s="539" t="s">
        <v>276</v>
      </c>
      <c r="C31" s="522" t="s">
        <v>215</v>
      </c>
      <c r="D31" s="522">
        <v>100</v>
      </c>
      <c r="E31" s="523">
        <f>+E32</f>
        <v>0</v>
      </c>
      <c r="F31" s="523">
        <f>+F32</f>
        <v>20948279</v>
      </c>
      <c r="G31" s="523">
        <f t="shared" ref="G31:H31" si="10">+G32</f>
        <v>0</v>
      </c>
      <c r="H31" s="523">
        <f t="shared" si="10"/>
        <v>0</v>
      </c>
      <c r="I31" s="524">
        <f>+'ACCIONES 320103'!J209</f>
        <v>20948279</v>
      </c>
      <c r="J31" s="32">
        <f t="shared" si="1"/>
        <v>0</v>
      </c>
      <c r="K31" s="951">
        <f>+'ACCIONES 320103'!L209</f>
        <v>0</v>
      </c>
      <c r="L31" s="523">
        <f>+'ACCIONES 320103'!M209</f>
        <v>0</v>
      </c>
      <c r="M31" s="523">
        <f>+'ACCIONES 320103'!N209</f>
        <v>0</v>
      </c>
      <c r="N31" s="524">
        <f>+'ACCIONES 320103'!O209</f>
        <v>0</v>
      </c>
      <c r="O31" s="933"/>
      <c r="P31" s="939">
        <f>+'ACCIONES 320103'!Q209</f>
        <v>20948279</v>
      </c>
    </row>
    <row r="32" spans="1:16" ht="26.25" thickBot="1">
      <c r="B32" s="538" t="s">
        <v>274</v>
      </c>
      <c r="C32" s="518" t="s">
        <v>215</v>
      </c>
      <c r="D32" s="518">
        <v>100</v>
      </c>
      <c r="E32" s="540">
        <f>+'ACCIONES 320103'!F210</f>
        <v>0</v>
      </c>
      <c r="F32" s="540">
        <f>+'ACCIONES 320103'!G210</f>
        <v>20948279</v>
      </c>
      <c r="G32" s="540">
        <f>+'ACCIONES 320103'!H210</f>
        <v>0</v>
      </c>
      <c r="H32" s="540">
        <f>+'ACCIONES 320103'!I210</f>
        <v>0</v>
      </c>
      <c r="I32" s="520">
        <f>+'ACCIONES 320103'!J210</f>
        <v>20948279</v>
      </c>
      <c r="J32" s="32">
        <f t="shared" si="1"/>
        <v>0</v>
      </c>
      <c r="K32" s="961">
        <f>+'ACCIONES 320103'!L210</f>
        <v>0</v>
      </c>
      <c r="L32" s="540">
        <f>+'ACCIONES 320103'!M210</f>
        <v>0</v>
      </c>
      <c r="M32" s="540">
        <f>+'ACCIONES 320103'!N210</f>
        <v>0</v>
      </c>
      <c r="N32" s="962">
        <f>+'ACCIONES 320103'!O210</f>
        <v>0</v>
      </c>
      <c r="O32" s="935"/>
      <c r="P32" s="945">
        <f>+'ACCIONES 320103'!Q210</f>
        <v>20948279</v>
      </c>
    </row>
    <row r="33" spans="1:16" ht="26.25" thickBot="1">
      <c r="A33" s="204">
        <v>3201022</v>
      </c>
      <c r="B33" s="527" t="s">
        <v>38</v>
      </c>
      <c r="C33" s="473" t="s">
        <v>210</v>
      </c>
      <c r="D33" s="473">
        <v>1</v>
      </c>
      <c r="E33" s="542">
        <f>+E34+E35</f>
        <v>0</v>
      </c>
      <c r="F33" s="542">
        <f t="shared" ref="F33:H33" si="11">+F34+F35</f>
        <v>1308679252</v>
      </c>
      <c r="G33" s="542">
        <f>+G34+G35</f>
        <v>777023479.24937296</v>
      </c>
      <c r="H33" s="542">
        <f t="shared" si="11"/>
        <v>0</v>
      </c>
      <c r="I33" s="543">
        <f>+'ACCIONES 320103'!J214</f>
        <v>2085702731.249373</v>
      </c>
      <c r="J33" s="32">
        <f t="shared" si="1"/>
        <v>0</v>
      </c>
      <c r="K33" s="963">
        <f>+'ACCIONES 320103'!L214</f>
        <v>0</v>
      </c>
      <c r="L33" s="542">
        <f>+'ACCIONES 320103'!M214</f>
        <v>65537966</v>
      </c>
      <c r="M33" s="542">
        <f>+'ACCIONES 320103'!N214</f>
        <v>142591793</v>
      </c>
      <c r="N33" s="543">
        <f>+'ACCIONES 320103'!O214</f>
        <v>208129759</v>
      </c>
      <c r="O33" s="936"/>
      <c r="P33" s="946">
        <f>+'ACCIONES 320103'!Q214</f>
        <v>2293832490.249373</v>
      </c>
    </row>
    <row r="34" spans="1:16" ht="25.5">
      <c r="B34" s="513" t="s">
        <v>424</v>
      </c>
      <c r="C34" s="126" t="s">
        <v>210</v>
      </c>
      <c r="D34" s="126">
        <v>1</v>
      </c>
      <c r="E34" s="541">
        <f>+'ACCIONES 320103'!F216</f>
        <v>0</v>
      </c>
      <c r="F34" s="541">
        <f>+'ACCIONES 320103'!G216</f>
        <v>886550</v>
      </c>
      <c r="G34" s="541">
        <f>+'ACCIONES 320103'!H216</f>
        <v>46034197.249372996</v>
      </c>
      <c r="H34" s="541">
        <f>+'ACCIONES 320103'!I216</f>
        <v>0</v>
      </c>
      <c r="I34" s="27">
        <f>+'ACCIONES 320103'!J215</f>
        <v>46920747.249372996</v>
      </c>
      <c r="J34" s="32">
        <f t="shared" si="1"/>
        <v>0</v>
      </c>
      <c r="K34" s="964">
        <f>+'ACCIONES 320103'!L215</f>
        <v>0</v>
      </c>
      <c r="L34" s="541">
        <f>+'ACCIONES 320103'!M215</f>
        <v>65537966</v>
      </c>
      <c r="M34" s="541">
        <f>+'ACCIONES 320103'!N215</f>
        <v>142591793</v>
      </c>
      <c r="N34" s="965">
        <f>+'ACCIONES 320103'!O215</f>
        <v>208129759</v>
      </c>
      <c r="O34" s="936"/>
      <c r="P34" s="947">
        <f>+'ACCIONES 320103'!Q215</f>
        <v>2293832490.249373</v>
      </c>
    </row>
    <row r="35" spans="1:16" ht="15.75" customHeight="1" thickBot="1">
      <c r="B35" s="968" t="s">
        <v>277</v>
      </c>
      <c r="C35" s="171" t="s">
        <v>210</v>
      </c>
      <c r="D35" s="171">
        <v>1</v>
      </c>
      <c r="E35" s="969"/>
      <c r="F35" s="969">
        <v>1307792702</v>
      </c>
      <c r="G35" s="969">
        <v>730989282</v>
      </c>
      <c r="H35" s="969">
        <v>0</v>
      </c>
      <c r="I35" s="970">
        <f>+'ACCIONES 320103'!J217</f>
        <v>2038781984</v>
      </c>
      <c r="J35" s="32">
        <f t="shared" si="1"/>
        <v>0</v>
      </c>
      <c r="K35" s="966">
        <f>+'ACCIONES 320103'!L217</f>
        <v>0</v>
      </c>
      <c r="L35" s="339">
        <f>+'ACCIONES 320103'!M217</f>
        <v>52165589</v>
      </c>
      <c r="M35" s="339">
        <f>+'ACCIONES 320103'!N217</f>
        <v>42014603</v>
      </c>
      <c r="N35" s="967">
        <f>+'ACCIONES 320103'!O217</f>
        <v>94180192</v>
      </c>
      <c r="O35" s="936"/>
      <c r="P35" s="948">
        <f>+'ACCIONES 320103'!Q217</f>
        <v>2132962176</v>
      </c>
    </row>
    <row r="36" spans="1:16" ht="15.75" thickBot="1">
      <c r="B36" s="2366" t="s">
        <v>278</v>
      </c>
      <c r="C36" s="2367"/>
      <c r="D36" s="2367"/>
      <c r="E36" s="1412">
        <f>+E33+E31+E29+E27+E24+E21+E18+E15+E13+E11+E7+E9</f>
        <v>119398405.88213778</v>
      </c>
      <c r="F36" s="1412">
        <f t="shared" ref="F36:G36" si="12">+F33+F31+F29+F27+F24+F21+F18+F15+F13+F11+F7+F9</f>
        <v>2445051484.2466269</v>
      </c>
      <c r="G36" s="1412">
        <f t="shared" si="12"/>
        <v>1067173833.844424</v>
      </c>
      <c r="H36" s="1412">
        <f>+H33+H31+H29+H27+H24+H21+H18+H15+H13+H11+H7+H9</f>
        <v>41526728.199999996</v>
      </c>
      <c r="I36" s="1413">
        <f>+I33+I31+I29+I27+I24+I21+I18+I15+I13+I11+I7+I9</f>
        <v>3673150452.1251888</v>
      </c>
      <c r="J36" s="32">
        <f t="shared" si="1"/>
        <v>4.7999382019042969E-2</v>
      </c>
      <c r="K36" s="1414">
        <f>+'ACCIONES 320103'!L218</f>
        <v>31176086.936000001</v>
      </c>
      <c r="L36" s="1412">
        <f>+'ACCIONES 320103'!M218</f>
        <v>191702073.44000003</v>
      </c>
      <c r="M36" s="1412">
        <f>+'ACCIONES 320103'!N218</f>
        <v>457785676.57999998</v>
      </c>
      <c r="N36" s="1413">
        <f>+'ACCIONES 320103'!O218</f>
        <v>680663836.95599985</v>
      </c>
      <c r="O36" s="911"/>
      <c r="P36" s="1415">
        <f>+'ACCIONES 320103'!Q218</f>
        <v>4353814289.0811882</v>
      </c>
    </row>
    <row r="37" spans="1:16" ht="15.75" thickBot="1">
      <c r="E37" s="32"/>
      <c r="F37" s="32"/>
      <c r="G37" s="32"/>
      <c r="H37" s="32"/>
      <c r="K37" s="32"/>
      <c r="L37" s="32"/>
      <c r="M37" s="32"/>
    </row>
    <row r="38" spans="1:16" ht="15.75" thickBot="1">
      <c r="E38" s="700">
        <v>119398405.99999999</v>
      </c>
      <c r="F38" s="700">
        <v>2445051484.0000005</v>
      </c>
      <c r="G38" s="700">
        <v>1067173834</v>
      </c>
      <c r="H38" s="700">
        <v>41526728</v>
      </c>
      <c r="I38" s="700">
        <v>3673150452.0000005</v>
      </c>
      <c r="K38" s="917">
        <v>31176087</v>
      </c>
      <c r="L38" s="917">
        <v>191702073</v>
      </c>
      <c r="M38" s="917">
        <v>457785678</v>
      </c>
      <c r="N38" s="918">
        <v>680663838</v>
      </c>
      <c r="O38" s="1"/>
      <c r="P38" s="918">
        <v>4353814289.9021378</v>
      </c>
    </row>
    <row r="40" spans="1:16">
      <c r="E40" s="32">
        <f>+E38-E36</f>
        <v>0.11786220967769623</v>
      </c>
      <c r="F40" s="32">
        <f t="shared" ref="F40:I40" si="13">+F38-F36</f>
        <v>-0.24662637710571289</v>
      </c>
      <c r="G40" s="32">
        <f t="shared" si="13"/>
        <v>0.15557599067687988</v>
      </c>
      <c r="H40" s="32">
        <f t="shared" si="13"/>
        <v>-0.19999999552965164</v>
      </c>
      <c r="I40" s="32">
        <f t="shared" si="13"/>
        <v>-0.12518835067749023</v>
      </c>
      <c r="K40" s="32">
        <f>+K38-K36</f>
        <v>6.3999999314546585E-2</v>
      </c>
      <c r="L40" s="32">
        <f>+L38-L36</f>
        <v>-0.4400000274181366</v>
      </c>
      <c r="M40" s="32">
        <f t="shared" ref="M40:N40" si="14">+M38-M36</f>
        <v>1.4200000166893005</v>
      </c>
      <c r="N40" s="32">
        <f t="shared" si="14"/>
        <v>1.0440001487731934</v>
      </c>
      <c r="P40" s="32">
        <f>+P38-P36</f>
        <v>0.82094955444335938</v>
      </c>
    </row>
    <row r="42" spans="1:16">
      <c r="F42" s="32">
        <v>2636753557.6866298</v>
      </c>
    </row>
  </sheetData>
  <mergeCells count="16">
    <mergeCell ref="A4:A6"/>
    <mergeCell ref="A1:I1"/>
    <mergeCell ref="A2:I2"/>
    <mergeCell ref="E5:H5"/>
    <mergeCell ref="I5:I6"/>
    <mergeCell ref="B36:D36"/>
    <mergeCell ref="B4:B6"/>
    <mergeCell ref="C4:I4"/>
    <mergeCell ref="C5:C6"/>
    <mergeCell ref="D5:D6"/>
    <mergeCell ref="K4:M4"/>
    <mergeCell ref="N4:N6"/>
    <mergeCell ref="P4:P6"/>
    <mergeCell ref="K5:K6"/>
    <mergeCell ref="L5:L6"/>
    <mergeCell ref="M5:M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theme="7" tint="0.59999389629810485"/>
  </sheetPr>
  <dimension ref="A1:AQ222"/>
  <sheetViews>
    <sheetView zoomScale="86" zoomScaleNormal="86" workbookViewId="0">
      <pane ySplit="6" topLeftCell="A196" activePane="bottomLeft" state="frozen"/>
      <selection pane="bottomLeft" activeCell="L230" sqref="L230"/>
    </sheetView>
  </sheetViews>
  <sheetFormatPr baseColWidth="10" defaultColWidth="11.42578125" defaultRowHeight="12.75"/>
  <cols>
    <col min="1" max="1" width="42.140625" style="1" customWidth="1"/>
    <col min="2" max="2" width="24.140625" style="1" hidden="1" customWidth="1"/>
    <col min="3" max="3" width="12.85546875" style="1" hidden="1" customWidth="1"/>
    <col min="4" max="4" width="8" style="182" hidden="1" customWidth="1"/>
    <col min="5" max="5" width="10.42578125" style="182" hidden="1" customWidth="1"/>
    <col min="6" max="6" width="12.7109375" style="182" bestFit="1" customWidth="1"/>
    <col min="7" max="7" width="17.28515625" style="182" customWidth="1"/>
    <col min="8" max="8" width="15" style="182" customWidth="1"/>
    <col min="9" max="9" width="12" style="182" customWidth="1"/>
    <col min="10" max="10" width="18" style="184" customWidth="1"/>
    <col min="11" max="11" width="1" style="274" customWidth="1"/>
    <col min="12" max="13" width="14.28515625" style="1" customWidth="1"/>
    <col min="14" max="14" width="12.28515625" style="1" customWidth="1"/>
    <col min="15" max="15" width="18.42578125" style="1" customWidth="1"/>
    <col min="16" max="16" width="0.5703125" style="1" customWidth="1"/>
    <col min="17" max="17" width="17" style="1" customWidth="1"/>
    <col min="18" max="18" width="17.140625" style="1" customWidth="1"/>
    <col min="19" max="19" width="12.85546875" style="1" bestFit="1" customWidth="1"/>
    <col min="20" max="20" width="11.42578125" style="1"/>
    <col min="21" max="21" width="13.42578125" style="1" customWidth="1"/>
    <col min="22" max="16384" width="11.42578125" style="1"/>
  </cols>
  <sheetData>
    <row r="1" spans="1:21" ht="15" customHeight="1">
      <c r="A1" s="2311" t="s">
        <v>416</v>
      </c>
      <c r="B1" s="2311"/>
      <c r="C1" s="2311"/>
      <c r="D1" s="2311"/>
      <c r="E1" s="2311"/>
      <c r="F1" s="2311"/>
      <c r="G1" s="2311"/>
      <c r="H1" s="2311"/>
      <c r="I1" s="2311"/>
      <c r="J1" s="1"/>
      <c r="K1" s="1"/>
      <c r="R1" s="1663"/>
    </row>
    <row r="2" spans="1:21" ht="15" customHeight="1">
      <c r="A2" s="2311" t="s">
        <v>180</v>
      </c>
      <c r="B2" s="2311"/>
      <c r="C2" s="2311"/>
      <c r="D2" s="2311"/>
      <c r="E2" s="2311"/>
      <c r="F2" s="2311"/>
      <c r="G2" s="2311"/>
      <c r="H2" s="2311"/>
      <c r="I2" s="2311"/>
      <c r="J2" s="1">
        <f>14970120/7.5</f>
        <v>1996016</v>
      </c>
      <c r="K2" s="1"/>
      <c r="R2" s="1664"/>
      <c r="S2" s="418"/>
      <c r="T2" s="418"/>
      <c r="U2" s="418"/>
    </row>
    <row r="3" spans="1:21" customFormat="1" ht="16.5" thickBot="1">
      <c r="B3" s="506"/>
      <c r="R3" s="1664"/>
      <c r="S3" s="418"/>
      <c r="T3" s="418"/>
      <c r="U3" s="418"/>
    </row>
    <row r="4" spans="1:21" ht="12.75" customHeight="1" thickBot="1">
      <c r="A4" s="2380" t="s">
        <v>446</v>
      </c>
      <c r="B4" s="2383" t="s">
        <v>447</v>
      </c>
      <c r="C4" s="2383" t="s">
        <v>876</v>
      </c>
      <c r="D4" s="2383" t="s">
        <v>448</v>
      </c>
      <c r="E4" s="2383" t="s">
        <v>201</v>
      </c>
      <c r="F4" s="2384" t="s">
        <v>199</v>
      </c>
      <c r="G4" s="2385"/>
      <c r="H4" s="2385"/>
      <c r="I4" s="2386"/>
      <c r="J4" s="2377" t="s">
        <v>352</v>
      </c>
      <c r="L4" s="2308" t="s">
        <v>199</v>
      </c>
      <c r="M4" s="2309"/>
      <c r="N4" s="2310"/>
      <c r="O4" s="2344" t="s">
        <v>1005</v>
      </c>
      <c r="Q4" s="2344" t="s">
        <v>1006</v>
      </c>
      <c r="R4" s="1664"/>
      <c r="S4" s="418"/>
      <c r="T4" s="418"/>
      <c r="U4" s="418"/>
    </row>
    <row r="5" spans="1:21" ht="12.75" customHeight="1">
      <c r="A5" s="2381"/>
      <c r="B5" s="2338"/>
      <c r="C5" s="2338"/>
      <c r="D5" s="2338"/>
      <c r="E5" s="2338"/>
      <c r="F5" s="2330" t="s">
        <v>202</v>
      </c>
      <c r="G5" s="2330" t="s">
        <v>204</v>
      </c>
      <c r="H5" s="2330" t="s">
        <v>234</v>
      </c>
      <c r="I5" s="2330" t="s">
        <v>257</v>
      </c>
      <c r="J5" s="2378"/>
      <c r="L5" s="2330" t="s">
        <v>202</v>
      </c>
      <c r="M5" s="2330" t="s">
        <v>204</v>
      </c>
      <c r="N5" s="2330" t="s">
        <v>234</v>
      </c>
      <c r="O5" s="2372"/>
      <c r="Q5" s="2372"/>
      <c r="R5" s="1664"/>
      <c r="S5" s="418"/>
      <c r="T5" s="418"/>
      <c r="U5" s="418"/>
    </row>
    <row r="6" spans="1:21" ht="15.75" customHeight="1" thickBot="1">
      <c r="A6" s="2382"/>
      <c r="B6" s="2331"/>
      <c r="C6" s="2331"/>
      <c r="D6" s="2331"/>
      <c r="E6" s="2331"/>
      <c r="F6" s="2331"/>
      <c r="G6" s="2331"/>
      <c r="H6" s="2331"/>
      <c r="I6" s="2331"/>
      <c r="J6" s="2379"/>
      <c r="L6" s="2331"/>
      <c r="M6" s="2331"/>
      <c r="N6" s="2331"/>
      <c r="O6" s="2373"/>
      <c r="Q6" s="2373"/>
      <c r="R6" s="1664"/>
      <c r="S6" s="418"/>
      <c r="T6" s="418"/>
      <c r="U6" s="418"/>
    </row>
    <row r="7" spans="1:21" s="275" customFormat="1" ht="38.25" customHeight="1" thickBot="1">
      <c r="A7" s="1524" t="s">
        <v>46</v>
      </c>
      <c r="B7" s="1125"/>
      <c r="C7" s="1125"/>
      <c r="D7" s="1126" t="s">
        <v>215</v>
      </c>
      <c r="E7" s="1126">
        <v>100</v>
      </c>
      <c r="F7" s="1126"/>
      <c r="G7" s="1127">
        <f>+G8</f>
        <v>31025890</v>
      </c>
      <c r="H7" s="1127">
        <f t="shared" ref="H7:I7" si="0">+H8</f>
        <v>0</v>
      </c>
      <c r="I7" s="1127">
        <f t="shared" si="0"/>
        <v>0</v>
      </c>
      <c r="J7" s="1525">
        <f>+J8</f>
        <v>31025889.559999999</v>
      </c>
      <c r="K7" s="281"/>
      <c r="L7" s="1128">
        <f>+L8</f>
        <v>0</v>
      </c>
      <c r="M7" s="1126">
        <f>+M8</f>
        <v>6929889.1200000001</v>
      </c>
      <c r="N7" s="1126">
        <f t="shared" ref="N7" si="1">+N8</f>
        <v>0</v>
      </c>
      <c r="O7" s="1684">
        <f>+O8</f>
        <v>6929889.1200000001</v>
      </c>
      <c r="Q7" s="1129">
        <f>+Q8</f>
        <v>37955778.68</v>
      </c>
    </row>
    <row r="8" spans="1:21" s="275" customFormat="1" ht="38.25" customHeight="1">
      <c r="A8" s="1526" t="s">
        <v>258</v>
      </c>
      <c r="B8" s="1117"/>
      <c r="C8" s="1117"/>
      <c r="D8" s="1118" t="s">
        <v>215</v>
      </c>
      <c r="E8" s="1118">
        <v>100</v>
      </c>
      <c r="F8" s="1118"/>
      <c r="G8" s="1119">
        <f>SUM(G9:G14)</f>
        <v>31025890</v>
      </c>
      <c r="H8" s="1119">
        <f>SUM(H9:H14)</f>
        <v>0</v>
      </c>
      <c r="I8" s="1119">
        <f t="shared" ref="I8" si="2">SUM(I9:I14)</f>
        <v>0</v>
      </c>
      <c r="J8" s="1527">
        <f>SUM(J9:J14)</f>
        <v>31025889.559999999</v>
      </c>
      <c r="K8" s="281"/>
      <c r="L8" s="1120">
        <f>SUM(L9:L14)</f>
        <v>0</v>
      </c>
      <c r="M8" s="1118">
        <f t="shared" ref="M8:N8" si="3">SUM(M9:M14)</f>
        <v>6929889.1200000001</v>
      </c>
      <c r="N8" s="1118">
        <f t="shared" si="3"/>
        <v>0</v>
      </c>
      <c r="O8" s="1121">
        <f>SUM(O9:O14)</f>
        <v>6929889.1200000001</v>
      </c>
      <c r="Q8" s="1122">
        <f>SUM(Q9:Q14)</f>
        <v>37955778.68</v>
      </c>
    </row>
    <row r="9" spans="1:21" s="65" customFormat="1">
      <c r="A9" s="1528" t="s">
        <v>514</v>
      </c>
      <c r="B9" s="761" t="s">
        <v>237</v>
      </c>
      <c r="C9" s="30" t="s">
        <v>878</v>
      </c>
      <c r="D9" s="763"/>
      <c r="E9" s="763">
        <v>6.5</v>
      </c>
      <c r="F9" s="763"/>
      <c r="G9" s="438">
        <v>24096000</v>
      </c>
      <c r="H9" s="763"/>
      <c r="I9" s="763"/>
      <c r="J9" s="1529">
        <f>+G9</f>
        <v>24096000</v>
      </c>
      <c r="K9" s="672"/>
      <c r="L9" s="919"/>
      <c r="M9" s="763"/>
      <c r="N9" s="763"/>
      <c r="O9" s="920">
        <f>SUM(L9:N9)</f>
        <v>0</v>
      </c>
      <c r="Q9" s="930">
        <f t="shared" ref="Q9:Q14" si="4">+J9+O9</f>
        <v>24096000</v>
      </c>
    </row>
    <row r="10" spans="1:21" s="1628" customFormat="1" ht="25.5">
      <c r="A10" s="1528" t="s">
        <v>515</v>
      </c>
      <c r="B10" s="761" t="s">
        <v>237</v>
      </c>
      <c r="C10" s="30" t="s">
        <v>878</v>
      </c>
      <c r="D10" s="1627"/>
      <c r="E10" s="1627">
        <v>1</v>
      </c>
      <c r="F10" s="1627"/>
      <c r="G10" s="445">
        <v>3464945</v>
      </c>
      <c r="H10" s="1627"/>
      <c r="I10" s="1627"/>
      <c r="J10" s="1530">
        <f>3300000*1.0458*E10*1.004</f>
        <v>3464944.56</v>
      </c>
      <c r="K10" s="672"/>
      <c r="L10" s="919"/>
      <c r="M10" s="1627"/>
      <c r="N10" s="1627"/>
      <c r="O10" s="920">
        <f t="shared" ref="O10:O14" si="5">SUM(L10:N10)</f>
        <v>0</v>
      </c>
      <c r="Q10" s="930">
        <f t="shared" si="4"/>
        <v>3464944.56</v>
      </c>
    </row>
    <row r="11" spans="1:21" s="1628" customFormat="1">
      <c r="A11" s="1528"/>
      <c r="B11" s="761" t="s">
        <v>237</v>
      </c>
      <c r="C11" s="30" t="s">
        <v>878</v>
      </c>
      <c r="D11" s="1627"/>
      <c r="E11" s="1627">
        <v>1</v>
      </c>
      <c r="F11" s="1627"/>
      <c r="G11" s="438">
        <f t="shared" ref="G11:G12" si="6">+J11</f>
        <v>0</v>
      </c>
      <c r="H11" s="1627"/>
      <c r="I11" s="1627"/>
      <c r="J11" s="1531"/>
      <c r="K11" s="673"/>
      <c r="L11" s="919"/>
      <c r="M11" s="1627"/>
      <c r="N11" s="1627"/>
      <c r="O11" s="920">
        <f t="shared" si="5"/>
        <v>0</v>
      </c>
      <c r="Q11" s="930">
        <f t="shared" si="4"/>
        <v>0</v>
      </c>
    </row>
    <row r="12" spans="1:21" s="1628" customFormat="1">
      <c r="A12" s="1528" t="s">
        <v>1020</v>
      </c>
      <c r="B12" s="761" t="s">
        <v>237</v>
      </c>
      <c r="C12" s="30" t="s">
        <v>878</v>
      </c>
      <c r="D12" s="1627"/>
      <c r="E12" s="1627">
        <v>2</v>
      </c>
      <c r="F12" s="1627"/>
      <c r="G12" s="438">
        <f t="shared" si="6"/>
        <v>0</v>
      </c>
      <c r="H12" s="1627"/>
      <c r="I12" s="1627"/>
      <c r="J12" s="1531"/>
      <c r="K12" s="673"/>
      <c r="L12" s="919"/>
      <c r="M12" s="1678">
        <v>6929889.1200000001</v>
      </c>
      <c r="N12" s="1627"/>
      <c r="O12" s="920">
        <f t="shared" si="5"/>
        <v>6929889.1200000001</v>
      </c>
      <c r="Q12" s="930">
        <f t="shared" si="4"/>
        <v>6929889.1200000001</v>
      </c>
    </row>
    <row r="13" spans="1:21" ht="25.5">
      <c r="A13" s="1528" t="s">
        <v>518</v>
      </c>
      <c r="B13" s="761" t="s">
        <v>237</v>
      </c>
      <c r="C13" s="30" t="s">
        <v>878</v>
      </c>
      <c r="D13" s="763"/>
      <c r="E13" s="763">
        <v>1</v>
      </c>
      <c r="F13" s="763"/>
      <c r="G13" s="438">
        <v>3464945</v>
      </c>
      <c r="H13" s="438"/>
      <c r="I13" s="763"/>
      <c r="J13" s="1529">
        <f>+G13</f>
        <v>3464945</v>
      </c>
      <c r="K13" s="437"/>
      <c r="L13" s="919"/>
      <c r="M13" s="763"/>
      <c r="N13" s="763"/>
      <c r="O13" s="920">
        <f t="shared" si="5"/>
        <v>0</v>
      </c>
      <c r="Q13" s="930">
        <f t="shared" si="4"/>
        <v>3464945</v>
      </c>
    </row>
    <row r="14" spans="1:21">
      <c r="A14" s="1532"/>
      <c r="B14" s="761"/>
      <c r="C14" s="432"/>
      <c r="D14" s="763"/>
      <c r="E14" s="763"/>
      <c r="F14" s="763"/>
      <c r="G14" s="438"/>
      <c r="H14" s="763"/>
      <c r="I14" s="763"/>
      <c r="J14" s="1529"/>
      <c r="L14" s="919"/>
      <c r="M14" s="763"/>
      <c r="N14" s="763"/>
      <c r="O14" s="920">
        <f t="shared" si="5"/>
        <v>0</v>
      </c>
      <c r="Q14" s="930">
        <f t="shared" si="4"/>
        <v>0</v>
      </c>
    </row>
    <row r="15" spans="1:21" s="275" customFormat="1" ht="38.25" customHeight="1">
      <c r="A15" s="1533" t="s">
        <v>48</v>
      </c>
      <c r="B15" s="439"/>
      <c r="C15" s="439"/>
      <c r="D15" s="440" t="s">
        <v>215</v>
      </c>
      <c r="E15" s="440">
        <v>100</v>
      </c>
      <c r="F15" s="441">
        <f t="shared" ref="F15:I15" si="7">+F16</f>
        <v>0</v>
      </c>
      <c r="G15" s="441">
        <f t="shared" si="7"/>
        <v>0</v>
      </c>
      <c r="H15" s="441">
        <f>+H16</f>
        <v>51185778</v>
      </c>
      <c r="I15" s="441">
        <f t="shared" si="7"/>
        <v>0</v>
      </c>
      <c r="J15" s="1534">
        <f>+J16</f>
        <v>51185778</v>
      </c>
      <c r="K15" s="281"/>
      <c r="L15" s="921">
        <f>+L16</f>
        <v>0</v>
      </c>
      <c r="M15" s="441">
        <f t="shared" ref="M15:O15" si="8">+M16</f>
        <v>1637973.7919999999</v>
      </c>
      <c r="N15" s="441">
        <f t="shared" si="8"/>
        <v>0</v>
      </c>
      <c r="O15" s="922">
        <f t="shared" si="8"/>
        <v>1637973.7919999999</v>
      </c>
      <c r="Q15" s="931">
        <f>+Q16</f>
        <v>52823751.792000003</v>
      </c>
    </row>
    <row r="16" spans="1:21" s="275" customFormat="1" ht="38.25">
      <c r="A16" s="1535" t="s">
        <v>259</v>
      </c>
      <c r="B16" s="434"/>
      <c r="C16" s="434"/>
      <c r="D16" s="435" t="s">
        <v>215</v>
      </c>
      <c r="E16" s="435">
        <f>+E15</f>
        <v>100</v>
      </c>
      <c r="F16" s="436">
        <f>SUM(F17:F20)</f>
        <v>0</v>
      </c>
      <c r="G16" s="436">
        <f>SUM(G17:G20)</f>
        <v>0</v>
      </c>
      <c r="H16" s="436">
        <f>SUM(H17:H20)</f>
        <v>51185778</v>
      </c>
      <c r="I16" s="436">
        <f t="shared" ref="I16" si="9">SUM(I17:I20)</f>
        <v>0</v>
      </c>
      <c r="J16" s="1536">
        <f>SUM(J17:J20)</f>
        <v>51185778</v>
      </c>
      <c r="K16" s="281"/>
      <c r="L16" s="923">
        <f>SUM(L17:L20)</f>
        <v>0</v>
      </c>
      <c r="M16" s="436">
        <f t="shared" ref="M16:O16" si="10">SUM(M17:M20)</f>
        <v>1637973.7919999999</v>
      </c>
      <c r="N16" s="436">
        <f t="shared" si="10"/>
        <v>0</v>
      </c>
      <c r="O16" s="924">
        <f t="shared" si="10"/>
        <v>1637973.7919999999</v>
      </c>
      <c r="Q16" s="929">
        <f>SUM(Q17:Q20)</f>
        <v>52823751.792000003</v>
      </c>
    </row>
    <row r="17" spans="1:19" s="65" customFormat="1">
      <c r="A17" s="1528" t="s">
        <v>519</v>
      </c>
      <c r="B17" s="761" t="s">
        <v>237</v>
      </c>
      <c r="C17" s="30" t="s">
        <v>878</v>
      </c>
      <c r="D17" s="763"/>
      <c r="E17" s="763">
        <v>6</v>
      </c>
      <c r="F17" s="763"/>
      <c r="G17" s="438"/>
      <c r="H17" s="438">
        <v>20789667</v>
      </c>
      <c r="I17" s="763"/>
      <c r="J17" s="1529">
        <f>+H17</f>
        <v>20789667</v>
      </c>
      <c r="K17" s="674"/>
      <c r="L17" s="919"/>
      <c r="M17" s="763"/>
      <c r="N17" s="763"/>
      <c r="O17" s="920">
        <f>SUM(L17:N17)</f>
        <v>0</v>
      </c>
      <c r="Q17" s="930">
        <f>+J17+O17</f>
        <v>20789667</v>
      </c>
    </row>
    <row r="18" spans="1:19" s="65" customFormat="1">
      <c r="A18" s="1528" t="s">
        <v>520</v>
      </c>
      <c r="B18" s="761" t="s">
        <v>237</v>
      </c>
      <c r="C18" s="30" t="s">
        <v>878</v>
      </c>
      <c r="D18" s="763"/>
      <c r="E18" s="763">
        <v>9</v>
      </c>
      <c r="F18" s="763"/>
      <c r="G18" s="438"/>
      <c r="H18" s="438">
        <v>30396111</v>
      </c>
      <c r="I18" s="763"/>
      <c r="J18" s="1529">
        <f>+H18</f>
        <v>30396111</v>
      </c>
      <c r="K18" s="674"/>
      <c r="L18" s="919"/>
      <c r="M18" s="763"/>
      <c r="N18" s="763"/>
      <c r="O18" s="920">
        <f t="shared" ref="O18:O20" si="11">SUM(L18:N18)</f>
        <v>0</v>
      </c>
      <c r="Q18" s="930">
        <f>+J18+O18</f>
        <v>30396111</v>
      </c>
    </row>
    <row r="19" spans="1:19" s="65" customFormat="1">
      <c r="A19" s="1528"/>
      <c r="B19" s="761"/>
      <c r="C19" s="30"/>
      <c r="D19" s="763"/>
      <c r="E19" s="763"/>
      <c r="F19" s="763"/>
      <c r="G19" s="763"/>
      <c r="H19" s="763"/>
      <c r="I19" s="763"/>
      <c r="J19" s="1529"/>
      <c r="K19" s="673"/>
      <c r="L19" s="919"/>
      <c r="M19" s="763"/>
      <c r="N19" s="763"/>
      <c r="O19" s="920">
        <f t="shared" si="11"/>
        <v>0</v>
      </c>
      <c r="Q19" s="930">
        <f>+J19+O19</f>
        <v>0</v>
      </c>
    </row>
    <row r="20" spans="1:19" ht="13.5" thickBot="1">
      <c r="A20" s="1537" t="s">
        <v>521</v>
      </c>
      <c r="B20" s="518" t="s">
        <v>237</v>
      </c>
      <c r="C20" s="1116" t="s">
        <v>878</v>
      </c>
      <c r="D20" s="21"/>
      <c r="E20" s="21">
        <v>1</v>
      </c>
      <c r="F20" s="21"/>
      <c r="G20" s="21"/>
      <c r="H20" s="21"/>
      <c r="I20" s="21"/>
      <c r="J20" s="1538"/>
      <c r="L20" s="1114"/>
      <c r="M20" s="1687">
        <v>1637973.7919999999</v>
      </c>
      <c r="N20" s="21"/>
      <c r="O20" s="1115">
        <f t="shared" si="11"/>
        <v>1637973.7919999999</v>
      </c>
      <c r="Q20" s="1113">
        <f>+J20+O20</f>
        <v>1637973.7919999999</v>
      </c>
    </row>
    <row r="21" spans="1:19" s="275" customFormat="1" ht="26.25" thickBot="1">
      <c r="A21" s="1539" t="s">
        <v>49</v>
      </c>
      <c r="B21" s="1134"/>
      <c r="C21" s="1134"/>
      <c r="D21" s="1135" t="s">
        <v>215</v>
      </c>
      <c r="E21" s="1135">
        <v>90</v>
      </c>
      <c r="F21" s="1132">
        <f>+F22</f>
        <v>40613151.842137754</v>
      </c>
      <c r="G21" s="1132">
        <f>+G22</f>
        <v>457728892.66839385</v>
      </c>
      <c r="H21" s="1132">
        <f t="shared" ref="H21:I21" si="12">+H22</f>
        <v>19123601.648000002</v>
      </c>
      <c r="I21" s="1132">
        <f t="shared" si="12"/>
        <v>16672005.199999996</v>
      </c>
      <c r="J21" s="1540">
        <f>+J22</f>
        <v>534137651.79853165</v>
      </c>
      <c r="K21" s="281"/>
      <c r="L21" s="1131">
        <f>+L22</f>
        <v>24732608</v>
      </c>
      <c r="M21" s="1132">
        <f t="shared" ref="M21:O21" si="13">+M22</f>
        <v>14971206.68</v>
      </c>
      <c r="N21" s="1132">
        <f t="shared" si="13"/>
        <v>57242384.301120035</v>
      </c>
      <c r="O21" s="1133">
        <f t="shared" si="13"/>
        <v>96946198.981120035</v>
      </c>
      <c r="Q21" s="1130">
        <f>+Q22</f>
        <v>631083850.77965176</v>
      </c>
    </row>
    <row r="22" spans="1:19" s="275" customFormat="1" ht="38.25">
      <c r="A22" s="1526" t="s">
        <v>260</v>
      </c>
      <c r="B22" s="1117"/>
      <c r="C22" s="1117"/>
      <c r="D22" s="1118" t="s">
        <v>215</v>
      </c>
      <c r="E22" s="1118">
        <v>90</v>
      </c>
      <c r="F22" s="1119">
        <f>SUM(F23:F81)</f>
        <v>40613151.842137754</v>
      </c>
      <c r="G22" s="1119">
        <f>SUM(G23:G81)</f>
        <v>457728892.66839385</v>
      </c>
      <c r="H22" s="1119">
        <f>SUM(H23:H81)</f>
        <v>19123601.648000002</v>
      </c>
      <c r="I22" s="1119">
        <f>SUM(I23:I81)</f>
        <v>16672005.199999996</v>
      </c>
      <c r="J22" s="1527">
        <f>SUM(J23:J81)</f>
        <v>534137651.79853165</v>
      </c>
      <c r="K22" s="281"/>
      <c r="L22" s="1123">
        <f>SUM(L23:L82)</f>
        <v>24732608</v>
      </c>
      <c r="M22" s="1119">
        <f>SUM(M23:M82)</f>
        <v>14971206.68</v>
      </c>
      <c r="N22" s="1119">
        <f>SUM(N23:N82)</f>
        <v>57242384.301120035</v>
      </c>
      <c r="O22" s="1124">
        <f>SUM(O23:O82)</f>
        <v>96946198.981120035</v>
      </c>
      <c r="Q22" s="1122">
        <f>SUM(Q23:Q82)</f>
        <v>631083850.77965176</v>
      </c>
    </row>
    <row r="23" spans="1:19">
      <c r="A23" s="1541" t="s">
        <v>522</v>
      </c>
      <c r="B23" s="179"/>
      <c r="C23" s="179"/>
      <c r="D23" s="763"/>
      <c r="E23" s="763"/>
      <c r="F23" s="763"/>
      <c r="G23" s="445"/>
      <c r="H23" s="763"/>
      <c r="I23" s="763"/>
      <c r="J23" s="1529"/>
      <c r="L23" s="1682"/>
      <c r="M23" s="1678"/>
      <c r="N23" s="1678"/>
      <c r="O23" s="920">
        <f>SUM(L23:N23)</f>
        <v>0</v>
      </c>
      <c r="Q23" s="930">
        <f t="shared" ref="Q23:Q56" si="14">+J23+O23</f>
        <v>0</v>
      </c>
    </row>
    <row r="24" spans="1:19" s="1628" customFormat="1">
      <c r="A24" s="1528" t="s">
        <v>523</v>
      </c>
      <c r="B24" s="761" t="s">
        <v>237</v>
      </c>
      <c r="C24" s="30" t="s">
        <v>878</v>
      </c>
      <c r="D24" s="1627"/>
      <c r="E24" s="1627"/>
      <c r="F24" s="1627"/>
      <c r="G24" s="445"/>
      <c r="H24" s="1627"/>
      <c r="I24" s="438"/>
      <c r="J24" s="1529"/>
      <c r="K24" s="1881"/>
      <c r="L24" s="1682"/>
      <c r="M24" s="1678">
        <f>10394833.68-10394833.68</f>
        <v>0</v>
      </c>
      <c r="N24" s="1678"/>
      <c r="O24" s="920">
        <f t="shared" ref="O24:O82" si="15">SUM(L24:N24)</f>
        <v>0</v>
      </c>
      <c r="Q24" s="930">
        <f t="shared" si="14"/>
        <v>0</v>
      </c>
    </row>
    <row r="25" spans="1:19" s="1628" customFormat="1">
      <c r="A25" s="1528"/>
      <c r="B25" s="761" t="s">
        <v>237</v>
      </c>
      <c r="C25" s="30" t="s">
        <v>878</v>
      </c>
      <c r="D25" s="1627"/>
      <c r="E25" s="1627"/>
      <c r="F25" s="1627"/>
      <c r="G25" s="445"/>
      <c r="H25" s="1627"/>
      <c r="I25" s="1627"/>
      <c r="J25" s="1529"/>
      <c r="K25" s="673"/>
      <c r="L25" s="1682"/>
      <c r="M25" s="1678"/>
      <c r="N25" s="1678"/>
      <c r="O25" s="920">
        <f t="shared" si="15"/>
        <v>0</v>
      </c>
      <c r="Q25" s="930">
        <f t="shared" si="14"/>
        <v>0</v>
      </c>
    </row>
    <row r="26" spans="1:19" s="1628" customFormat="1">
      <c r="A26" s="1528" t="s">
        <v>524</v>
      </c>
      <c r="B26" s="761" t="s">
        <v>237</v>
      </c>
      <c r="C26" s="30" t="s">
        <v>878</v>
      </c>
      <c r="D26" s="1627"/>
      <c r="E26" s="1627">
        <v>6</v>
      </c>
      <c r="F26" s="1627"/>
      <c r="G26" s="445">
        <v>16953028.5</v>
      </c>
      <c r="H26" s="1627"/>
      <c r="I26" s="1627"/>
      <c r="J26" s="1529">
        <f>+G26</f>
        <v>16953028.5</v>
      </c>
      <c r="K26" s="672"/>
      <c r="L26" s="1682"/>
      <c r="M26" s="1678"/>
      <c r="N26" s="1678"/>
      <c r="O26" s="920">
        <f t="shared" si="15"/>
        <v>0</v>
      </c>
      <c r="Q26" s="930">
        <f t="shared" si="14"/>
        <v>16953028.5</v>
      </c>
    </row>
    <row r="27" spans="1:19" s="1628" customFormat="1">
      <c r="A27" s="1528" t="s">
        <v>882</v>
      </c>
      <c r="B27" s="761" t="s">
        <v>237</v>
      </c>
      <c r="C27" s="30" t="s">
        <v>878</v>
      </c>
      <c r="D27" s="1627"/>
      <c r="E27" s="1627">
        <v>3</v>
      </c>
      <c r="F27" s="1627"/>
      <c r="G27" s="445">
        <v>8490543.5</v>
      </c>
      <c r="H27" s="1627"/>
      <c r="I27" s="1627"/>
      <c r="J27" s="1529">
        <f>+G27</f>
        <v>8490543.5</v>
      </c>
      <c r="K27" s="672"/>
      <c r="L27" s="1682"/>
      <c r="M27" s="1678"/>
      <c r="N27" s="1678"/>
      <c r="O27" s="920">
        <f t="shared" si="15"/>
        <v>0</v>
      </c>
      <c r="Q27" s="930">
        <f t="shared" si="14"/>
        <v>8490543.5</v>
      </c>
    </row>
    <row r="28" spans="1:19" s="1628" customFormat="1">
      <c r="A28" s="1528" t="s">
        <v>525</v>
      </c>
      <c r="B28" s="761" t="s">
        <v>237</v>
      </c>
      <c r="C28" s="30" t="s">
        <v>878</v>
      </c>
      <c r="D28" s="1627"/>
      <c r="E28" s="1627">
        <v>10</v>
      </c>
      <c r="F28" s="1627"/>
      <c r="G28" s="445"/>
      <c r="H28" s="1627"/>
      <c r="I28" s="1627"/>
      <c r="J28" s="1529"/>
      <c r="K28" s="673"/>
      <c r="L28" s="1682"/>
      <c r="M28" s="1678">
        <v>10394833.68</v>
      </c>
      <c r="N28" s="1678"/>
      <c r="O28" s="920">
        <f t="shared" si="15"/>
        <v>10394833.68</v>
      </c>
      <c r="Q28" s="930">
        <f t="shared" si="14"/>
        <v>10394833.68</v>
      </c>
      <c r="R28" s="2150"/>
    </row>
    <row r="29" spans="1:19" s="1628" customFormat="1">
      <c r="A29" s="1528" t="s">
        <v>1021</v>
      </c>
      <c r="B29" s="761" t="s">
        <v>264</v>
      </c>
      <c r="C29" s="30" t="s">
        <v>878</v>
      </c>
      <c r="D29" s="1627"/>
      <c r="E29" s="30">
        <v>2</v>
      </c>
      <c r="F29" s="1627"/>
      <c r="G29" s="445"/>
      <c r="H29" s="1627"/>
      <c r="I29" s="1627"/>
      <c r="J29" s="1529"/>
      <c r="K29" s="673"/>
      <c r="L29" s="1682"/>
      <c r="M29" s="2117">
        <f>10394833.68-77890-3464945-(10394833.68-77890-3464945)</f>
        <v>0</v>
      </c>
      <c r="N29" s="1678"/>
      <c r="O29" s="920">
        <f t="shared" si="15"/>
        <v>0</v>
      </c>
      <c r="Q29" s="930">
        <f t="shared" si="14"/>
        <v>0</v>
      </c>
      <c r="S29" s="1623"/>
    </row>
    <row r="30" spans="1:19" s="1628" customFormat="1">
      <c r="A30" s="1528" t="s">
        <v>883</v>
      </c>
      <c r="B30" s="761" t="s">
        <v>237</v>
      </c>
      <c r="C30" s="30" t="s">
        <v>878</v>
      </c>
      <c r="D30" s="1627"/>
      <c r="E30" s="1627">
        <v>3</v>
      </c>
      <c r="F30" s="1627"/>
      <c r="G30" s="445">
        <f>+J30</f>
        <v>10394833.68</v>
      </c>
      <c r="H30" s="1627"/>
      <c r="I30" s="1627"/>
      <c r="J30" s="1529">
        <f>3300000*1.0458*E30*1.004</f>
        <v>10394833.68</v>
      </c>
      <c r="K30" s="675"/>
      <c r="L30" s="1682"/>
      <c r="M30" s="1678"/>
      <c r="N30" s="1678"/>
      <c r="O30" s="920">
        <f t="shared" si="15"/>
        <v>0</v>
      </c>
      <c r="Q30" s="930">
        <f t="shared" si="14"/>
        <v>10394833.68</v>
      </c>
      <c r="R30" s="1623"/>
    </row>
    <row r="31" spans="1:19" s="1628" customFormat="1" ht="33" customHeight="1">
      <c r="A31" s="1528" t="s">
        <v>1052</v>
      </c>
      <c r="B31" s="761" t="s">
        <v>237</v>
      </c>
      <c r="C31" s="30" t="s">
        <v>878</v>
      </c>
      <c r="D31" s="1627"/>
      <c r="E31" s="1627">
        <v>3</v>
      </c>
      <c r="F31" s="1627"/>
      <c r="G31" s="301"/>
      <c r="H31" s="1619"/>
      <c r="I31" s="1619"/>
      <c r="J31" s="1620">
        <f>+G31</f>
        <v>0</v>
      </c>
      <c r="K31" s="675"/>
      <c r="L31" s="1682"/>
      <c r="M31" s="1678"/>
      <c r="N31" s="1678">
        <v>1004000</v>
      </c>
      <c r="O31" s="1621">
        <f>+N31</f>
        <v>1004000</v>
      </c>
      <c r="Q31" s="930">
        <f t="shared" si="14"/>
        <v>1004000</v>
      </c>
    </row>
    <row r="32" spans="1:19" s="1628" customFormat="1">
      <c r="A32" s="1528" t="s">
        <v>947</v>
      </c>
      <c r="B32" s="761" t="s">
        <v>237</v>
      </c>
      <c r="C32" s="30" t="s">
        <v>878</v>
      </c>
      <c r="D32" s="1627"/>
      <c r="E32" s="1627">
        <v>1</v>
      </c>
      <c r="F32" s="1627"/>
      <c r="G32" s="445"/>
      <c r="H32" s="438">
        <v>1004000</v>
      </c>
      <c r="I32" s="1627"/>
      <c r="J32" s="1529">
        <f>+H32</f>
        <v>1004000</v>
      </c>
      <c r="K32" s="673"/>
      <c r="L32" s="1682"/>
      <c r="M32" s="1678"/>
      <c r="N32" s="1678">
        <f>1547463.94112003</f>
        <v>1547463.9411200299</v>
      </c>
      <c r="O32" s="920">
        <f t="shared" si="15"/>
        <v>1547463.9411200299</v>
      </c>
      <c r="Q32" s="930">
        <f t="shared" si="14"/>
        <v>2551463.9411200299</v>
      </c>
      <c r="R32" s="2133"/>
    </row>
    <row r="33" spans="1:20" s="1628" customFormat="1">
      <c r="A33" s="1528" t="s">
        <v>527</v>
      </c>
      <c r="B33" s="761" t="s">
        <v>237</v>
      </c>
      <c r="C33" s="30" t="s">
        <v>878</v>
      </c>
      <c r="D33" s="1627"/>
      <c r="E33" s="1627">
        <v>4</v>
      </c>
      <c r="F33" s="1627"/>
      <c r="G33" s="445">
        <v>8275595.5</v>
      </c>
      <c r="H33" s="1627"/>
      <c r="I33" s="438">
        <v>5584182.6079999954</v>
      </c>
      <c r="J33" s="1529">
        <f>+G33+I33</f>
        <v>13859778.107999995</v>
      </c>
      <c r="K33" s="673"/>
      <c r="L33" s="1682"/>
      <c r="M33" s="1678"/>
      <c r="N33" s="1678"/>
      <c r="O33" s="920">
        <f t="shared" si="15"/>
        <v>0</v>
      </c>
      <c r="Q33" s="930">
        <f t="shared" si="14"/>
        <v>13859778.107999995</v>
      </c>
    </row>
    <row r="34" spans="1:20" s="1628" customFormat="1">
      <c r="A34" s="1528" t="s">
        <v>526</v>
      </c>
      <c r="B34" s="761" t="s">
        <v>237</v>
      </c>
      <c r="C34" s="30" t="s">
        <v>878</v>
      </c>
      <c r="D34" s="1627"/>
      <c r="E34" s="1627">
        <v>6</v>
      </c>
      <c r="F34" s="1627"/>
      <c r="G34" s="445">
        <f>+J34</f>
        <v>20789667.359999999</v>
      </c>
      <c r="H34" s="1627"/>
      <c r="I34" s="1627"/>
      <c r="J34" s="1529">
        <f>3300000*1.0458*E34*1.004</f>
        <v>20789667.359999999</v>
      </c>
      <c r="K34" s="672"/>
      <c r="L34" s="1682"/>
      <c r="M34" s="1678"/>
      <c r="N34" s="1678"/>
      <c r="O34" s="920">
        <f t="shared" si="15"/>
        <v>0</v>
      </c>
      <c r="Q34" s="930">
        <f t="shared" si="14"/>
        <v>20789667.359999999</v>
      </c>
    </row>
    <row r="35" spans="1:20" s="1628" customFormat="1">
      <c r="A35" s="1797" t="s">
        <v>949</v>
      </c>
      <c r="B35" s="761" t="s">
        <v>237</v>
      </c>
      <c r="C35" s="1627" t="s">
        <v>878</v>
      </c>
      <c r="D35" s="1627"/>
      <c r="E35" s="1627">
        <v>1</v>
      </c>
      <c r="F35" s="1627"/>
      <c r="G35" s="687">
        <f>2039310*1.004*2</f>
        <v>4094934.48</v>
      </c>
      <c r="H35" s="1619"/>
      <c r="I35" s="1619"/>
      <c r="J35" s="1529">
        <f>SUM(F35:I35)</f>
        <v>4094934.48</v>
      </c>
      <c r="K35" s="673"/>
      <c r="L35" s="1682"/>
      <c r="M35" s="1688"/>
      <c r="N35" s="1678"/>
      <c r="O35" s="920">
        <f t="shared" si="15"/>
        <v>0</v>
      </c>
      <c r="Q35" s="930">
        <f t="shared" si="14"/>
        <v>4094934.48</v>
      </c>
    </row>
    <row r="36" spans="1:20" s="1628" customFormat="1">
      <c r="A36" s="1882" t="s">
        <v>1105</v>
      </c>
      <c r="B36" s="1627" t="s">
        <v>237</v>
      </c>
      <c r="C36" s="1627">
        <v>83990</v>
      </c>
      <c r="D36" s="1627"/>
      <c r="E36" s="1627">
        <v>2</v>
      </c>
      <c r="F36" s="1627"/>
      <c r="G36" s="687">
        <f>3852344-582068</f>
        <v>3270276</v>
      </c>
      <c r="H36" s="1619"/>
      <c r="I36" s="1619"/>
      <c r="J36" s="1529">
        <f>SUM(F36:I36)</f>
        <v>3270276</v>
      </c>
      <c r="K36" s="673"/>
      <c r="L36" s="1682"/>
      <c r="M36" s="445"/>
      <c r="N36" s="1678"/>
      <c r="O36" s="920">
        <f t="shared" si="15"/>
        <v>0</v>
      </c>
      <c r="Q36" s="930">
        <f t="shared" si="14"/>
        <v>3270276</v>
      </c>
      <c r="S36" s="1625">
        <f>+Q36-'[1]ACCIONES 320103'!$G$36</f>
        <v>0</v>
      </c>
    </row>
    <row r="37" spans="1:20" s="1628" customFormat="1" ht="25.5" customHeight="1">
      <c r="A37" s="1528" t="s">
        <v>528</v>
      </c>
      <c r="B37" s="761" t="s">
        <v>237</v>
      </c>
      <c r="C37" s="30" t="s">
        <v>878</v>
      </c>
      <c r="D37" s="1627"/>
      <c r="E37" s="1627">
        <v>6</v>
      </c>
      <c r="F37" s="1627"/>
      <c r="G37" s="445">
        <v>24569607</v>
      </c>
      <c r="H37" s="1627"/>
      <c r="I37" s="1627"/>
      <c r="J37" s="1529">
        <f>+G37</f>
        <v>24569607</v>
      </c>
      <c r="K37" s="672"/>
      <c r="L37" s="1682"/>
      <c r="M37" s="1678"/>
      <c r="N37" s="1678"/>
      <c r="O37" s="920">
        <f t="shared" si="15"/>
        <v>0</v>
      </c>
      <c r="Q37" s="930">
        <f t="shared" si="14"/>
        <v>24569607</v>
      </c>
    </row>
    <row r="38" spans="1:20" s="1628" customFormat="1" ht="25.5" customHeight="1">
      <c r="A38" s="1528" t="s">
        <v>529</v>
      </c>
      <c r="B38" s="761" t="s">
        <v>237</v>
      </c>
      <c r="C38" s="30" t="s">
        <v>878</v>
      </c>
      <c r="D38" s="1627"/>
      <c r="E38" s="1627">
        <v>6</v>
      </c>
      <c r="F38" s="1627"/>
      <c r="G38" s="445">
        <f>+J38</f>
        <v>20789667.359999999</v>
      </c>
      <c r="H38" s="1627"/>
      <c r="I38" s="1627"/>
      <c r="J38" s="1529">
        <f>3300000*1.0458*E38*1.004</f>
        <v>20789667.359999999</v>
      </c>
      <c r="K38" s="672"/>
      <c r="L38" s="1682"/>
      <c r="M38" s="1678"/>
      <c r="N38" s="1678"/>
      <c r="O38" s="920">
        <f t="shared" si="15"/>
        <v>0</v>
      </c>
      <c r="Q38" s="930">
        <f t="shared" si="14"/>
        <v>20789667.359999999</v>
      </c>
    </row>
    <row r="39" spans="1:20" s="1628" customFormat="1">
      <c r="A39" s="1528" t="s">
        <v>530</v>
      </c>
      <c r="B39" s="761" t="s">
        <v>237</v>
      </c>
      <c r="C39" s="30" t="s">
        <v>878</v>
      </c>
      <c r="D39" s="1627"/>
      <c r="E39" s="1627">
        <v>10</v>
      </c>
      <c r="F39" s="1627"/>
      <c r="G39" s="445"/>
      <c r="H39" s="1627"/>
      <c r="I39" s="1627"/>
      <c r="J39" s="1529"/>
      <c r="K39" s="673"/>
      <c r="L39" s="1682"/>
      <c r="M39" s="1678">
        <f>6929889.12-6929889.12</f>
        <v>0</v>
      </c>
      <c r="N39" s="1678"/>
      <c r="O39" s="920">
        <f t="shared" si="15"/>
        <v>0</v>
      </c>
      <c r="Q39" s="930">
        <f t="shared" si="14"/>
        <v>0</v>
      </c>
    </row>
    <row r="40" spans="1:20" s="1628" customFormat="1" ht="25.5">
      <c r="A40" s="1528" t="s">
        <v>679</v>
      </c>
      <c r="B40" s="761" t="s">
        <v>237</v>
      </c>
      <c r="C40" s="30" t="s">
        <v>878</v>
      </c>
      <c r="D40" s="1627"/>
      <c r="E40" s="1627">
        <v>1</v>
      </c>
      <c r="F40" s="294">
        <v>322146.50853776932</v>
      </c>
      <c r="G40" s="1521">
        <f>+E40*3300000*1.0458*1.004-F40</f>
        <v>3142798.0514622307</v>
      </c>
      <c r="H40" s="1627"/>
      <c r="I40" s="1627"/>
      <c r="J40" s="1529">
        <f>+G40+F40</f>
        <v>3464944.56</v>
      </c>
      <c r="K40" s="672"/>
      <c r="L40" s="1689"/>
      <c r="M40" s="1690"/>
      <c r="N40" s="1690"/>
      <c r="O40" s="920">
        <f t="shared" si="15"/>
        <v>0</v>
      </c>
      <c r="Q40" s="930">
        <f t="shared" si="14"/>
        <v>3464944.56</v>
      </c>
    </row>
    <row r="41" spans="1:20" s="1628" customFormat="1" ht="30" customHeight="1">
      <c r="A41" s="1528" t="s">
        <v>531</v>
      </c>
      <c r="B41" s="761" t="s">
        <v>237</v>
      </c>
      <c r="C41" s="30" t="s">
        <v>878</v>
      </c>
      <c r="D41" s="1627"/>
      <c r="E41" s="1627">
        <v>8</v>
      </c>
      <c r="F41" s="1627"/>
      <c r="G41" s="687"/>
      <c r="H41" s="1619"/>
      <c r="I41" s="1619"/>
      <c r="J41" s="1620"/>
      <c r="K41" s="673"/>
      <c r="L41" s="1682">
        <v>19156320</v>
      </c>
      <c r="M41" s="1678"/>
      <c r="N41" s="1678">
        <f>12770880+1204800</f>
        <v>13975680</v>
      </c>
      <c r="O41" s="1679">
        <f t="shared" si="15"/>
        <v>33132000</v>
      </c>
      <c r="P41" s="1680" t="s">
        <v>1106</v>
      </c>
      <c r="Q41" s="1681">
        <f t="shared" si="14"/>
        <v>33132000</v>
      </c>
      <c r="T41" s="1625"/>
    </row>
    <row r="42" spans="1:20" s="1628" customFormat="1" ht="18.75" customHeight="1">
      <c r="A42" s="1528" t="s">
        <v>818</v>
      </c>
      <c r="B42" s="761" t="s">
        <v>237</v>
      </c>
      <c r="C42" s="30" t="s">
        <v>878</v>
      </c>
      <c r="D42" s="1627"/>
      <c r="E42" s="1627">
        <v>3</v>
      </c>
      <c r="F42" s="315"/>
      <c r="G42" s="300"/>
      <c r="H42" s="315"/>
      <c r="I42" s="300">
        <v>11087822.592</v>
      </c>
      <c r="J42" s="1542">
        <f>+I42</f>
        <v>11087822.592</v>
      </c>
      <c r="K42" s="672"/>
      <c r="L42" s="1682"/>
      <c r="M42" s="1678"/>
      <c r="N42" s="1678"/>
      <c r="O42" s="920">
        <f t="shared" si="15"/>
        <v>0</v>
      </c>
      <c r="Q42" s="930">
        <f t="shared" si="14"/>
        <v>11087822.592</v>
      </c>
    </row>
    <row r="43" spans="1:20" s="1628" customFormat="1" ht="18.75" customHeight="1">
      <c r="A43" s="1528" t="s">
        <v>558</v>
      </c>
      <c r="B43" s="761" t="s">
        <v>237</v>
      </c>
      <c r="C43" s="30" t="s">
        <v>878</v>
      </c>
      <c r="D43" s="1627"/>
      <c r="E43" s="1627">
        <v>1</v>
      </c>
      <c r="F43" s="438">
        <f>+E43*3900000*1.0458*1.004</f>
        <v>4094934.4800000004</v>
      </c>
      <c r="G43" s="445"/>
      <c r="H43" s="1627"/>
      <c r="I43" s="1627"/>
      <c r="J43" s="1529">
        <f>+F43</f>
        <v>4094934.4800000004</v>
      </c>
      <c r="K43" s="672"/>
      <c r="L43" s="1682"/>
      <c r="M43" s="1678"/>
      <c r="N43" s="1678"/>
      <c r="O43" s="920">
        <f t="shared" si="15"/>
        <v>0</v>
      </c>
      <c r="Q43" s="930">
        <f t="shared" si="14"/>
        <v>4094934.4800000004</v>
      </c>
    </row>
    <row r="44" spans="1:20" s="1628" customFormat="1" ht="18.75" customHeight="1">
      <c r="A44" s="1528" t="s">
        <v>884</v>
      </c>
      <c r="B44" s="761" t="s">
        <v>237</v>
      </c>
      <c r="C44" s="30" t="s">
        <v>878</v>
      </c>
      <c r="D44" s="1627"/>
      <c r="E44" s="1627">
        <v>3</v>
      </c>
      <c r="F44" s="438">
        <v>8476514.3736000005</v>
      </c>
      <c r="G44" s="445"/>
      <c r="H44" s="1627"/>
      <c r="I44" s="1627"/>
      <c r="J44" s="1529">
        <f>+F44</f>
        <v>8476514.3736000005</v>
      </c>
      <c r="K44" s="672"/>
      <c r="L44" s="1682"/>
      <c r="M44" s="1678"/>
      <c r="N44" s="1678"/>
      <c r="O44" s="920">
        <f t="shared" si="15"/>
        <v>0</v>
      </c>
      <c r="Q44" s="930">
        <f t="shared" si="14"/>
        <v>8476514.3736000005</v>
      </c>
    </row>
    <row r="45" spans="1:20" s="679" customFormat="1" ht="18.75" customHeight="1">
      <c r="A45" s="1528" t="s">
        <v>689</v>
      </c>
      <c r="B45" s="533" t="s">
        <v>237</v>
      </c>
      <c r="C45" s="30" t="s">
        <v>878</v>
      </c>
      <c r="D45" s="30"/>
      <c r="E45" s="30">
        <v>6</v>
      </c>
      <c r="F45" s="702">
        <v>20789667.359999985</v>
      </c>
      <c r="G45" s="772"/>
      <c r="H45" s="30"/>
      <c r="I45" s="30"/>
      <c r="J45" s="1530">
        <f>+G45+F45</f>
        <v>20789667.359999985</v>
      </c>
      <c r="K45" s="703"/>
      <c r="L45" s="1691"/>
      <c r="M45" s="1692"/>
      <c r="N45" s="1692"/>
      <c r="O45" s="920">
        <f t="shared" si="15"/>
        <v>0</v>
      </c>
      <c r="Q45" s="930">
        <f t="shared" si="14"/>
        <v>20789667.359999985</v>
      </c>
    </row>
    <row r="46" spans="1:20" s="1628" customFormat="1">
      <c r="A46" s="1528" t="s">
        <v>1208</v>
      </c>
      <c r="B46" s="533" t="s">
        <v>237</v>
      </c>
      <c r="C46" s="30" t="s">
        <v>878</v>
      </c>
      <c r="D46" s="30"/>
      <c r="E46" s="30">
        <v>1</v>
      </c>
      <c r="F46" s="702"/>
      <c r="G46" s="772"/>
      <c r="H46" s="30"/>
      <c r="I46" s="30"/>
      <c r="J46" s="1530">
        <v>0</v>
      </c>
      <c r="K46" s="703"/>
      <c r="L46" s="1691"/>
      <c r="M46" s="1692">
        <v>3464945</v>
      </c>
      <c r="N46" s="1692"/>
      <c r="O46" s="1696">
        <f>+M46</f>
        <v>3464945</v>
      </c>
      <c r="P46" s="679"/>
      <c r="Q46" s="930">
        <f>+O46</f>
        <v>3464945</v>
      </c>
    </row>
    <row r="47" spans="1:20" s="1628" customFormat="1">
      <c r="A47" s="1528" t="s">
        <v>559</v>
      </c>
      <c r="B47" s="1631" t="s">
        <v>264</v>
      </c>
      <c r="C47" s="1631" t="s">
        <v>878</v>
      </c>
      <c r="D47" s="1627"/>
      <c r="E47" s="1627">
        <v>2</v>
      </c>
      <c r="F47" s="438">
        <v>6929889.1200000001</v>
      </c>
      <c r="G47" s="445"/>
      <c r="H47" s="1627"/>
      <c r="I47" s="1627"/>
      <c r="J47" s="1529">
        <f>+F47</f>
        <v>6929889.1200000001</v>
      </c>
      <c r="K47" s="673"/>
      <c r="L47" s="1682"/>
      <c r="M47" s="1678"/>
      <c r="N47" s="1678"/>
      <c r="O47" s="920">
        <f t="shared" si="15"/>
        <v>0</v>
      </c>
      <c r="Q47" s="930">
        <f t="shared" si="14"/>
        <v>6929889.1200000001</v>
      </c>
    </row>
    <row r="48" spans="1:20" s="1628" customFormat="1">
      <c r="A48" s="1528" t="s">
        <v>555</v>
      </c>
      <c r="B48" s="761" t="s">
        <v>237</v>
      </c>
      <c r="C48" s="30" t="s">
        <v>878</v>
      </c>
      <c r="D48" s="1627"/>
      <c r="E48" s="1627">
        <v>3</v>
      </c>
      <c r="F48" s="1627"/>
      <c r="G48" s="445">
        <v>12284803.440000001</v>
      </c>
      <c r="H48" s="1627"/>
      <c r="I48" s="1627"/>
      <c r="J48" s="1529">
        <f>3900000*1.0458*E48*1.004</f>
        <v>12284803.440000001</v>
      </c>
      <c r="K48" s="672"/>
      <c r="L48" s="1682"/>
      <c r="M48" s="1678"/>
      <c r="N48" s="1678"/>
      <c r="O48" s="920">
        <f t="shared" si="15"/>
        <v>0</v>
      </c>
      <c r="Q48" s="930">
        <f t="shared" si="14"/>
        <v>12284803.440000001</v>
      </c>
    </row>
    <row r="49" spans="1:18" s="1628" customFormat="1">
      <c r="A49" s="1528" t="s">
        <v>556</v>
      </c>
      <c r="B49" s="761" t="s">
        <v>237</v>
      </c>
      <c r="C49" s="30" t="s">
        <v>878</v>
      </c>
      <c r="D49" s="1627"/>
      <c r="E49" s="1627">
        <v>3</v>
      </c>
      <c r="F49" s="1627"/>
      <c r="G49" s="445">
        <v>12284803</v>
      </c>
      <c r="H49" s="1627"/>
      <c r="I49" s="1627"/>
      <c r="J49" s="1529">
        <f>3900000*1.0458*E49*1.004</f>
        <v>12284803.440000001</v>
      </c>
      <c r="K49" s="672"/>
      <c r="L49" s="1682"/>
      <c r="M49" s="1678"/>
      <c r="N49" s="1678"/>
      <c r="O49" s="920">
        <f t="shared" si="15"/>
        <v>0</v>
      </c>
      <c r="Q49" s="930">
        <f t="shared" si="14"/>
        <v>12284803.440000001</v>
      </c>
    </row>
    <row r="50" spans="1:18" s="1628" customFormat="1">
      <c r="A50" s="1528"/>
      <c r="B50" s="1632"/>
      <c r="C50" s="1632"/>
      <c r="D50" s="1627"/>
      <c r="E50" s="1627"/>
      <c r="F50" s="1627"/>
      <c r="G50" s="445"/>
      <c r="H50" s="1627"/>
      <c r="I50" s="1627"/>
      <c r="J50" s="1529"/>
      <c r="K50" s="673"/>
      <c r="L50" s="1682"/>
      <c r="M50" s="1678"/>
      <c r="N50" s="1678"/>
      <c r="O50" s="920">
        <f t="shared" si="15"/>
        <v>0</v>
      </c>
      <c r="Q50" s="930">
        <f t="shared" si="14"/>
        <v>0</v>
      </c>
    </row>
    <row r="51" spans="1:18" s="1628" customFormat="1">
      <c r="A51" s="1541" t="s">
        <v>533</v>
      </c>
      <c r="B51" s="1632"/>
      <c r="C51" s="1632"/>
      <c r="D51" s="1627"/>
      <c r="E51" s="1627"/>
      <c r="F51" s="1627"/>
      <c r="G51" s="445"/>
      <c r="H51" s="1627"/>
      <c r="I51" s="1627"/>
      <c r="J51" s="1529"/>
      <c r="K51" s="673"/>
      <c r="L51" s="1682"/>
      <c r="M51" s="1678"/>
      <c r="N51" s="1678"/>
      <c r="O51" s="920">
        <f t="shared" si="15"/>
        <v>0</v>
      </c>
      <c r="Q51" s="930">
        <f t="shared" si="14"/>
        <v>0</v>
      </c>
    </row>
    <row r="52" spans="1:18" s="1628" customFormat="1">
      <c r="A52" s="1528" t="s">
        <v>534</v>
      </c>
      <c r="B52" s="761" t="s">
        <v>237</v>
      </c>
      <c r="C52" s="30" t="s">
        <v>878</v>
      </c>
      <c r="D52" s="1627"/>
      <c r="E52" s="1627">
        <v>11</v>
      </c>
      <c r="F52" s="1627"/>
      <c r="G52" s="445">
        <f t="shared" ref="G52:G56" si="16">+J52</f>
        <v>45044279.280000009</v>
      </c>
      <c r="H52" s="1627"/>
      <c r="I52" s="1627"/>
      <c r="J52" s="1529">
        <f>3900000*1.0458*E52*1.004</f>
        <v>45044279.280000009</v>
      </c>
      <c r="K52" s="672"/>
      <c r="L52" s="1682"/>
      <c r="M52" s="1678"/>
      <c r="N52" s="1678"/>
      <c r="O52" s="920">
        <f t="shared" si="15"/>
        <v>0</v>
      </c>
      <c r="Q52" s="930">
        <f t="shared" si="14"/>
        <v>45044279.280000009</v>
      </c>
    </row>
    <row r="53" spans="1:18" s="1628" customFormat="1">
      <c r="A53" s="1528" t="s">
        <v>535</v>
      </c>
      <c r="B53" s="761" t="s">
        <v>237</v>
      </c>
      <c r="C53" s="30" t="s">
        <v>878</v>
      </c>
      <c r="D53" s="1627"/>
      <c r="E53" s="1627">
        <v>6.5</v>
      </c>
      <c r="F53" s="1627"/>
      <c r="G53" s="445">
        <v>24569606.879999999</v>
      </c>
      <c r="H53" s="1627"/>
      <c r="I53" s="1627"/>
      <c r="J53" s="1529">
        <f>SUM(G53:I53)</f>
        <v>24569606.879999999</v>
      </c>
      <c r="K53" s="672"/>
      <c r="L53" s="1682"/>
      <c r="M53" s="1678"/>
      <c r="N53" s="1678"/>
      <c r="O53" s="920">
        <f t="shared" si="15"/>
        <v>0</v>
      </c>
      <c r="Q53" s="930">
        <f t="shared" si="14"/>
        <v>24569606.879999999</v>
      </c>
    </row>
    <row r="54" spans="1:18" s="1628" customFormat="1">
      <c r="A54" s="1528" t="s">
        <v>536</v>
      </c>
      <c r="B54" s="761" t="s">
        <v>237</v>
      </c>
      <c r="C54" s="30" t="s">
        <v>878</v>
      </c>
      <c r="D54" s="1627"/>
      <c r="E54" s="1627">
        <v>11</v>
      </c>
      <c r="F54" s="1627"/>
      <c r="G54" s="445">
        <f t="shared" si="16"/>
        <v>45044279.280000009</v>
      </c>
      <c r="H54" s="1627"/>
      <c r="I54" s="1627"/>
      <c r="J54" s="1529">
        <f>3900000*1.0458*E54*1.004</f>
        <v>45044279.280000009</v>
      </c>
      <c r="K54" s="672"/>
      <c r="L54" s="1682"/>
      <c r="M54" s="1678"/>
      <c r="N54" s="1678"/>
      <c r="O54" s="920">
        <f t="shared" si="15"/>
        <v>0</v>
      </c>
      <c r="Q54" s="930">
        <f t="shared" si="14"/>
        <v>45044279.280000009</v>
      </c>
    </row>
    <row r="55" spans="1:18" s="1628" customFormat="1">
      <c r="A55" s="1528" t="s">
        <v>537</v>
      </c>
      <c r="B55" s="761" t="s">
        <v>237</v>
      </c>
      <c r="C55" s="30" t="s">
        <v>878</v>
      </c>
      <c r="D55" s="1627"/>
      <c r="E55" s="1627">
        <v>6.5</v>
      </c>
      <c r="F55" s="1627"/>
      <c r="G55" s="445">
        <v>26617074.120000005</v>
      </c>
      <c r="H55" s="1627"/>
      <c r="I55" s="1627"/>
      <c r="J55" s="1529">
        <f>SUM(G55:I55)</f>
        <v>26617074.120000005</v>
      </c>
      <c r="K55" s="672"/>
      <c r="L55" s="1682"/>
      <c r="M55" s="1678"/>
      <c r="N55" s="1678"/>
      <c r="O55" s="920">
        <f t="shared" si="15"/>
        <v>0</v>
      </c>
      <c r="Q55" s="930">
        <f t="shared" si="14"/>
        <v>26617074.120000005</v>
      </c>
    </row>
    <row r="56" spans="1:18" s="1628" customFormat="1">
      <c r="A56" s="1528" t="s">
        <v>538</v>
      </c>
      <c r="B56" s="761" t="s">
        <v>237</v>
      </c>
      <c r="C56" s="30" t="s">
        <v>878</v>
      </c>
      <c r="D56" s="1627"/>
      <c r="E56" s="1627">
        <v>6</v>
      </c>
      <c r="F56" s="315"/>
      <c r="G56" s="445">
        <f t="shared" si="16"/>
        <v>27839443.561775997</v>
      </c>
      <c r="H56" s="315"/>
      <c r="I56" s="315"/>
      <c r="J56" s="1542">
        <f>4419030*1.0458*E56*1.004</f>
        <v>27839443.561775997</v>
      </c>
      <c r="K56" s="672"/>
      <c r="L56" s="1682"/>
      <c r="M56" s="1678"/>
      <c r="N56" s="1678"/>
      <c r="O56" s="920">
        <f t="shared" si="15"/>
        <v>0</v>
      </c>
      <c r="Q56" s="930">
        <f t="shared" si="14"/>
        <v>27839443.561775997</v>
      </c>
    </row>
    <row r="57" spans="1:18" s="1628" customFormat="1">
      <c r="A57" s="1528" t="s">
        <v>539</v>
      </c>
      <c r="B57" s="761" t="s">
        <v>237</v>
      </c>
      <c r="C57" s="30" t="s">
        <v>878</v>
      </c>
      <c r="D57" s="1627"/>
      <c r="E57" s="1627">
        <v>6</v>
      </c>
      <c r="F57" s="438"/>
      <c r="G57" s="445">
        <v>24569606.880000003</v>
      </c>
      <c r="H57" s="315"/>
      <c r="I57" s="315"/>
      <c r="J57" s="1529">
        <f>+G57</f>
        <v>24569606.880000003</v>
      </c>
      <c r="K57" s="672"/>
      <c r="L57" s="1682"/>
      <c r="M57" s="1678"/>
      <c r="N57" s="1678"/>
      <c r="O57" s="920">
        <f t="shared" si="15"/>
        <v>0</v>
      </c>
      <c r="Q57" s="930">
        <f t="shared" ref="Q57:Q82" si="17">+J57+O57</f>
        <v>24569606.880000003</v>
      </c>
    </row>
    <row r="58" spans="1:18" s="1628" customFormat="1" ht="46.5" customHeight="1">
      <c r="A58" s="1528" t="s">
        <v>1022</v>
      </c>
      <c r="B58" s="761" t="s">
        <v>237</v>
      </c>
      <c r="C58" s="30" t="s">
        <v>878</v>
      </c>
      <c r="D58" s="1627"/>
      <c r="E58" s="1627">
        <v>7</v>
      </c>
      <c r="F58" s="315"/>
      <c r="G58" s="445"/>
      <c r="H58" s="315"/>
      <c r="I58" s="315"/>
      <c r="J58" s="1531"/>
      <c r="K58" s="672"/>
      <c r="L58" s="1682"/>
      <c r="M58" s="1678"/>
      <c r="N58" s="1678">
        <v>28664541.360000003</v>
      </c>
      <c r="O58" s="920">
        <f t="shared" si="15"/>
        <v>28664541.360000003</v>
      </c>
      <c r="Q58" s="930">
        <f t="shared" si="17"/>
        <v>28664541.360000003</v>
      </c>
      <c r="R58" s="1623"/>
    </row>
    <row r="59" spans="1:18" s="1628" customFormat="1" ht="25.5">
      <c r="A59" s="1528" t="s">
        <v>1023</v>
      </c>
      <c r="B59" s="761" t="s">
        <v>237</v>
      </c>
      <c r="C59" s="30" t="s">
        <v>878</v>
      </c>
      <c r="D59" s="1627"/>
      <c r="E59" s="1627">
        <v>4</v>
      </c>
      <c r="F59" s="315"/>
      <c r="G59" s="687"/>
      <c r="H59" s="1622"/>
      <c r="I59" s="1622"/>
      <c r="J59" s="1531"/>
      <c r="K59" s="672"/>
      <c r="L59" s="1682">
        <f>6551896-975608</f>
        <v>5576288</v>
      </c>
      <c r="M59" s="1678"/>
      <c r="N59" s="1883">
        <v>9827843</v>
      </c>
      <c r="O59" s="1621">
        <f>+L59+N59</f>
        <v>15404131</v>
      </c>
      <c r="Q59" s="930">
        <f t="shared" si="17"/>
        <v>15404131</v>
      </c>
    </row>
    <row r="60" spans="1:18" s="1628" customFormat="1">
      <c r="A60" s="1528" t="s">
        <v>885</v>
      </c>
      <c r="B60" s="533" t="s">
        <v>237</v>
      </c>
      <c r="C60" s="30" t="s">
        <v>878</v>
      </c>
      <c r="D60" s="30"/>
      <c r="E60" s="30">
        <v>4</v>
      </c>
      <c r="F60" s="30"/>
      <c r="G60" s="772">
        <v>4445712</v>
      </c>
      <c r="H60" s="30"/>
      <c r="I60" s="30"/>
      <c r="J60" s="1530">
        <f>+G60</f>
        <v>4445712</v>
      </c>
      <c r="K60" s="701"/>
      <c r="L60" s="1691"/>
      <c r="M60" s="1692"/>
      <c r="N60" s="1692"/>
      <c r="O60" s="920">
        <f t="shared" si="15"/>
        <v>0</v>
      </c>
      <c r="Q60" s="930">
        <f t="shared" si="17"/>
        <v>4445712</v>
      </c>
    </row>
    <row r="61" spans="1:18" s="1628" customFormat="1">
      <c r="A61" s="1541" t="s">
        <v>541</v>
      </c>
      <c r="B61" s="1632"/>
      <c r="C61" s="1632"/>
      <c r="D61" s="1627"/>
      <c r="E61" s="1627"/>
      <c r="F61" s="1627"/>
      <c r="G61" s="445"/>
      <c r="H61" s="1627"/>
      <c r="I61" s="1627"/>
      <c r="J61" s="1529">
        <f t="shared" ref="J61" si="18">3300000*1.05*E61*1.004</f>
        <v>0</v>
      </c>
      <c r="K61" s="673"/>
      <c r="L61" s="1682"/>
      <c r="M61" s="1678"/>
      <c r="N61" s="1678"/>
      <c r="O61" s="920">
        <f t="shared" si="15"/>
        <v>0</v>
      </c>
      <c r="Q61" s="930">
        <f t="shared" si="17"/>
        <v>0</v>
      </c>
    </row>
    <row r="62" spans="1:18" s="1628" customFormat="1">
      <c r="A62" s="1528" t="s">
        <v>886</v>
      </c>
      <c r="B62" s="761" t="s">
        <v>237</v>
      </c>
      <c r="C62" s="30" t="s">
        <v>878</v>
      </c>
      <c r="D62" s="1627"/>
      <c r="E62" s="1627">
        <v>5</v>
      </c>
      <c r="F62" s="315"/>
      <c r="G62" s="445">
        <f t="shared" ref="G62:G63" si="19">+J62</f>
        <v>17324722.800000001</v>
      </c>
      <c r="H62" s="315"/>
      <c r="I62" s="315"/>
      <c r="J62" s="1542">
        <f>3300000*1.0458*E62*1.004</f>
        <v>17324722.800000001</v>
      </c>
      <c r="K62" s="672"/>
      <c r="L62" s="1682"/>
      <c r="M62" s="1678"/>
      <c r="N62" s="1678"/>
      <c r="O62" s="920">
        <f t="shared" si="15"/>
        <v>0</v>
      </c>
      <c r="Q62" s="930">
        <f t="shared" si="17"/>
        <v>17324722.800000001</v>
      </c>
    </row>
    <row r="63" spans="1:18" s="65" customFormat="1">
      <c r="A63" s="1528" t="s">
        <v>542</v>
      </c>
      <c r="B63" s="761" t="s">
        <v>237</v>
      </c>
      <c r="C63" s="30" t="s">
        <v>878</v>
      </c>
      <c r="D63" s="1627"/>
      <c r="E63" s="1627">
        <v>3</v>
      </c>
      <c r="F63" s="315"/>
      <c r="G63" s="445">
        <f t="shared" si="19"/>
        <v>10394833.68</v>
      </c>
      <c r="H63" s="315"/>
      <c r="I63" s="315"/>
      <c r="J63" s="1542">
        <f>3300000*1.0458*E63*1.004</f>
        <v>10394833.68</v>
      </c>
      <c r="K63" s="672"/>
      <c r="L63" s="1682"/>
      <c r="M63" s="1678"/>
      <c r="N63" s="1678"/>
      <c r="O63" s="920">
        <f t="shared" si="15"/>
        <v>0</v>
      </c>
      <c r="P63" s="1628"/>
      <c r="Q63" s="930">
        <f t="shared" si="17"/>
        <v>10394833.68</v>
      </c>
    </row>
    <row r="64" spans="1:18" s="65" customFormat="1">
      <c r="A64" s="1541" t="s">
        <v>543</v>
      </c>
      <c r="B64" s="676"/>
      <c r="C64" s="676"/>
      <c r="D64" s="763"/>
      <c r="E64" s="763"/>
      <c r="F64" s="763"/>
      <c r="G64" s="445"/>
      <c r="H64" s="763"/>
      <c r="I64" s="763"/>
      <c r="J64" s="1529">
        <f t="shared" ref="J64" si="20">3300000*1.05*E64*1.004</f>
        <v>0</v>
      </c>
      <c r="K64" s="673"/>
      <c r="L64" s="1682"/>
      <c r="M64" s="1678"/>
      <c r="N64" s="1678"/>
      <c r="O64" s="920">
        <f t="shared" si="15"/>
        <v>0</v>
      </c>
      <c r="Q64" s="930">
        <f t="shared" si="17"/>
        <v>0</v>
      </c>
    </row>
    <row r="65" spans="1:19" s="65" customFormat="1">
      <c r="A65" s="1528" t="s">
        <v>544</v>
      </c>
      <c r="B65" s="761" t="s">
        <v>237</v>
      </c>
      <c r="C65" s="30" t="s">
        <v>878</v>
      </c>
      <c r="D65" s="763"/>
      <c r="E65" s="763">
        <v>9</v>
      </c>
      <c r="F65" s="763"/>
      <c r="G65" s="445"/>
      <c r="H65" s="763"/>
      <c r="I65" s="763"/>
      <c r="J65" s="1529"/>
      <c r="K65" s="673"/>
      <c r="L65" s="1682"/>
      <c r="M65" s="1678"/>
      <c r="N65" s="1678"/>
      <c r="O65" s="920">
        <f t="shared" si="15"/>
        <v>0</v>
      </c>
      <c r="Q65" s="930">
        <f t="shared" si="17"/>
        <v>0</v>
      </c>
    </row>
    <row r="66" spans="1:19" s="65" customFormat="1">
      <c r="A66" s="1528" t="s">
        <v>545</v>
      </c>
      <c r="B66" s="761" t="s">
        <v>237</v>
      </c>
      <c r="C66" s="30" t="s">
        <v>878</v>
      </c>
      <c r="D66" s="763"/>
      <c r="E66" s="763">
        <v>9</v>
      </c>
      <c r="F66" s="763"/>
      <c r="G66" s="445"/>
      <c r="H66" s="763"/>
      <c r="I66" s="763"/>
      <c r="J66" s="1529"/>
      <c r="K66" s="673"/>
      <c r="L66" s="1682"/>
      <c r="M66" s="1678"/>
      <c r="N66" s="1678"/>
      <c r="O66" s="920">
        <f t="shared" si="15"/>
        <v>0</v>
      </c>
      <c r="Q66" s="930">
        <f t="shared" si="17"/>
        <v>0</v>
      </c>
    </row>
    <row r="67" spans="1:19" s="65" customFormat="1">
      <c r="A67" s="1528"/>
      <c r="B67" s="676"/>
      <c r="C67" s="676"/>
      <c r="D67" s="763"/>
      <c r="E67" s="763"/>
      <c r="F67" s="763"/>
      <c r="G67" s="445"/>
      <c r="H67" s="763"/>
      <c r="I67" s="763"/>
      <c r="J67" s="1529">
        <f t="shared" ref="J67:J68" si="21">3300000*1.05*E67*1.004</f>
        <v>0</v>
      </c>
      <c r="K67" s="673"/>
      <c r="L67" s="1682"/>
      <c r="M67" s="1678"/>
      <c r="N67" s="1678"/>
      <c r="O67" s="920">
        <f t="shared" si="15"/>
        <v>0</v>
      </c>
      <c r="Q67" s="930">
        <f t="shared" si="17"/>
        <v>0</v>
      </c>
    </row>
    <row r="68" spans="1:19" s="1628" customFormat="1" ht="25.5">
      <c r="A68" s="1541" t="s">
        <v>546</v>
      </c>
      <c r="B68" s="676"/>
      <c r="C68" s="676"/>
      <c r="D68" s="763"/>
      <c r="E68" s="763"/>
      <c r="F68" s="763"/>
      <c r="G68" s="445"/>
      <c r="H68" s="763"/>
      <c r="I68" s="763"/>
      <c r="J68" s="1529">
        <f t="shared" si="21"/>
        <v>0</v>
      </c>
      <c r="K68" s="673"/>
      <c r="L68" s="1682"/>
      <c r="M68" s="1678"/>
      <c r="N68" s="1678"/>
      <c r="O68" s="920">
        <f t="shared" si="15"/>
        <v>0</v>
      </c>
      <c r="P68" s="65"/>
      <c r="Q68" s="930">
        <f t="shared" si="17"/>
        <v>0</v>
      </c>
    </row>
    <row r="69" spans="1:19" s="1628" customFormat="1">
      <c r="A69" s="1528" t="s">
        <v>560</v>
      </c>
      <c r="B69" s="761" t="s">
        <v>237</v>
      </c>
      <c r="C69" s="30">
        <v>82120</v>
      </c>
      <c r="D69" s="1627"/>
      <c r="E69" s="1627">
        <v>4</v>
      </c>
      <c r="F69" s="1627"/>
      <c r="G69" s="445"/>
      <c r="H69" s="438">
        <f>+J69</f>
        <v>15896745.648000002</v>
      </c>
      <c r="I69" s="1627"/>
      <c r="J69" s="1529">
        <f>3785000*1.0458*E69*1.004</f>
        <v>15896745.648000002</v>
      </c>
      <c r="K69" s="672"/>
      <c r="L69" s="1682"/>
      <c r="M69" s="1678"/>
      <c r="N69" s="1678"/>
      <c r="O69" s="920">
        <f t="shared" si="15"/>
        <v>0</v>
      </c>
      <c r="Q69" s="930">
        <f t="shared" si="17"/>
        <v>15896745.648000002</v>
      </c>
    </row>
    <row r="70" spans="1:19" s="1628" customFormat="1">
      <c r="A70" s="1528" t="s">
        <v>547</v>
      </c>
      <c r="B70" s="761" t="s">
        <v>237</v>
      </c>
      <c r="C70" s="30">
        <v>82120</v>
      </c>
      <c r="D70" s="1627"/>
      <c r="E70" s="1627">
        <v>12</v>
      </c>
      <c r="F70" s="1627"/>
      <c r="G70" s="445"/>
      <c r="H70" s="1627"/>
      <c r="I70" s="1627"/>
      <c r="J70" s="1529"/>
      <c r="K70" s="673"/>
      <c r="L70" s="1682"/>
      <c r="M70" s="1678"/>
      <c r="N70" s="1678"/>
      <c r="O70" s="920">
        <f t="shared" si="15"/>
        <v>0</v>
      </c>
      <c r="Q70" s="930">
        <f t="shared" si="17"/>
        <v>0</v>
      </c>
      <c r="S70" s="1623"/>
    </row>
    <row r="71" spans="1:19" s="1628" customFormat="1">
      <c r="A71" s="1528" t="s">
        <v>548</v>
      </c>
      <c r="B71" s="761" t="s">
        <v>237</v>
      </c>
      <c r="C71" s="30">
        <v>82120</v>
      </c>
      <c r="D71" s="1627"/>
      <c r="E71" s="1627">
        <v>5</v>
      </c>
      <c r="F71" s="1627"/>
      <c r="G71" s="687">
        <f>6107000*1.004</f>
        <v>6131428</v>
      </c>
      <c r="H71" s="1619"/>
      <c r="I71" s="1619"/>
      <c r="J71" s="1620">
        <f>+G71</f>
        <v>6131428</v>
      </c>
      <c r="K71" s="673"/>
      <c r="L71" s="1682"/>
      <c r="M71" s="1678"/>
      <c r="N71" s="1678"/>
      <c r="O71" s="1621">
        <f t="shared" si="15"/>
        <v>0</v>
      </c>
      <c r="Q71" s="930">
        <f t="shared" si="17"/>
        <v>6131428</v>
      </c>
      <c r="R71" s="2150"/>
    </row>
    <row r="72" spans="1:19" s="1628" customFormat="1">
      <c r="A72" s="1528" t="s">
        <v>549</v>
      </c>
      <c r="B72" s="761" t="s">
        <v>237</v>
      </c>
      <c r="C72" s="30">
        <v>82120</v>
      </c>
      <c r="D72" s="1627"/>
      <c r="E72" s="1627">
        <v>12</v>
      </c>
      <c r="F72" s="1627"/>
      <c r="G72" s="445"/>
      <c r="H72" s="1627"/>
      <c r="I72" s="1627"/>
      <c r="J72" s="1529"/>
      <c r="K72" s="673"/>
      <c r="L72" s="1682"/>
      <c r="M72" s="1678"/>
      <c r="N72" s="1678"/>
      <c r="O72" s="920">
        <f t="shared" si="15"/>
        <v>0</v>
      </c>
      <c r="Q72" s="930">
        <f t="shared" si="17"/>
        <v>0</v>
      </c>
    </row>
    <row r="73" spans="1:19" s="65" customFormat="1">
      <c r="A73" s="1528" t="s">
        <v>550</v>
      </c>
      <c r="B73" s="761" t="s">
        <v>237</v>
      </c>
      <c r="C73" s="30">
        <v>82120</v>
      </c>
      <c r="D73" s="1627"/>
      <c r="E73" s="1627">
        <v>12</v>
      </c>
      <c r="F73" s="1627"/>
      <c r="G73" s="445"/>
      <c r="H73" s="1627"/>
      <c r="I73" s="1627"/>
      <c r="J73" s="1529"/>
      <c r="K73" s="673"/>
      <c r="L73" s="1682"/>
      <c r="M73" s="1678"/>
      <c r="N73" s="1678"/>
      <c r="O73" s="920">
        <f t="shared" si="15"/>
        <v>0</v>
      </c>
      <c r="P73" s="1628"/>
      <c r="Q73" s="930">
        <f t="shared" si="17"/>
        <v>0</v>
      </c>
    </row>
    <row r="74" spans="1:19" s="65" customFormat="1">
      <c r="A74" s="1528" t="s">
        <v>578</v>
      </c>
      <c r="B74" s="761" t="s">
        <v>237</v>
      </c>
      <c r="C74" s="30">
        <v>82120</v>
      </c>
      <c r="D74" s="763"/>
      <c r="E74" s="763">
        <v>4</v>
      </c>
      <c r="F74" s="763"/>
      <c r="G74" s="300">
        <v>35621920.315155603</v>
      </c>
      <c r="H74" s="763"/>
      <c r="I74" s="763"/>
      <c r="J74" s="1543">
        <f>+G74</f>
        <v>35621920.315155603</v>
      </c>
      <c r="K74" s="672"/>
      <c r="L74" s="1682"/>
      <c r="M74" s="1678"/>
      <c r="N74" s="1678"/>
      <c r="O74" s="920">
        <f t="shared" si="15"/>
        <v>0</v>
      </c>
      <c r="Q74" s="930">
        <f t="shared" si="17"/>
        <v>35621920.315155603</v>
      </c>
    </row>
    <row r="75" spans="1:19" s="679" customFormat="1" ht="25.5">
      <c r="A75" s="1528" t="s">
        <v>551</v>
      </c>
      <c r="B75" s="761" t="s">
        <v>237</v>
      </c>
      <c r="C75" s="30">
        <v>82120</v>
      </c>
      <c r="D75" s="763"/>
      <c r="E75" s="763">
        <v>6</v>
      </c>
      <c r="F75" s="315"/>
      <c r="G75" s="300">
        <v>36144000</v>
      </c>
      <c r="H75" s="315"/>
      <c r="I75" s="315"/>
      <c r="J75" s="1531">
        <f>6000000*E75*1.004</f>
        <v>36144000</v>
      </c>
      <c r="K75" s="672"/>
      <c r="L75" s="1682"/>
      <c r="M75" s="1678"/>
      <c r="N75" s="1678"/>
      <c r="O75" s="920">
        <f t="shared" si="15"/>
        <v>0</v>
      </c>
      <c r="P75" s="65"/>
      <c r="Q75" s="930">
        <f t="shared" si="17"/>
        <v>36144000</v>
      </c>
    </row>
    <row r="76" spans="1:19" s="679" customFormat="1" ht="25.5">
      <c r="A76" s="1528" t="s">
        <v>1053</v>
      </c>
      <c r="B76" s="533" t="s">
        <v>237</v>
      </c>
      <c r="C76" s="30" t="s">
        <v>878</v>
      </c>
      <c r="D76" s="30"/>
      <c r="E76" s="30">
        <v>3.75</v>
      </c>
      <c r="F76" s="30"/>
      <c r="G76" s="1571">
        <f>2000000*1.004*E76</f>
        <v>7530000</v>
      </c>
      <c r="H76" s="1565"/>
      <c r="I76" s="1565"/>
      <c r="J76" s="1542">
        <f>+G76</f>
        <v>7530000</v>
      </c>
      <c r="K76" s="703"/>
      <c r="L76" s="1691"/>
      <c r="M76" s="1692"/>
      <c r="N76" s="1692"/>
      <c r="O76" s="920">
        <f t="shared" si="15"/>
        <v>0</v>
      </c>
      <c r="Q76" s="1566">
        <f t="shared" si="17"/>
        <v>7530000</v>
      </c>
    </row>
    <row r="77" spans="1:19" s="1628" customFormat="1" ht="43.5" customHeight="1">
      <c r="A77" s="758" t="s">
        <v>1154</v>
      </c>
      <c r="B77" s="761" t="s">
        <v>237</v>
      </c>
      <c r="C77" s="30" t="s">
        <v>878</v>
      </c>
      <c r="D77" s="1627"/>
      <c r="E77" s="1627">
        <v>6</v>
      </c>
      <c r="F77" s="1627"/>
      <c r="G77" s="301"/>
      <c r="H77" s="687"/>
      <c r="I77" s="687"/>
      <c r="J77" s="1542">
        <f t="shared" ref="J77:J79" si="22">+G77</f>
        <v>0</v>
      </c>
      <c r="K77" s="703"/>
      <c r="L77" s="1691"/>
      <c r="M77" s="687">
        <v>1111428</v>
      </c>
      <c r="N77" s="687"/>
      <c r="O77" s="920">
        <f t="shared" si="15"/>
        <v>1111428</v>
      </c>
      <c r="P77" s="679"/>
      <c r="Q77" s="1566">
        <f t="shared" si="17"/>
        <v>1111428</v>
      </c>
    </row>
    <row r="78" spans="1:19" s="1628" customFormat="1" ht="43.5" customHeight="1">
      <c r="A78" s="758" t="s">
        <v>1154</v>
      </c>
      <c r="B78" s="761" t="s">
        <v>237</v>
      </c>
      <c r="C78" s="30" t="s">
        <v>878</v>
      </c>
      <c r="D78" s="1627"/>
      <c r="E78" s="1627">
        <v>6</v>
      </c>
      <c r="F78" s="1627"/>
      <c r="G78" s="301"/>
      <c r="H78" s="687">
        <v>2222856</v>
      </c>
      <c r="I78" s="687"/>
      <c r="J78" s="1542">
        <f>SUM(G78:I78)</f>
        <v>2222856</v>
      </c>
      <c r="K78" s="673"/>
      <c r="L78" s="1682"/>
      <c r="M78" s="687"/>
      <c r="N78" s="687"/>
      <c r="O78" s="920">
        <f t="shared" si="15"/>
        <v>0</v>
      </c>
      <c r="P78" s="1683"/>
      <c r="Q78" s="1566">
        <f t="shared" si="17"/>
        <v>2222856</v>
      </c>
    </row>
    <row r="79" spans="1:19" s="1628" customFormat="1" ht="25.5">
      <c r="A79" s="758" t="s">
        <v>1155</v>
      </c>
      <c r="B79" s="761" t="s">
        <v>237</v>
      </c>
      <c r="C79" s="30" t="s">
        <v>878</v>
      </c>
      <c r="D79" s="1627"/>
      <c r="E79" s="1627">
        <v>6</v>
      </c>
      <c r="F79" s="1627"/>
      <c r="G79" s="301">
        <v>1111428</v>
      </c>
      <c r="H79" s="687"/>
      <c r="I79" s="687"/>
      <c r="J79" s="1542">
        <f t="shared" si="22"/>
        <v>1111428</v>
      </c>
      <c r="K79" s="673"/>
      <c r="L79" s="1682"/>
      <c r="M79" s="687"/>
      <c r="N79" s="687">
        <v>2222856</v>
      </c>
      <c r="O79" s="920">
        <f t="shared" si="15"/>
        <v>2222856</v>
      </c>
      <c r="P79" s="1683"/>
      <c r="Q79" s="1566">
        <f t="shared" si="17"/>
        <v>3334284</v>
      </c>
    </row>
    <row r="80" spans="1:19" s="65" customFormat="1" ht="25.5">
      <c r="A80" s="1528" t="s">
        <v>552</v>
      </c>
      <c r="B80" s="761" t="s">
        <v>237</v>
      </c>
      <c r="C80" s="30" t="s">
        <v>878</v>
      </c>
      <c r="D80" s="1627"/>
      <c r="E80" s="1627">
        <v>1</v>
      </c>
      <c r="F80" s="1627"/>
      <c r="G80" s="445"/>
      <c r="H80" s="1627"/>
      <c r="I80" s="1627"/>
      <c r="J80" s="1529"/>
      <c r="K80" s="673"/>
      <c r="L80" s="1682"/>
      <c r="M80" s="1678"/>
      <c r="N80" s="1678"/>
      <c r="O80" s="920">
        <f t="shared" si="15"/>
        <v>0</v>
      </c>
      <c r="P80" s="1628"/>
      <c r="Q80" s="1566">
        <f t="shared" si="17"/>
        <v>0</v>
      </c>
    </row>
    <row r="81" spans="1:21" ht="25.5">
      <c r="A81" s="1528" t="s">
        <v>553</v>
      </c>
      <c r="B81" s="761" t="s">
        <v>237</v>
      </c>
      <c r="C81" s="30" t="s">
        <v>878</v>
      </c>
      <c r="D81" s="763"/>
      <c r="E81" s="763">
        <v>1</v>
      </c>
      <c r="F81" s="763"/>
      <c r="G81" s="763"/>
      <c r="H81" s="763"/>
      <c r="I81" s="763"/>
      <c r="J81" s="1529"/>
      <c r="K81" s="673"/>
      <c r="L81" s="1682"/>
      <c r="M81" s="1678"/>
      <c r="N81" s="1678"/>
      <c r="O81" s="920">
        <f t="shared" si="15"/>
        <v>0</v>
      </c>
      <c r="P81" s="65"/>
      <c r="Q81" s="930">
        <f t="shared" si="17"/>
        <v>0</v>
      </c>
    </row>
    <row r="82" spans="1:21" s="418" customFormat="1" ht="13.5" thickBot="1">
      <c r="A82" s="1537"/>
      <c r="B82" s="909"/>
      <c r="C82" s="909"/>
      <c r="D82" s="21"/>
      <c r="E82" s="21"/>
      <c r="F82" s="21"/>
      <c r="G82" s="21"/>
      <c r="H82" s="21"/>
      <c r="I82" s="21"/>
      <c r="J82" s="1538"/>
      <c r="K82" s="274"/>
      <c r="L82" s="1693"/>
      <c r="M82" s="1687"/>
      <c r="N82" s="1687"/>
      <c r="O82" s="1115">
        <f t="shared" si="15"/>
        <v>0</v>
      </c>
      <c r="P82" s="1"/>
      <c r="Q82" s="1113">
        <f t="shared" si="17"/>
        <v>0</v>
      </c>
    </row>
    <row r="83" spans="1:21" ht="39" thickBot="1">
      <c r="A83" s="1544" t="s">
        <v>50</v>
      </c>
      <c r="B83" s="1140"/>
      <c r="C83" s="1140"/>
      <c r="D83" s="1141" t="s">
        <v>261</v>
      </c>
      <c r="E83" s="1141">
        <v>60</v>
      </c>
      <c r="F83" s="1141">
        <f>+F84</f>
        <v>0</v>
      </c>
      <c r="G83" s="1141">
        <f>+G84</f>
        <v>0</v>
      </c>
      <c r="H83" s="1141">
        <f>+H84</f>
        <v>0</v>
      </c>
      <c r="I83" s="1141">
        <f>+I84</f>
        <v>0</v>
      </c>
      <c r="J83" s="1545">
        <f>+J84</f>
        <v>0</v>
      </c>
      <c r="K83" s="496"/>
      <c r="L83" s="1142">
        <f>+L84</f>
        <v>0</v>
      </c>
      <c r="M83" s="1141">
        <f t="shared" ref="M83:O83" si="23">+M84</f>
        <v>0</v>
      </c>
      <c r="N83" s="1141">
        <f t="shared" si="23"/>
        <v>0</v>
      </c>
      <c r="O83" s="1143">
        <f t="shared" si="23"/>
        <v>0</v>
      </c>
      <c r="P83" s="418"/>
      <c r="Q83" s="1144">
        <f>+Q84</f>
        <v>0</v>
      </c>
    </row>
    <row r="84" spans="1:21" ht="25.5">
      <c r="A84" s="1546" t="s">
        <v>262</v>
      </c>
      <c r="B84" s="1071"/>
      <c r="C84" s="1071"/>
      <c r="D84" s="1090" t="s">
        <v>261</v>
      </c>
      <c r="E84" s="1090">
        <f>+E83</f>
        <v>60</v>
      </c>
      <c r="F84" s="1090">
        <f>SUM(F85:F87)</f>
        <v>0</v>
      </c>
      <c r="G84" s="1090">
        <f t="shared" ref="G84:I84" si="24">SUM(G85:G87)</f>
        <v>0</v>
      </c>
      <c r="H84" s="1090">
        <f t="shared" si="24"/>
        <v>0</v>
      </c>
      <c r="I84" s="1090">
        <f t="shared" si="24"/>
        <v>0</v>
      </c>
      <c r="J84" s="1547">
        <f>SUM(J85:J87)</f>
        <v>0</v>
      </c>
      <c r="L84" s="1137">
        <f>SUM(L85:L87)</f>
        <v>0</v>
      </c>
      <c r="M84" s="1090">
        <f t="shared" ref="M84:O84" si="25">SUM(M85:M87)</f>
        <v>0</v>
      </c>
      <c r="N84" s="1090">
        <f t="shared" si="25"/>
        <v>0</v>
      </c>
      <c r="O84" s="1138">
        <f t="shared" si="25"/>
        <v>0</v>
      </c>
      <c r="Q84" s="1139">
        <f>SUM(Q85:Q87)</f>
        <v>0</v>
      </c>
    </row>
    <row r="85" spans="1:21">
      <c r="A85" s="1528"/>
      <c r="B85" s="179"/>
      <c r="C85" s="179"/>
      <c r="D85" s="763"/>
      <c r="E85" s="763"/>
      <c r="F85" s="763"/>
      <c r="G85" s="763"/>
      <c r="H85" s="763"/>
      <c r="I85" s="763"/>
      <c r="J85" s="1529"/>
      <c r="L85" s="919"/>
      <c r="M85" s="763"/>
      <c r="N85" s="763"/>
      <c r="O85" s="920">
        <f>SUM(L85:N85)</f>
        <v>0</v>
      </c>
      <c r="Q85" s="930">
        <f>+J85+O85</f>
        <v>0</v>
      </c>
    </row>
    <row r="86" spans="1:21">
      <c r="A86" s="1528"/>
      <c r="B86" s="179"/>
      <c r="C86" s="179"/>
      <c r="D86" s="763"/>
      <c r="E86" s="763"/>
      <c r="F86" s="763"/>
      <c r="G86" s="763"/>
      <c r="H86" s="763"/>
      <c r="I86" s="763"/>
      <c r="J86" s="1529"/>
      <c r="L86" s="919"/>
      <c r="M86" s="763"/>
      <c r="N86" s="763"/>
      <c r="O86" s="920">
        <f t="shared" ref="O86:O87" si="26">SUM(L86:N86)</f>
        <v>0</v>
      </c>
      <c r="Q86" s="930">
        <f>+J86+O86</f>
        <v>0</v>
      </c>
    </row>
    <row r="87" spans="1:21" s="275" customFormat="1" ht="13.5" thickBot="1">
      <c r="A87" s="1537"/>
      <c r="B87" s="909"/>
      <c r="C87" s="909"/>
      <c r="D87" s="21"/>
      <c r="E87" s="21"/>
      <c r="F87" s="21"/>
      <c r="G87" s="21"/>
      <c r="H87" s="21"/>
      <c r="I87" s="21"/>
      <c r="J87" s="1538"/>
      <c r="K87" s="274"/>
      <c r="L87" s="1114"/>
      <c r="M87" s="21"/>
      <c r="N87" s="21"/>
      <c r="O87" s="1115">
        <f t="shared" si="26"/>
        <v>0</v>
      </c>
      <c r="P87" s="1"/>
      <c r="Q87" s="1113">
        <f>+J87+O87</f>
        <v>0</v>
      </c>
    </row>
    <row r="88" spans="1:21" s="275" customFormat="1" ht="26.25" thickBot="1">
      <c r="A88" s="1548" t="s">
        <v>51</v>
      </c>
      <c r="B88" s="1149"/>
      <c r="C88" s="1149"/>
      <c r="D88" s="1150" t="s">
        <v>215</v>
      </c>
      <c r="E88" s="1150">
        <v>80</v>
      </c>
      <c r="F88" s="1147">
        <f>+F89+F128</f>
        <v>78785254.040000021</v>
      </c>
      <c r="G88" s="1147">
        <f>+G89+G128</f>
        <v>246248440.57971862</v>
      </c>
      <c r="H88" s="1147">
        <f>+H89+H128</f>
        <v>127743745.62069111</v>
      </c>
      <c r="I88" s="1147">
        <f>+I89+I128</f>
        <v>24854723</v>
      </c>
      <c r="J88" s="1549">
        <f>+J89+J128</f>
        <v>477632163.24040973</v>
      </c>
      <c r="K88" s="281"/>
      <c r="L88" s="1146">
        <f>+L89+L128</f>
        <v>6443478.9359999998</v>
      </c>
      <c r="M88" s="1147">
        <f t="shared" ref="M88:N88" si="27">+M89+M128</f>
        <v>0</v>
      </c>
      <c r="N88" s="1147">
        <f t="shared" si="27"/>
        <v>19591556.981372707</v>
      </c>
      <c r="O88" s="1148">
        <f>+O89+O128</f>
        <v>26035035.917372707</v>
      </c>
      <c r="Q88" s="1145">
        <f>+Q89+Q128</f>
        <v>503667199.15778238</v>
      </c>
    </row>
    <row r="89" spans="1:21" s="1628" customFormat="1" ht="25.5">
      <c r="A89" s="1526" t="s">
        <v>263</v>
      </c>
      <c r="B89" s="1117"/>
      <c r="C89" s="1117"/>
      <c r="D89" s="1118" t="s">
        <v>215</v>
      </c>
      <c r="E89" s="1118">
        <f>+E88</f>
        <v>80</v>
      </c>
      <c r="F89" s="1119">
        <f>SUM(F90:F127)</f>
        <v>78785254.040000021</v>
      </c>
      <c r="G89" s="1119">
        <f>SUM(G90:G127)</f>
        <v>246248440.57971862</v>
      </c>
      <c r="H89" s="1119">
        <f>SUM(H90:H127)</f>
        <v>63493152.646627098</v>
      </c>
      <c r="I89" s="1119">
        <f>SUM(I90:I127)</f>
        <v>24854723</v>
      </c>
      <c r="J89" s="1527">
        <f>SUM(J90:J127)</f>
        <v>413381570.26634574</v>
      </c>
      <c r="K89" s="281"/>
      <c r="L89" s="1123">
        <f>SUM(L90:L127)</f>
        <v>6443478.9359999998</v>
      </c>
      <c r="M89" s="1119">
        <f t="shared" ref="M89" si="28">SUM(M90:M127)</f>
        <v>0</v>
      </c>
      <c r="N89" s="1119">
        <f>SUM(N90:N127)</f>
        <v>19591556.981372707</v>
      </c>
      <c r="O89" s="1124">
        <f>SUM(O90:O127)</f>
        <v>26035035.917372707</v>
      </c>
      <c r="P89" s="275"/>
      <c r="Q89" s="1122">
        <f>SUM(Q90:Q127)</f>
        <v>439416606.18371838</v>
      </c>
    </row>
    <row r="90" spans="1:21" s="1628" customFormat="1">
      <c r="A90" s="1528" t="s">
        <v>554</v>
      </c>
      <c r="B90" s="761" t="s">
        <v>264</v>
      </c>
      <c r="C90" s="30" t="s">
        <v>878</v>
      </c>
      <c r="D90" s="1627"/>
      <c r="E90" s="1627"/>
      <c r="F90" s="1627"/>
      <c r="G90" s="438"/>
      <c r="H90" s="1627"/>
      <c r="I90" s="438"/>
      <c r="J90" s="1529"/>
      <c r="K90" s="672"/>
      <c r="L90" s="1682"/>
      <c r="M90" s="1678"/>
      <c r="N90" s="1678">
        <f>13859778.24-13859778.24</f>
        <v>0</v>
      </c>
      <c r="O90" s="920">
        <f>SUM(L90:N90)</f>
        <v>0</v>
      </c>
      <c r="Q90" s="930">
        <f t="shared" ref="Q90:Q127" si="29">+J90+O90</f>
        <v>0</v>
      </c>
    </row>
    <row r="91" spans="1:21" s="1628" customFormat="1">
      <c r="A91" s="1528" t="s">
        <v>524</v>
      </c>
      <c r="B91" s="761" t="s">
        <v>264</v>
      </c>
      <c r="C91" s="30" t="s">
        <v>878</v>
      </c>
      <c r="D91" s="1627"/>
      <c r="E91" s="1627">
        <v>5</v>
      </c>
      <c r="F91" s="1627"/>
      <c r="G91" s="438">
        <v>14127523.956000002</v>
      </c>
      <c r="H91" s="1627"/>
      <c r="I91" s="1627"/>
      <c r="J91" s="1529">
        <v>14127523.956000002</v>
      </c>
      <c r="K91" s="672"/>
      <c r="L91" s="1682"/>
      <c r="M91" s="1678"/>
      <c r="N91" s="1678"/>
      <c r="O91" s="920">
        <f t="shared" ref="O91:O127" si="30">SUM(L91:N91)</f>
        <v>0</v>
      </c>
      <c r="Q91" s="930">
        <f t="shared" si="29"/>
        <v>14127523.956000002</v>
      </c>
      <c r="R91" s="2119"/>
    </row>
    <row r="92" spans="1:21" s="1628" customFormat="1">
      <c r="A92" s="1528" t="s">
        <v>882</v>
      </c>
      <c r="B92" s="761" t="s">
        <v>264</v>
      </c>
      <c r="C92" s="30" t="s">
        <v>878</v>
      </c>
      <c r="D92" s="1627"/>
      <c r="E92" s="1627">
        <v>2</v>
      </c>
      <c r="F92" s="1627"/>
      <c r="G92" s="438"/>
      <c r="H92" s="1627"/>
      <c r="I92" s="438">
        <v>7530000</v>
      </c>
      <c r="J92" s="1550">
        <f>+I92</f>
        <v>7530000</v>
      </c>
      <c r="K92" s="672"/>
      <c r="L92" s="1682"/>
      <c r="M92" s="1678"/>
      <c r="N92" s="1678"/>
      <c r="O92" s="920">
        <f t="shared" si="30"/>
        <v>0</v>
      </c>
      <c r="Q92" s="930">
        <f t="shared" si="29"/>
        <v>7530000</v>
      </c>
    </row>
    <row r="93" spans="1:21" s="679" customFormat="1">
      <c r="A93" s="1528" t="s">
        <v>1024</v>
      </c>
      <c r="B93" s="761" t="s">
        <v>264</v>
      </c>
      <c r="C93" s="30" t="s">
        <v>878</v>
      </c>
      <c r="D93" s="1627"/>
      <c r="E93" s="1627">
        <v>5</v>
      </c>
      <c r="F93" s="1627"/>
      <c r="G93" s="438"/>
      <c r="H93" s="1627"/>
      <c r="I93" s="438"/>
      <c r="J93" s="1529"/>
      <c r="K93" s="673"/>
      <c r="L93" s="1682"/>
      <c r="M93" s="1678"/>
      <c r="N93" s="1678">
        <f>13859778.24-103854</f>
        <v>13755924.24</v>
      </c>
      <c r="O93" s="920">
        <f t="shared" si="30"/>
        <v>13755924.24</v>
      </c>
      <c r="P93" s="1628"/>
      <c r="Q93" s="930">
        <f t="shared" si="29"/>
        <v>13755924.24</v>
      </c>
      <c r="U93" s="2116"/>
    </row>
    <row r="94" spans="1:21" s="1628" customFormat="1">
      <c r="A94" s="1528" t="s">
        <v>1021</v>
      </c>
      <c r="B94" s="533" t="s">
        <v>264</v>
      </c>
      <c r="C94" s="30" t="s">
        <v>878</v>
      </c>
      <c r="D94" s="30"/>
      <c r="E94" s="30">
        <v>3</v>
      </c>
      <c r="F94" s="30"/>
      <c r="G94" s="702"/>
      <c r="H94" s="30"/>
      <c r="I94" s="702"/>
      <c r="J94" s="1530"/>
      <c r="K94" s="703"/>
      <c r="L94" s="1691"/>
      <c r="M94" s="1692"/>
      <c r="N94" s="1692">
        <f>10290979-10013191-277788</f>
        <v>0</v>
      </c>
      <c r="O94" s="1884">
        <f t="shared" si="30"/>
        <v>0</v>
      </c>
      <c r="P94" s="679"/>
      <c r="Q94" s="1566">
        <f t="shared" si="29"/>
        <v>0</v>
      </c>
      <c r="R94" s="1995"/>
    </row>
    <row r="95" spans="1:21" s="1628" customFormat="1">
      <c r="A95" s="1528" t="s">
        <v>526</v>
      </c>
      <c r="B95" s="761" t="s">
        <v>264</v>
      </c>
      <c r="C95" s="30" t="s">
        <v>878</v>
      </c>
      <c r="D95" s="1627"/>
      <c r="E95" s="1627">
        <v>5</v>
      </c>
      <c r="F95" s="1627"/>
      <c r="G95" s="438">
        <v>17324722.899999999</v>
      </c>
      <c r="H95" s="1627"/>
      <c r="I95" s="1627"/>
      <c r="J95" s="1529">
        <v>17324722.899999999</v>
      </c>
      <c r="K95" s="672"/>
      <c r="L95" s="1682"/>
      <c r="M95" s="1678"/>
      <c r="N95" s="1678"/>
      <c r="O95" s="920">
        <f t="shared" si="30"/>
        <v>0</v>
      </c>
      <c r="Q95" s="930">
        <f t="shared" si="29"/>
        <v>17324722.899999999</v>
      </c>
    </row>
    <row r="96" spans="1:21" s="1628" customFormat="1">
      <c r="A96" s="1528" t="s">
        <v>527</v>
      </c>
      <c r="B96" s="761" t="s">
        <v>264</v>
      </c>
      <c r="C96" s="30" t="s">
        <v>878</v>
      </c>
      <c r="D96" s="1627"/>
      <c r="E96" s="1627">
        <v>5</v>
      </c>
      <c r="F96" s="1627"/>
      <c r="G96" s="438"/>
      <c r="H96" s="1627"/>
      <c r="I96" s="438">
        <v>17324723</v>
      </c>
      <c r="J96" s="1529">
        <v>17324723</v>
      </c>
      <c r="K96" s="672"/>
      <c r="L96" s="1682"/>
      <c r="M96" s="1678"/>
      <c r="N96" s="1678"/>
      <c r="O96" s="920">
        <f t="shared" si="30"/>
        <v>0</v>
      </c>
      <c r="Q96" s="930">
        <f t="shared" si="29"/>
        <v>17324723</v>
      </c>
    </row>
    <row r="97" spans="1:21" s="1628" customFormat="1">
      <c r="A97" s="1528" t="s">
        <v>528</v>
      </c>
      <c r="B97" s="761" t="s">
        <v>264</v>
      </c>
      <c r="C97" s="30" t="s">
        <v>878</v>
      </c>
      <c r="D97" s="1627"/>
      <c r="E97" s="1627">
        <v>5</v>
      </c>
      <c r="F97" s="1627"/>
      <c r="G97" s="438">
        <v>20474672</v>
      </c>
      <c r="H97" s="1627"/>
      <c r="I97" s="1627"/>
      <c r="J97" s="1529">
        <v>20474672</v>
      </c>
      <c r="K97" s="672"/>
      <c r="L97" s="1682"/>
      <c r="M97" s="1678"/>
      <c r="N97" s="1678"/>
      <c r="O97" s="920">
        <f t="shared" si="30"/>
        <v>0</v>
      </c>
      <c r="Q97" s="930">
        <f t="shared" si="29"/>
        <v>20474672</v>
      </c>
      <c r="R97" s="2119"/>
      <c r="S97" s="2133"/>
    </row>
    <row r="98" spans="1:21" s="1628" customFormat="1">
      <c r="A98" s="1528" t="s">
        <v>529</v>
      </c>
      <c r="B98" s="761" t="s">
        <v>264</v>
      </c>
      <c r="C98" s="30" t="s">
        <v>878</v>
      </c>
      <c r="D98" s="1627"/>
      <c r="E98" s="1627">
        <v>5</v>
      </c>
      <c r="F98" s="1627"/>
      <c r="G98" s="438">
        <v>17324722.800000001</v>
      </c>
      <c r="H98" s="1627"/>
      <c r="I98" s="1627"/>
      <c r="J98" s="1529">
        <v>17324722.800000001</v>
      </c>
      <c r="K98" s="672"/>
      <c r="L98" s="1682"/>
      <c r="M98" s="1678"/>
      <c r="N98" s="1678"/>
      <c r="O98" s="920"/>
      <c r="Q98" s="930">
        <f t="shared" si="29"/>
        <v>17324722.800000001</v>
      </c>
    </row>
    <row r="99" spans="1:21" s="65" customFormat="1">
      <c r="A99" s="1528" t="s">
        <v>530</v>
      </c>
      <c r="B99" s="761" t="s">
        <v>264</v>
      </c>
      <c r="C99" s="30" t="s">
        <v>878</v>
      </c>
      <c r="D99" s="1627"/>
      <c r="E99" s="1627">
        <v>4</v>
      </c>
      <c r="F99" s="1627"/>
      <c r="G99" s="438"/>
      <c r="H99" s="1627"/>
      <c r="I99" s="1627"/>
      <c r="J99" s="1529"/>
      <c r="K99" s="672"/>
      <c r="L99" s="1682"/>
      <c r="M99" s="1678">
        <f>13859778.24-13859778.24</f>
        <v>0</v>
      </c>
      <c r="N99" s="1678"/>
      <c r="O99" s="920">
        <f t="shared" si="30"/>
        <v>0</v>
      </c>
      <c r="P99" s="1628"/>
      <c r="Q99" s="930">
        <f t="shared" si="29"/>
        <v>0</v>
      </c>
    </row>
    <row r="100" spans="1:21" s="65" customFormat="1">
      <c r="A100" s="1528" t="s">
        <v>818</v>
      </c>
      <c r="B100" s="761" t="s">
        <v>264</v>
      </c>
      <c r="C100" s="30" t="s">
        <v>878</v>
      </c>
      <c r="D100" s="1627"/>
      <c r="E100" s="1627">
        <v>8</v>
      </c>
      <c r="F100" s="315"/>
      <c r="G100" s="301">
        <f>25768512*1.004</f>
        <v>25871586.048</v>
      </c>
      <c r="H100" s="315"/>
      <c r="I100" s="300"/>
      <c r="J100" s="1542">
        <v>25871586.048</v>
      </c>
      <c r="K100" s="672"/>
      <c r="L100" s="1682"/>
      <c r="M100" s="1678"/>
      <c r="N100" s="1678"/>
      <c r="O100" s="920">
        <f t="shared" si="30"/>
        <v>0</v>
      </c>
      <c r="Q100" s="930">
        <f t="shared" si="29"/>
        <v>25871586.048</v>
      </c>
    </row>
    <row r="101" spans="1:21" s="65" customFormat="1">
      <c r="A101" s="1551" t="s">
        <v>611</v>
      </c>
      <c r="B101" s="761" t="s">
        <v>264</v>
      </c>
      <c r="C101" s="30" t="s">
        <v>878</v>
      </c>
      <c r="D101" s="1627"/>
      <c r="E101" s="1627">
        <v>1</v>
      </c>
      <c r="F101" s="1627"/>
      <c r="G101" s="438">
        <v>4094934.48</v>
      </c>
      <c r="H101" s="1627"/>
      <c r="I101" s="1627"/>
      <c r="J101" s="1529">
        <v>4094934.48</v>
      </c>
      <c r="K101" s="672"/>
      <c r="L101" s="1682"/>
      <c r="M101" s="1678"/>
      <c r="N101" s="1678"/>
      <c r="O101" s="920">
        <f t="shared" si="30"/>
        <v>0</v>
      </c>
      <c r="Q101" s="930">
        <f t="shared" si="29"/>
        <v>4094934.48</v>
      </c>
    </row>
    <row r="102" spans="1:21" s="65" customFormat="1">
      <c r="A102" s="1528" t="s">
        <v>555</v>
      </c>
      <c r="B102" s="761" t="s">
        <v>264</v>
      </c>
      <c r="C102" s="30" t="s">
        <v>878</v>
      </c>
      <c r="D102" s="1627"/>
      <c r="E102" s="1627">
        <v>6</v>
      </c>
      <c r="F102" s="1627"/>
      <c r="G102" s="438">
        <v>24569606.880000003</v>
      </c>
      <c r="H102" s="1627"/>
      <c r="I102" s="1627"/>
      <c r="J102" s="1529">
        <v>24569606.880000003</v>
      </c>
      <c r="K102" s="672"/>
      <c r="L102" s="1682"/>
      <c r="M102" s="1678"/>
      <c r="N102" s="1678"/>
      <c r="O102" s="920">
        <f t="shared" si="30"/>
        <v>0</v>
      </c>
      <c r="Q102" s="930">
        <f t="shared" si="29"/>
        <v>24569606.880000003</v>
      </c>
    </row>
    <row r="103" spans="1:21" s="1628" customFormat="1">
      <c r="A103" s="1528" t="s">
        <v>556</v>
      </c>
      <c r="B103" s="761" t="s">
        <v>264</v>
      </c>
      <c r="C103" s="30" t="s">
        <v>878</v>
      </c>
      <c r="D103" s="1627"/>
      <c r="E103" s="1627">
        <v>6</v>
      </c>
      <c r="F103" s="1627"/>
      <c r="G103" s="438">
        <v>24569606.880000003</v>
      </c>
      <c r="H103" s="1627"/>
      <c r="I103" s="1627"/>
      <c r="J103" s="1529">
        <v>24569606.880000003</v>
      </c>
      <c r="K103" s="672"/>
      <c r="L103" s="1682"/>
      <c r="M103" s="1678"/>
      <c r="N103" s="1678"/>
      <c r="O103" s="920">
        <f t="shared" si="30"/>
        <v>0</v>
      </c>
      <c r="P103" s="65"/>
      <c r="Q103" s="930">
        <f t="shared" si="29"/>
        <v>24569606.880000003</v>
      </c>
    </row>
    <row r="104" spans="1:21" s="1628" customFormat="1" ht="25.5">
      <c r="A104" s="1528" t="s">
        <v>679</v>
      </c>
      <c r="B104" s="761" t="s">
        <v>264</v>
      </c>
      <c r="C104" s="30" t="s">
        <v>878</v>
      </c>
      <c r="D104" s="1627"/>
      <c r="E104" s="1627">
        <v>2</v>
      </c>
      <c r="F104" s="294"/>
      <c r="G104" s="294">
        <f>+E104*3300000*1.0458*1.004</f>
        <v>6929889.1200000001</v>
      </c>
      <c r="H104" s="1627"/>
      <c r="I104" s="1627"/>
      <c r="J104" s="1529">
        <v>6929889.1200000001</v>
      </c>
      <c r="K104" s="672"/>
      <c r="L104" s="1689"/>
      <c r="M104" s="1690"/>
      <c r="N104" s="1690"/>
      <c r="O104" s="920">
        <f t="shared" si="30"/>
        <v>0</v>
      </c>
      <c r="Q104" s="930">
        <f t="shared" si="29"/>
        <v>6929889.1200000001</v>
      </c>
    </row>
    <row r="105" spans="1:21" s="1628" customFormat="1" ht="25.5">
      <c r="A105" s="1528" t="s">
        <v>678</v>
      </c>
      <c r="B105" s="761" t="s">
        <v>264</v>
      </c>
      <c r="C105" s="30" t="s">
        <v>878</v>
      </c>
      <c r="D105" s="1627"/>
      <c r="E105" s="1627">
        <v>6</v>
      </c>
      <c r="F105" s="357">
        <f>3900000*1.004*1.0458*E105</f>
        <v>24569606.880000003</v>
      </c>
      <c r="G105" s="310"/>
      <c r="H105" s="1627"/>
      <c r="I105" s="1627"/>
      <c r="J105" s="1529">
        <v>24569606.880000003</v>
      </c>
      <c r="K105" s="672"/>
      <c r="L105" s="1694"/>
      <c r="M105" s="1695"/>
      <c r="N105" s="1695"/>
      <c r="O105" s="920">
        <f t="shared" si="30"/>
        <v>0</v>
      </c>
      <c r="Q105" s="930">
        <f t="shared" si="29"/>
        <v>24569606.880000003</v>
      </c>
      <c r="S105" s="807"/>
      <c r="T105" s="807"/>
      <c r="U105" s="807"/>
    </row>
    <row r="106" spans="1:21" s="1628" customFormat="1" ht="14.25" customHeight="1">
      <c r="A106" s="1528" t="s">
        <v>1212</v>
      </c>
      <c r="B106" s="761" t="s">
        <v>237</v>
      </c>
      <c r="C106" s="30" t="s">
        <v>878</v>
      </c>
      <c r="D106" s="1627"/>
      <c r="E106" s="1627">
        <v>1</v>
      </c>
      <c r="F106" s="1627"/>
      <c r="G106" s="438">
        <v>793160</v>
      </c>
      <c r="H106" s="1627"/>
      <c r="I106" s="1627"/>
      <c r="J106" s="1529">
        <f t="shared" ref="J106" si="31">SUM(G106:I106)</f>
        <v>793160</v>
      </c>
      <c r="K106" s="673"/>
      <c r="L106" s="1682"/>
      <c r="M106" s="1678"/>
      <c r="N106" s="1678">
        <f>277788+103854</f>
        <v>381642</v>
      </c>
      <c r="O106" s="1685">
        <f t="shared" ref="O106" si="32">SUM(L106:N106)</f>
        <v>381642</v>
      </c>
      <c r="Q106" s="930">
        <f t="shared" si="29"/>
        <v>1174802</v>
      </c>
    </row>
    <row r="107" spans="1:21" s="1628" customFormat="1">
      <c r="A107" s="1528" t="s">
        <v>540</v>
      </c>
      <c r="B107" s="761" t="s">
        <v>264</v>
      </c>
      <c r="C107" s="30" t="s">
        <v>878</v>
      </c>
      <c r="D107" s="1627"/>
      <c r="E107" s="1627">
        <v>4</v>
      </c>
      <c r="F107" s="315"/>
      <c r="G107" s="438"/>
      <c r="H107" s="315"/>
      <c r="I107" s="315"/>
      <c r="J107" s="1531"/>
      <c r="K107" s="672"/>
      <c r="L107" s="1682"/>
      <c r="M107" s="1678"/>
      <c r="N107" s="1678"/>
      <c r="O107" s="920">
        <f t="shared" si="30"/>
        <v>0</v>
      </c>
      <c r="Q107" s="930">
        <f t="shared" si="29"/>
        <v>0</v>
      </c>
      <c r="R107" s="1623"/>
      <c r="S107" s="2113"/>
      <c r="T107" s="2113"/>
      <c r="U107" s="807"/>
    </row>
    <row r="108" spans="1:21" s="1628" customFormat="1">
      <c r="A108" s="1798" t="s">
        <v>1058</v>
      </c>
      <c r="B108" s="761" t="s">
        <v>264</v>
      </c>
      <c r="C108" s="1627" t="s">
        <v>878</v>
      </c>
      <c r="D108" s="1627"/>
      <c r="E108" s="1627">
        <v>6</v>
      </c>
      <c r="F108" s="315"/>
      <c r="G108" s="1885">
        <v>1405600</v>
      </c>
      <c r="H108" s="1885">
        <v>19898154.258627295</v>
      </c>
      <c r="I108" s="1622"/>
      <c r="J108" s="1620">
        <f>+H108+G108</f>
        <v>21303754.258627295</v>
      </c>
      <c r="K108" s="673" t="s">
        <v>1107</v>
      </c>
      <c r="L108" s="1682">
        <f>803200+15787+975607</f>
        <v>1794594</v>
      </c>
      <c r="M108" s="1678"/>
      <c r="N108" s="1678">
        <v>1989045.7413727045</v>
      </c>
      <c r="O108" s="1679">
        <f>+N108+L108</f>
        <v>3783639.7413727045</v>
      </c>
      <c r="P108" s="673" t="s">
        <v>1108</v>
      </c>
      <c r="Q108" s="1681">
        <f>+O108+J108</f>
        <v>25087394</v>
      </c>
      <c r="R108" s="1625"/>
    </row>
    <row r="109" spans="1:21" s="1628" customFormat="1">
      <c r="A109" s="1528" t="s">
        <v>557</v>
      </c>
      <c r="B109" s="761" t="s">
        <v>264</v>
      </c>
      <c r="C109" s="30" t="s">
        <v>878</v>
      </c>
      <c r="D109" s="1627"/>
      <c r="E109" s="1627">
        <v>6</v>
      </c>
      <c r="F109" s="438">
        <f>+E109*3300000*1.0458*1.004</f>
        <v>20789667.359999999</v>
      </c>
      <c r="G109" s="300"/>
      <c r="H109" s="300"/>
      <c r="I109" s="1627"/>
      <c r="J109" s="1529">
        <v>20789667.359999999</v>
      </c>
      <c r="K109" s="678"/>
      <c r="L109" s="1682"/>
      <c r="M109" s="1678"/>
      <c r="N109" s="1678"/>
      <c r="O109" s="920">
        <f t="shared" si="30"/>
        <v>0</v>
      </c>
      <c r="Q109" s="930">
        <f t="shared" si="29"/>
        <v>20789667.359999999</v>
      </c>
    </row>
    <row r="110" spans="1:21" s="1628" customFormat="1">
      <c r="A110" s="1528" t="s">
        <v>557</v>
      </c>
      <c r="B110" s="761" t="s">
        <v>264</v>
      </c>
      <c r="C110" s="30" t="s">
        <v>878</v>
      </c>
      <c r="D110" s="1627"/>
      <c r="E110" s="1627">
        <v>6</v>
      </c>
      <c r="F110" s="438">
        <f>+E110*3300000*1.0458*1.004-F113</f>
        <v>16694732.879999999</v>
      </c>
      <c r="G110" s="300"/>
      <c r="H110" s="300"/>
      <c r="I110" s="1627"/>
      <c r="J110" s="1529">
        <v>16694732.879999999</v>
      </c>
      <c r="K110" s="678"/>
      <c r="L110" s="1682"/>
      <c r="M110" s="1678"/>
      <c r="N110" s="1678"/>
      <c r="O110" s="920">
        <f t="shared" si="30"/>
        <v>0</v>
      </c>
      <c r="Q110" s="930">
        <f t="shared" si="29"/>
        <v>16694732.879999999</v>
      </c>
    </row>
    <row r="111" spans="1:21" s="1628" customFormat="1">
      <c r="A111" s="1528" t="s">
        <v>557</v>
      </c>
      <c r="B111" s="761" t="s">
        <v>264</v>
      </c>
      <c r="C111" s="30" t="s">
        <v>878</v>
      </c>
      <c r="D111" s="1627"/>
      <c r="E111" s="1627">
        <v>1</v>
      </c>
      <c r="F111" s="438"/>
      <c r="G111" s="300">
        <f>3300000*1.0458*1.004*E111</f>
        <v>3464944.56</v>
      </c>
      <c r="H111" s="300"/>
      <c r="I111" s="1627"/>
      <c r="J111" s="1529">
        <v>3464944.56</v>
      </c>
      <c r="K111" s="678"/>
      <c r="L111" s="1682"/>
      <c r="M111" s="1678"/>
      <c r="N111" s="1678"/>
      <c r="O111" s="920">
        <f t="shared" si="30"/>
        <v>0</v>
      </c>
      <c r="Q111" s="930">
        <f t="shared" si="29"/>
        <v>3464944.56</v>
      </c>
    </row>
    <row r="112" spans="1:21" s="679" customFormat="1" ht="18.75" customHeight="1">
      <c r="A112" s="1528" t="s">
        <v>1208</v>
      </c>
      <c r="B112" s="533" t="s">
        <v>237</v>
      </c>
      <c r="C112" s="30" t="s">
        <v>878</v>
      </c>
      <c r="D112" s="30"/>
      <c r="E112" s="30">
        <v>1</v>
      </c>
      <c r="F112" s="702"/>
      <c r="G112" s="772"/>
      <c r="H112" s="30"/>
      <c r="I112" s="30"/>
      <c r="J112" s="1530">
        <v>0</v>
      </c>
      <c r="K112" s="703"/>
      <c r="L112" s="1691"/>
      <c r="M112" s="1692"/>
      <c r="N112" s="1692">
        <v>3464945</v>
      </c>
      <c r="O112" s="1696">
        <f>+N112</f>
        <v>3464945</v>
      </c>
      <c r="Q112" s="930">
        <f>+O112</f>
        <v>3464945</v>
      </c>
      <c r="S112" s="2116"/>
    </row>
    <row r="113" spans="1:17" s="65" customFormat="1">
      <c r="A113" s="1528" t="s">
        <v>558</v>
      </c>
      <c r="B113" s="761" t="s">
        <v>264</v>
      </c>
      <c r="C113" s="30" t="s">
        <v>878</v>
      </c>
      <c r="D113" s="1627"/>
      <c r="E113" s="1627">
        <v>1</v>
      </c>
      <c r="F113" s="438">
        <f>+E113*3900000*1.0458*1.004</f>
        <v>4094934.4800000004</v>
      </c>
      <c r="G113" s="300"/>
      <c r="H113" s="300"/>
      <c r="I113" s="1627"/>
      <c r="J113" s="1529">
        <v>4094934.4800000004</v>
      </c>
      <c r="K113" s="672"/>
      <c r="L113" s="1682"/>
      <c r="M113" s="1678"/>
      <c r="N113" s="1678"/>
      <c r="O113" s="920">
        <f t="shared" si="30"/>
        <v>0</v>
      </c>
      <c r="P113" s="1628"/>
      <c r="Q113" s="930">
        <f t="shared" si="29"/>
        <v>4094934.4800000004</v>
      </c>
    </row>
    <row r="114" spans="1:17" s="65" customFormat="1">
      <c r="A114" s="1528" t="s">
        <v>559</v>
      </c>
      <c r="B114" s="761" t="s">
        <v>264</v>
      </c>
      <c r="C114" s="30" t="s">
        <v>878</v>
      </c>
      <c r="D114" s="1627"/>
      <c r="E114" s="1627">
        <v>2</v>
      </c>
      <c r="F114" s="438">
        <v>6929889.1200000001</v>
      </c>
      <c r="G114" s="300"/>
      <c r="H114" s="300"/>
      <c r="I114" s="1627"/>
      <c r="J114" s="1529">
        <f>+F114</f>
        <v>6929889.1200000001</v>
      </c>
      <c r="K114" s="672"/>
      <c r="L114" s="1682"/>
      <c r="M114" s="1678"/>
      <c r="N114" s="1678"/>
      <c r="O114" s="920">
        <f t="shared" si="30"/>
        <v>0</v>
      </c>
      <c r="Q114" s="930">
        <f t="shared" si="29"/>
        <v>6929889.1200000001</v>
      </c>
    </row>
    <row r="115" spans="1:17" s="65" customFormat="1" ht="25.5">
      <c r="A115" s="1528" t="s">
        <v>680</v>
      </c>
      <c r="B115" s="1626" t="s">
        <v>237</v>
      </c>
      <c r="C115" s="1626" t="s">
        <v>878</v>
      </c>
      <c r="D115" s="1627"/>
      <c r="E115" s="1627">
        <v>1.7</v>
      </c>
      <c r="F115" s="438">
        <v>5706423.3200000077</v>
      </c>
      <c r="G115" s="300"/>
      <c r="H115" s="300"/>
      <c r="I115" s="1627"/>
      <c r="J115" s="1529">
        <f>+F115</f>
        <v>5706423.3200000077</v>
      </c>
      <c r="K115" s="673"/>
      <c r="L115" s="1678">
        <v>4648884.9359999998</v>
      </c>
      <c r="M115" s="1678"/>
      <c r="N115" s="1678"/>
      <c r="O115" s="920">
        <f t="shared" si="30"/>
        <v>4648884.9359999998</v>
      </c>
      <c r="Q115" s="930">
        <f t="shared" si="29"/>
        <v>10355308.256000008</v>
      </c>
    </row>
    <row r="116" spans="1:17" s="65" customFormat="1">
      <c r="A116" s="1528" t="s">
        <v>542</v>
      </c>
      <c r="B116" s="761" t="s">
        <v>264</v>
      </c>
      <c r="C116" s="30" t="s">
        <v>878</v>
      </c>
      <c r="D116" s="763"/>
      <c r="E116" s="763">
        <v>4</v>
      </c>
      <c r="F116" s="763"/>
      <c r="G116" s="300">
        <f>+J116</f>
        <v>13859778.24</v>
      </c>
      <c r="H116" s="300"/>
      <c r="I116" s="763"/>
      <c r="J116" s="1530">
        <v>13859778.24</v>
      </c>
      <c r="K116" s="672"/>
      <c r="L116" s="1682"/>
      <c r="M116" s="1678"/>
      <c r="N116" s="1678"/>
      <c r="O116" s="920">
        <f t="shared" si="30"/>
        <v>0</v>
      </c>
      <c r="Q116" s="930">
        <f t="shared" si="29"/>
        <v>13859778.24</v>
      </c>
    </row>
    <row r="117" spans="1:17" s="65" customFormat="1">
      <c r="A117" s="1528" t="s">
        <v>959</v>
      </c>
      <c r="B117" s="676" t="s">
        <v>264</v>
      </c>
      <c r="C117" s="676" t="s">
        <v>880</v>
      </c>
      <c r="D117" s="763"/>
      <c r="E117" s="763">
        <v>8</v>
      </c>
      <c r="F117" s="763"/>
      <c r="G117" s="300">
        <f>8155429.51104-8155429.51104</f>
        <v>0</v>
      </c>
      <c r="H117" s="300">
        <f>1655613.50976-1655613.50976</f>
        <v>0</v>
      </c>
      <c r="I117" s="763"/>
      <c r="J117" s="1530">
        <f>+G117+H117</f>
        <v>0</v>
      </c>
      <c r="K117" s="673"/>
      <c r="L117" s="1682"/>
      <c r="M117" s="1678"/>
      <c r="N117" s="1678"/>
      <c r="O117" s="920">
        <f t="shared" si="30"/>
        <v>0</v>
      </c>
      <c r="Q117" s="930">
        <f t="shared" si="29"/>
        <v>0</v>
      </c>
    </row>
    <row r="118" spans="1:17" s="65" customFormat="1">
      <c r="A118" s="1528" t="s">
        <v>564</v>
      </c>
      <c r="B118" s="761" t="s">
        <v>264</v>
      </c>
      <c r="C118" s="30" t="s">
        <v>878</v>
      </c>
      <c r="D118" s="763"/>
      <c r="E118" s="763">
        <v>2</v>
      </c>
      <c r="F118" s="763"/>
      <c r="G118" s="300">
        <f>+J118</f>
        <v>9968599.2998592015</v>
      </c>
      <c r="H118" s="300"/>
      <c r="I118" s="763"/>
      <c r="J118" s="1529">
        <v>9968599.2998592015</v>
      </c>
      <c r="K118" s="672"/>
      <c r="L118" s="1682"/>
      <c r="M118" s="1678"/>
      <c r="N118" s="1678"/>
      <c r="O118" s="920">
        <f t="shared" si="30"/>
        <v>0</v>
      </c>
      <c r="Q118" s="930">
        <f t="shared" si="29"/>
        <v>9968599.2998592015</v>
      </c>
    </row>
    <row r="119" spans="1:17" s="65" customFormat="1">
      <c r="A119" s="1528" t="s">
        <v>565</v>
      </c>
      <c r="B119" s="761" t="s">
        <v>264</v>
      </c>
      <c r="C119" s="30" t="s">
        <v>878</v>
      </c>
      <c r="D119" s="763"/>
      <c r="E119" s="763">
        <v>3</v>
      </c>
      <c r="F119" s="763"/>
      <c r="G119" s="300">
        <f>+J119</f>
        <v>11922559.236000001</v>
      </c>
      <c r="H119" s="763"/>
      <c r="I119" s="763"/>
      <c r="J119" s="1529">
        <v>11922559.236000001</v>
      </c>
      <c r="K119" s="672"/>
      <c r="L119" s="1682"/>
      <c r="M119" s="1678"/>
      <c r="N119" s="1678"/>
      <c r="O119" s="920">
        <f t="shared" si="30"/>
        <v>0</v>
      </c>
      <c r="Q119" s="930">
        <f t="shared" si="29"/>
        <v>11922559.236000001</v>
      </c>
    </row>
    <row r="120" spans="1:17" s="65" customFormat="1">
      <c r="A120" s="1528" t="s">
        <v>566</v>
      </c>
      <c r="B120" s="761" t="s">
        <v>264</v>
      </c>
      <c r="C120" s="30" t="s">
        <v>878</v>
      </c>
      <c r="D120" s="763"/>
      <c r="E120" s="763">
        <v>3</v>
      </c>
      <c r="F120" s="763"/>
      <c r="G120" s="300">
        <f>+J120</f>
        <v>11922559.236000001</v>
      </c>
      <c r="H120" s="763"/>
      <c r="I120" s="763"/>
      <c r="J120" s="1529">
        <v>11922559.236000001</v>
      </c>
      <c r="K120" s="672"/>
      <c r="L120" s="1682"/>
      <c r="M120" s="1678"/>
      <c r="N120" s="1678"/>
      <c r="O120" s="920">
        <f t="shared" si="30"/>
        <v>0</v>
      </c>
      <c r="Q120" s="930">
        <f t="shared" si="29"/>
        <v>11922559.236000001</v>
      </c>
    </row>
    <row r="121" spans="1:17" s="65" customFormat="1">
      <c r="A121" s="1528" t="s">
        <v>948</v>
      </c>
      <c r="B121" s="676"/>
      <c r="C121" s="676"/>
      <c r="D121" s="763"/>
      <c r="E121" s="763"/>
      <c r="F121" s="763"/>
      <c r="G121" s="300"/>
      <c r="H121" s="300">
        <v>18072000</v>
      </c>
      <c r="I121" s="763"/>
      <c r="J121" s="1529">
        <f>+H121+G121</f>
        <v>18072000</v>
      </c>
      <c r="K121" s="673"/>
      <c r="L121" s="1682"/>
      <c r="M121" s="1678"/>
      <c r="N121" s="1678"/>
      <c r="O121" s="920">
        <f t="shared" si="30"/>
        <v>0</v>
      </c>
      <c r="Q121" s="930">
        <f t="shared" si="29"/>
        <v>18072000</v>
      </c>
    </row>
    <row r="122" spans="1:17" s="65" customFormat="1">
      <c r="A122" s="1528" t="s">
        <v>572</v>
      </c>
      <c r="B122" s="761" t="s">
        <v>264</v>
      </c>
      <c r="C122" s="30" t="s">
        <v>878</v>
      </c>
      <c r="D122" s="763"/>
      <c r="E122" s="763">
        <v>2</v>
      </c>
      <c r="F122" s="763"/>
      <c r="G122" s="300">
        <f>+J122</f>
        <v>9968599.2998592015</v>
      </c>
      <c r="H122" s="763"/>
      <c r="I122" s="763"/>
      <c r="J122" s="1529">
        <v>9968599.2998592015</v>
      </c>
      <c r="K122" s="672"/>
      <c r="L122" s="1682"/>
      <c r="M122" s="1678"/>
      <c r="N122" s="1678"/>
      <c r="O122" s="920">
        <f t="shared" si="30"/>
        <v>0</v>
      </c>
      <c r="Q122" s="930">
        <f t="shared" si="29"/>
        <v>9968599.2998592015</v>
      </c>
    </row>
    <row r="123" spans="1:17" s="65" customFormat="1">
      <c r="A123" s="1528" t="s">
        <v>570</v>
      </c>
      <c r="B123" s="761" t="s">
        <v>264</v>
      </c>
      <c r="C123" s="30" t="s">
        <v>878</v>
      </c>
      <c r="D123" s="763"/>
      <c r="E123" s="763">
        <v>4</v>
      </c>
      <c r="F123" s="763"/>
      <c r="G123" s="438"/>
      <c r="H123" s="438">
        <f>+J123</f>
        <v>13040791.344000001</v>
      </c>
      <c r="I123" s="763"/>
      <c r="J123" s="1529">
        <v>13040791.344000001</v>
      </c>
      <c r="K123" s="672"/>
      <c r="L123" s="1682"/>
      <c r="M123" s="1678"/>
      <c r="N123" s="1678"/>
      <c r="O123" s="920">
        <f t="shared" si="30"/>
        <v>0</v>
      </c>
      <c r="Q123" s="930">
        <f t="shared" si="29"/>
        <v>13040791.344000001</v>
      </c>
    </row>
    <row r="124" spans="1:17" s="65" customFormat="1">
      <c r="A124" s="1528" t="s">
        <v>825</v>
      </c>
      <c r="B124" s="761" t="s">
        <v>264</v>
      </c>
      <c r="C124" s="30" t="s">
        <v>878</v>
      </c>
      <c r="D124" s="763"/>
      <c r="E124" s="763">
        <v>4</v>
      </c>
      <c r="F124" s="763"/>
      <c r="G124" s="300">
        <f>+J124</f>
        <v>14056000</v>
      </c>
      <c r="H124" s="438"/>
      <c r="I124" s="763"/>
      <c r="J124" s="1529">
        <v>14056000</v>
      </c>
      <c r="K124" s="672"/>
      <c r="L124" s="1682"/>
      <c r="M124" s="1678"/>
      <c r="N124" s="1678"/>
      <c r="O124" s="920">
        <f t="shared" si="30"/>
        <v>0</v>
      </c>
      <c r="Q124" s="930">
        <f t="shared" si="29"/>
        <v>14056000</v>
      </c>
    </row>
    <row r="125" spans="1:17" s="65" customFormat="1">
      <c r="A125" s="1528" t="s">
        <v>561</v>
      </c>
      <c r="B125" s="761" t="s">
        <v>264</v>
      </c>
      <c r="C125" s="30" t="s">
        <v>878</v>
      </c>
      <c r="D125" s="763"/>
      <c r="E125" s="763">
        <v>4</v>
      </c>
      <c r="F125" s="763"/>
      <c r="G125" s="763"/>
      <c r="H125" s="763"/>
      <c r="I125" s="763"/>
      <c r="J125" s="1529"/>
      <c r="K125" s="673"/>
      <c r="L125" s="1682"/>
      <c r="M125" s="1678"/>
      <c r="N125" s="1678"/>
      <c r="O125" s="920">
        <f t="shared" si="30"/>
        <v>0</v>
      </c>
      <c r="Q125" s="930">
        <f t="shared" si="29"/>
        <v>0</v>
      </c>
    </row>
    <row r="126" spans="1:17">
      <c r="A126" s="1528" t="s">
        <v>562</v>
      </c>
      <c r="B126" s="761" t="s">
        <v>264</v>
      </c>
      <c r="C126" s="30" t="s">
        <v>878</v>
      </c>
      <c r="D126" s="763"/>
      <c r="E126" s="763">
        <v>4</v>
      </c>
      <c r="F126" s="763"/>
      <c r="G126" s="300">
        <v>558584.30000019073</v>
      </c>
      <c r="H126" s="438">
        <v>12482207.04399981</v>
      </c>
      <c r="I126" s="763"/>
      <c r="J126" s="1529">
        <v>13040791.344000001</v>
      </c>
      <c r="K126" s="672"/>
      <c r="L126" s="1682"/>
      <c r="M126" s="1678"/>
      <c r="N126" s="1678"/>
      <c r="O126" s="920">
        <f t="shared" si="30"/>
        <v>0</v>
      </c>
      <c r="P126" s="65"/>
      <c r="Q126" s="930">
        <f t="shared" si="29"/>
        <v>13040791.344000001</v>
      </c>
    </row>
    <row r="127" spans="1:17">
      <c r="A127" s="1528" t="s">
        <v>574</v>
      </c>
      <c r="B127" s="481" t="s">
        <v>264</v>
      </c>
      <c r="C127" s="481" t="s">
        <v>878</v>
      </c>
      <c r="D127" s="763"/>
      <c r="E127" s="763">
        <v>4</v>
      </c>
      <c r="F127" s="763"/>
      <c r="G127" s="300">
        <v>13040791.344000001</v>
      </c>
      <c r="H127" s="763"/>
      <c r="I127" s="763"/>
      <c r="J127" s="1529">
        <f>+G127</f>
        <v>13040791.344000001</v>
      </c>
      <c r="L127" s="1682"/>
      <c r="M127" s="1678"/>
      <c r="N127" s="1678"/>
      <c r="O127" s="920">
        <f t="shared" si="30"/>
        <v>0</v>
      </c>
      <c r="Q127" s="930">
        <f t="shared" si="29"/>
        <v>13040791.344000001</v>
      </c>
    </row>
    <row r="128" spans="1:17" s="65" customFormat="1" ht="25.5">
      <c r="A128" s="1535" t="s">
        <v>563</v>
      </c>
      <c r="B128" s="434"/>
      <c r="C128" s="434"/>
      <c r="D128" s="434"/>
      <c r="E128" s="434"/>
      <c r="F128" s="434">
        <f>SUM(F129:F136)</f>
        <v>0</v>
      </c>
      <c r="G128" s="434">
        <f t="shared" ref="G128:I128" si="33">SUM(G129:G136)</f>
        <v>0</v>
      </c>
      <c r="H128" s="436">
        <f>SUM(H129:H136)</f>
        <v>64250592.974064007</v>
      </c>
      <c r="I128" s="436">
        <f t="shared" si="33"/>
        <v>0</v>
      </c>
      <c r="J128" s="1536">
        <f>SUM(J129:J136)</f>
        <v>64250592.974064007</v>
      </c>
      <c r="K128" s="274"/>
      <c r="L128" s="433">
        <f>SUM(L129:L137)</f>
        <v>0</v>
      </c>
      <c r="M128" s="434">
        <f t="shared" ref="M128:N128" si="34">SUM(M129:M137)</f>
        <v>0</v>
      </c>
      <c r="N128" s="434">
        <f t="shared" si="34"/>
        <v>0</v>
      </c>
      <c r="O128" s="927">
        <f>SUM(O129:O137)</f>
        <v>0</v>
      </c>
      <c r="P128" s="1"/>
      <c r="Q128" s="929">
        <f>SUM(Q129:Q137)</f>
        <v>64250592.974064007</v>
      </c>
    </row>
    <row r="129" spans="1:18" s="65" customFormat="1">
      <c r="A129" s="1528" t="s">
        <v>964</v>
      </c>
      <c r="B129" s="761" t="s">
        <v>242</v>
      </c>
      <c r="C129" s="761" t="s">
        <v>879</v>
      </c>
      <c r="D129" s="763"/>
      <c r="E129" s="763">
        <v>5</v>
      </c>
      <c r="F129" s="763"/>
      <c r="G129" s="763"/>
      <c r="H129" s="438">
        <f t="shared" ref="H129:H136" si="35">+J129</f>
        <v>9612596.1960000005</v>
      </c>
      <c r="I129" s="763"/>
      <c r="J129" s="1529">
        <f>1831000*1.0458*E129*1.004</f>
        <v>9612596.1960000005</v>
      </c>
      <c r="K129" s="672"/>
      <c r="L129" s="919"/>
      <c r="M129" s="763"/>
      <c r="N129" s="763"/>
      <c r="O129" s="920">
        <f>SUM(L129:N129)</f>
        <v>0</v>
      </c>
      <c r="Q129" s="930">
        <f t="shared" ref="Q129:Q137" si="36">+J129+O129</f>
        <v>9612596.1960000005</v>
      </c>
      <c r="R129" s="1625"/>
    </row>
    <row r="130" spans="1:18" s="65" customFormat="1">
      <c r="A130" s="1528" t="s">
        <v>965</v>
      </c>
      <c r="B130" s="761" t="s">
        <v>242</v>
      </c>
      <c r="C130" s="761" t="s">
        <v>879</v>
      </c>
      <c r="D130" s="763"/>
      <c r="E130" s="763">
        <v>5</v>
      </c>
      <c r="F130" s="763"/>
      <c r="G130" s="763"/>
      <c r="H130" s="438">
        <f t="shared" si="35"/>
        <v>9612596.1960000005</v>
      </c>
      <c r="I130" s="763"/>
      <c r="J130" s="1529">
        <f t="shared" ref="J130:J136" si="37">1831000*1.0458*E130*1.004</f>
        <v>9612596.1960000005</v>
      </c>
      <c r="K130" s="672"/>
      <c r="L130" s="919"/>
      <c r="M130" s="763"/>
      <c r="N130" s="763"/>
      <c r="O130" s="920">
        <f t="shared" ref="O130:O137" si="38">SUM(L130:N130)</f>
        <v>0</v>
      </c>
      <c r="Q130" s="930">
        <f t="shared" si="36"/>
        <v>9612596.1960000005</v>
      </c>
      <c r="R130" s="1625"/>
    </row>
    <row r="131" spans="1:18" s="1628" customFormat="1" ht="20.25" customHeight="1">
      <c r="A131" s="1528" t="s">
        <v>966</v>
      </c>
      <c r="B131" s="761" t="s">
        <v>242</v>
      </c>
      <c r="C131" s="761" t="s">
        <v>879</v>
      </c>
      <c r="D131" s="763"/>
      <c r="E131" s="763">
        <v>5</v>
      </c>
      <c r="F131" s="763"/>
      <c r="G131" s="763"/>
      <c r="H131" s="438">
        <f t="shared" si="35"/>
        <v>9612596.1960000005</v>
      </c>
      <c r="I131" s="763"/>
      <c r="J131" s="1529">
        <f t="shared" si="37"/>
        <v>9612596.1960000005</v>
      </c>
      <c r="K131" s="672"/>
      <c r="L131" s="919"/>
      <c r="M131" s="763"/>
      <c r="N131" s="763"/>
      <c r="O131" s="920">
        <f t="shared" si="38"/>
        <v>0</v>
      </c>
      <c r="P131" s="65"/>
      <c r="Q131" s="930">
        <f t="shared" si="36"/>
        <v>9612596.1960000005</v>
      </c>
      <c r="R131" s="1625"/>
    </row>
    <row r="132" spans="1:18" s="1628" customFormat="1" ht="27.75" customHeight="1">
      <c r="A132" s="1528" t="s">
        <v>967</v>
      </c>
      <c r="B132" s="761" t="s">
        <v>242</v>
      </c>
      <c r="C132" s="761" t="s">
        <v>879</v>
      </c>
      <c r="D132" s="1627"/>
      <c r="E132" s="1627">
        <v>5</v>
      </c>
      <c r="F132" s="1627"/>
      <c r="G132" s="1619"/>
      <c r="H132" s="1618">
        <f t="shared" si="35"/>
        <v>9612596.1960000005</v>
      </c>
      <c r="I132" s="1619"/>
      <c r="J132" s="1620">
        <f t="shared" si="37"/>
        <v>9612596.1960000005</v>
      </c>
      <c r="K132" s="672"/>
      <c r="L132" s="1499"/>
      <c r="M132" s="445"/>
      <c r="N132" s="445"/>
      <c r="O132" s="1621">
        <f>SUM(L132:N132)</f>
        <v>0</v>
      </c>
      <c r="Q132" s="930">
        <f t="shared" si="36"/>
        <v>9612596.1960000005</v>
      </c>
    </row>
    <row r="133" spans="1:18" s="1628" customFormat="1" ht="24" customHeight="1">
      <c r="A133" s="1528" t="s">
        <v>968</v>
      </c>
      <c r="B133" s="761" t="s">
        <v>242</v>
      </c>
      <c r="C133" s="761" t="s">
        <v>879</v>
      </c>
      <c r="D133" s="1627"/>
      <c r="E133" s="1627">
        <v>2</v>
      </c>
      <c r="F133" s="1627"/>
      <c r="G133" s="1619"/>
      <c r="H133" s="1618">
        <v>2729977.3196639996</v>
      </c>
      <c r="I133" s="1619"/>
      <c r="J133" s="1620">
        <f>SUM(F133:I133)</f>
        <v>2729977.3196639996</v>
      </c>
      <c r="K133" s="672"/>
      <c r="L133" s="1499"/>
      <c r="M133" s="445"/>
      <c r="N133" s="445"/>
      <c r="O133" s="1621">
        <f t="shared" ref="O133:O134" si="39">SUM(L133:N133)</f>
        <v>0</v>
      </c>
      <c r="Q133" s="930">
        <f t="shared" si="36"/>
        <v>2729977.3196639996</v>
      </c>
    </row>
    <row r="134" spans="1:18" s="1628" customFormat="1" ht="24" customHeight="1">
      <c r="A134" s="1528" t="s">
        <v>969</v>
      </c>
      <c r="B134" s="761" t="s">
        <v>242</v>
      </c>
      <c r="C134" s="761" t="s">
        <v>879</v>
      </c>
      <c r="D134" s="1627"/>
      <c r="E134" s="1627">
        <v>2</v>
      </c>
      <c r="F134" s="1627"/>
      <c r="G134" s="1619"/>
      <c r="H134" s="1618">
        <f t="shared" si="35"/>
        <v>3845038.4783999999</v>
      </c>
      <c r="I134" s="1619"/>
      <c r="J134" s="1620">
        <f t="shared" si="37"/>
        <v>3845038.4783999999</v>
      </c>
      <c r="K134" s="672"/>
      <c r="L134" s="1499"/>
      <c r="M134" s="445"/>
      <c r="N134" s="445"/>
      <c r="O134" s="1621">
        <f t="shared" si="39"/>
        <v>0</v>
      </c>
      <c r="Q134" s="930">
        <f t="shared" si="36"/>
        <v>3845038.4783999999</v>
      </c>
    </row>
    <row r="135" spans="1:18" s="65" customFormat="1" ht="26.25" customHeight="1">
      <c r="A135" s="1528" t="s">
        <v>970</v>
      </c>
      <c r="B135" s="761" t="s">
        <v>242</v>
      </c>
      <c r="C135" s="761" t="s">
        <v>879</v>
      </c>
      <c r="D135" s="1627"/>
      <c r="E135" s="1627">
        <v>5</v>
      </c>
      <c r="F135" s="1627"/>
      <c r="G135" s="1627"/>
      <c r="H135" s="438">
        <f t="shared" si="35"/>
        <v>9612596.1960000005</v>
      </c>
      <c r="I135" s="1627"/>
      <c r="J135" s="1529">
        <f t="shared" si="37"/>
        <v>9612596.1960000005</v>
      </c>
      <c r="K135" s="672"/>
      <c r="L135" s="919"/>
      <c r="M135" s="1627"/>
      <c r="N135" s="1627"/>
      <c r="O135" s="920">
        <f t="shared" si="38"/>
        <v>0</v>
      </c>
      <c r="P135" s="1628"/>
      <c r="Q135" s="930">
        <f t="shared" si="36"/>
        <v>9612596.1960000005</v>
      </c>
    </row>
    <row r="136" spans="1:18">
      <c r="A136" s="1528" t="s">
        <v>971</v>
      </c>
      <c r="B136" s="761" t="s">
        <v>242</v>
      </c>
      <c r="C136" s="761" t="s">
        <v>879</v>
      </c>
      <c r="D136" s="763"/>
      <c r="E136" s="763">
        <v>5</v>
      </c>
      <c r="F136" s="763"/>
      <c r="G136" s="763"/>
      <c r="H136" s="438">
        <f t="shared" si="35"/>
        <v>9612596.1960000005</v>
      </c>
      <c r="I136" s="763"/>
      <c r="J136" s="1529">
        <f t="shared" si="37"/>
        <v>9612596.1960000005</v>
      </c>
      <c r="K136" s="672"/>
      <c r="L136" s="919"/>
      <c r="M136" s="763"/>
      <c r="N136" s="763"/>
      <c r="O136" s="920">
        <f t="shared" si="38"/>
        <v>0</v>
      </c>
      <c r="P136" s="65"/>
      <c r="Q136" s="930">
        <f t="shared" si="36"/>
        <v>9612596.1960000005</v>
      </c>
      <c r="R136" s="2124"/>
    </row>
    <row r="137" spans="1:18" s="275" customFormat="1" ht="13.5" thickBot="1">
      <c r="A137" s="1537"/>
      <c r="B137" s="909"/>
      <c r="C137" s="909"/>
      <c r="D137" s="21"/>
      <c r="E137" s="21"/>
      <c r="F137" s="21"/>
      <c r="G137" s="21"/>
      <c r="H137" s="21"/>
      <c r="I137" s="21"/>
      <c r="J137" s="1538"/>
      <c r="K137" s="274"/>
      <c r="L137" s="1114"/>
      <c r="M137" s="21"/>
      <c r="N137" s="21"/>
      <c r="O137" s="1115">
        <f t="shared" si="38"/>
        <v>0</v>
      </c>
      <c r="P137" s="1"/>
      <c r="Q137" s="1113">
        <f t="shared" si="36"/>
        <v>0</v>
      </c>
    </row>
    <row r="138" spans="1:18" s="275" customFormat="1" ht="36" customHeight="1" thickBot="1">
      <c r="A138" s="1539" t="s">
        <v>52</v>
      </c>
      <c r="B138" s="1134"/>
      <c r="C138" s="1134"/>
      <c r="D138" s="1135" t="s">
        <v>215</v>
      </c>
      <c r="E138" s="1135">
        <v>30</v>
      </c>
      <c r="F138" s="1132">
        <f>+F139+F171</f>
        <v>0</v>
      </c>
      <c r="G138" s="1132">
        <f>+G139+G171</f>
        <v>380420729.99851435</v>
      </c>
      <c r="H138" s="1132">
        <f>+H139+H171</f>
        <v>67842617.106360003</v>
      </c>
      <c r="I138" s="1132">
        <f>+I139+I171</f>
        <v>0</v>
      </c>
      <c r="J138" s="1540">
        <f>+J139+J171</f>
        <v>448263347.05687433</v>
      </c>
      <c r="K138" s="281"/>
      <c r="L138" s="1131">
        <f>+L139+L171</f>
        <v>0</v>
      </c>
      <c r="M138" s="1132">
        <f>+M139+M171</f>
        <v>95382960.228000015</v>
      </c>
      <c r="N138" s="1132">
        <f>+N139+N171</f>
        <v>138232343.46150723</v>
      </c>
      <c r="O138" s="1133">
        <f>+O139+O171</f>
        <v>233615303.68950722</v>
      </c>
      <c r="Q138" s="1130">
        <f>+Q139+Q171</f>
        <v>681878650.74638164</v>
      </c>
    </row>
    <row r="139" spans="1:18" s="1628" customFormat="1" ht="27.75" customHeight="1">
      <c r="A139" s="1526" t="s">
        <v>268</v>
      </c>
      <c r="B139" s="1117"/>
      <c r="C139" s="1117"/>
      <c r="D139" s="1118" t="s">
        <v>215</v>
      </c>
      <c r="E139" s="1118">
        <v>30</v>
      </c>
      <c r="F139" s="1119">
        <f>SUM(F140:F170)</f>
        <v>0</v>
      </c>
      <c r="G139" s="1119">
        <f>SUM(G140:G170)</f>
        <v>380420729.99851435</v>
      </c>
      <c r="H139" s="1119">
        <f>SUM(H140:H170)</f>
        <v>0</v>
      </c>
      <c r="I139" s="1119">
        <f>SUM(I140:I170)</f>
        <v>0</v>
      </c>
      <c r="J139" s="1527">
        <f>SUM(J140:J170)</f>
        <v>380420729.95051432</v>
      </c>
      <c r="K139" s="281"/>
      <c r="L139" s="1123">
        <f>SUM(L140:L170)</f>
        <v>0</v>
      </c>
      <c r="M139" s="1119">
        <f>SUM(M140:M170)</f>
        <v>95382960.228000015</v>
      </c>
      <c r="N139" s="1119">
        <f>SUM(N140:N170)</f>
        <v>138232343.46150723</v>
      </c>
      <c r="O139" s="1124">
        <f>SUM(O140:O170)</f>
        <v>233615303.68950722</v>
      </c>
      <c r="P139" s="275"/>
      <c r="Q139" s="1122">
        <f>SUM(Q140:Q170)</f>
        <v>614036033.64002168</v>
      </c>
    </row>
    <row r="140" spans="1:18" s="1628" customFormat="1">
      <c r="A140" s="1528" t="s">
        <v>564</v>
      </c>
      <c r="B140" s="761" t="s">
        <v>264</v>
      </c>
      <c r="C140" s="761" t="s">
        <v>880</v>
      </c>
      <c r="D140" s="1627"/>
      <c r="E140" s="1627">
        <v>9</v>
      </c>
      <c r="F140" s="1627"/>
      <c r="G140" s="300">
        <f>+J140</f>
        <v>44858696.849366404</v>
      </c>
      <c r="H140" s="1627"/>
      <c r="I140" s="1627"/>
      <c r="J140" s="1529">
        <f>4747028*1.0458*E140*1.004</f>
        <v>44858696.849366404</v>
      </c>
      <c r="K140" s="672"/>
      <c r="L140" s="1682"/>
      <c r="M140" s="1678"/>
      <c r="N140" s="1678"/>
      <c r="O140" s="1679">
        <f>SUM(L140:N140)</f>
        <v>0</v>
      </c>
      <c r="Q140" s="930">
        <f t="shared" ref="Q140:Q155" si="40">+J140+O140</f>
        <v>44858696.849366404</v>
      </c>
    </row>
    <row r="141" spans="1:18" s="1628" customFormat="1">
      <c r="A141" s="1528" t="s">
        <v>565</v>
      </c>
      <c r="B141" s="761" t="s">
        <v>264</v>
      </c>
      <c r="C141" s="761" t="s">
        <v>880</v>
      </c>
      <c r="D141" s="1627"/>
      <c r="E141" s="1627">
        <v>8</v>
      </c>
      <c r="F141" s="1627"/>
      <c r="G141" s="300">
        <f>+J141</f>
        <v>31793491.296000004</v>
      </c>
      <c r="H141" s="1627"/>
      <c r="I141" s="1627"/>
      <c r="J141" s="1529">
        <f>3785000*1.0458*E141*1.004</f>
        <v>31793491.296000004</v>
      </c>
      <c r="K141" s="672"/>
      <c r="L141" s="1682"/>
      <c r="M141" s="1678"/>
      <c r="N141" s="1678"/>
      <c r="O141" s="1679">
        <f t="shared" ref="O141:O170" si="41">SUM(L141:N141)</f>
        <v>0</v>
      </c>
      <c r="Q141" s="930">
        <f t="shared" si="40"/>
        <v>31793491.296000004</v>
      </c>
    </row>
    <row r="142" spans="1:18" s="1628" customFormat="1">
      <c r="A142" s="1528" t="s">
        <v>566</v>
      </c>
      <c r="B142" s="761" t="s">
        <v>264</v>
      </c>
      <c r="C142" s="761" t="s">
        <v>880</v>
      </c>
      <c r="D142" s="1627"/>
      <c r="E142" s="1627">
        <v>8</v>
      </c>
      <c r="F142" s="1627"/>
      <c r="G142" s="300">
        <f>+J142</f>
        <v>31793491.296000004</v>
      </c>
      <c r="H142" s="1627"/>
      <c r="I142" s="1627"/>
      <c r="J142" s="1529">
        <f>3785000*1.0458*E142*1.004</f>
        <v>31793491.296000004</v>
      </c>
      <c r="K142" s="672"/>
      <c r="L142" s="1682"/>
      <c r="M142" s="1678"/>
      <c r="N142" s="1678"/>
      <c r="O142" s="1679">
        <f t="shared" si="41"/>
        <v>0</v>
      </c>
      <c r="Q142" s="930">
        <f t="shared" si="40"/>
        <v>31793491.296000004</v>
      </c>
    </row>
    <row r="143" spans="1:18" s="1628" customFormat="1">
      <c r="A143" s="1528" t="s">
        <v>567</v>
      </c>
      <c r="B143" s="761" t="s">
        <v>264</v>
      </c>
      <c r="C143" s="761" t="s">
        <v>880</v>
      </c>
      <c r="D143" s="1627"/>
      <c r="E143" s="1627">
        <v>7</v>
      </c>
      <c r="F143" s="1627"/>
      <c r="G143" s="300">
        <f>+J143</f>
        <v>27819304.884000003</v>
      </c>
      <c r="H143" s="1627"/>
      <c r="I143" s="1627"/>
      <c r="J143" s="1529">
        <f>3785000*1.0458*E143*1.004</f>
        <v>27819304.884000003</v>
      </c>
      <c r="K143" s="672"/>
      <c r="L143" s="1682"/>
      <c r="M143" s="1678"/>
      <c r="N143" s="1678"/>
      <c r="O143" s="1679">
        <f t="shared" si="41"/>
        <v>0</v>
      </c>
      <c r="Q143" s="930">
        <f t="shared" si="40"/>
        <v>27819304.884000003</v>
      </c>
    </row>
    <row r="144" spans="1:18" s="1628" customFormat="1">
      <c r="A144" s="1528" t="s">
        <v>1025</v>
      </c>
      <c r="B144" s="761" t="s">
        <v>264</v>
      </c>
      <c r="C144" s="761" t="s">
        <v>880</v>
      </c>
      <c r="D144" s="1627"/>
      <c r="E144" s="1627">
        <v>7</v>
      </c>
      <c r="F144" s="1627"/>
      <c r="G144" s="301"/>
      <c r="H144" s="1619"/>
      <c r="I144" s="1619"/>
      <c r="J144" s="1620"/>
      <c r="K144" s="672"/>
      <c r="L144" s="1682"/>
      <c r="M144" s="1678"/>
      <c r="N144" s="1678">
        <f>+O144</f>
        <v>27819304.884000003</v>
      </c>
      <c r="O144" s="1685">
        <f>3785000*1.0458*E144*1.004</f>
        <v>27819304.884000003</v>
      </c>
      <c r="P144" s="1683"/>
      <c r="Q144" s="1681">
        <f t="shared" si="40"/>
        <v>27819304.884000003</v>
      </c>
    </row>
    <row r="145" spans="1:43" s="1628" customFormat="1" ht="22.5" customHeight="1">
      <c r="A145" s="1528" t="s">
        <v>1059</v>
      </c>
      <c r="B145" s="761" t="s">
        <v>264</v>
      </c>
      <c r="C145" s="761" t="s">
        <v>880</v>
      </c>
      <c r="D145" s="1627"/>
      <c r="E145" s="1627">
        <v>7</v>
      </c>
      <c r="F145" s="1627"/>
      <c r="G145" s="301"/>
      <c r="H145" s="1619"/>
      <c r="I145" s="1619"/>
      <c r="J145" s="1620"/>
      <c r="K145" s="672"/>
      <c r="L145" s="1682"/>
      <c r="M145" s="1678"/>
      <c r="N145" s="1678">
        <f>+O145</f>
        <v>34890097.549507208</v>
      </c>
      <c r="O145" s="1685">
        <f>4747028*1.0458*E145*1.004</f>
        <v>34890097.549507208</v>
      </c>
      <c r="P145" s="1683"/>
      <c r="Q145" s="1681">
        <f t="shared" si="40"/>
        <v>34890097.549507208</v>
      </c>
    </row>
    <row r="146" spans="1:43" s="1628" customFormat="1" ht="22.5" customHeight="1">
      <c r="A146" s="1528" t="s">
        <v>568</v>
      </c>
      <c r="B146" s="761" t="s">
        <v>264</v>
      </c>
      <c r="C146" s="761" t="s">
        <v>880</v>
      </c>
      <c r="D146" s="1627"/>
      <c r="E146" s="1627">
        <v>7</v>
      </c>
      <c r="F146" s="1627"/>
      <c r="G146" s="1627"/>
      <c r="H146" s="1627"/>
      <c r="I146" s="1627"/>
      <c r="J146" s="1529"/>
      <c r="K146" s="673"/>
      <c r="L146" s="1682"/>
      <c r="M146" s="1678"/>
      <c r="N146" s="1678">
        <v>22821384.852000002</v>
      </c>
      <c r="O146" s="1685">
        <f t="shared" si="41"/>
        <v>22821384.852000002</v>
      </c>
      <c r="Q146" s="930">
        <f t="shared" si="40"/>
        <v>22821384.852000002</v>
      </c>
      <c r="R146" s="1623"/>
    </row>
    <row r="147" spans="1:43" s="1628" customFormat="1" ht="28.5" customHeight="1">
      <c r="A147" s="1528" t="s">
        <v>569</v>
      </c>
      <c r="B147" s="761" t="s">
        <v>264</v>
      </c>
      <c r="C147" s="761" t="s">
        <v>880</v>
      </c>
      <c r="D147" s="1627"/>
      <c r="E147" s="1627">
        <v>6</v>
      </c>
      <c r="F147" s="1627"/>
      <c r="G147" s="1619"/>
      <c r="H147" s="1619"/>
      <c r="I147" s="1619"/>
      <c r="J147" s="1620"/>
      <c r="K147" s="673"/>
      <c r="L147" s="1682"/>
      <c r="M147" s="1678"/>
      <c r="N147" s="1678">
        <f>3260198*E147+89945</f>
        <v>19651133</v>
      </c>
      <c r="O147" s="1685">
        <f t="shared" si="41"/>
        <v>19651133</v>
      </c>
      <c r="P147" s="1683"/>
      <c r="Q147" s="1681">
        <f t="shared" si="40"/>
        <v>19651133</v>
      </c>
    </row>
    <row r="148" spans="1:43" s="1628" customFormat="1" ht="15">
      <c r="A148" s="1528" t="s">
        <v>1156</v>
      </c>
      <c r="B148" s="761" t="s">
        <v>264</v>
      </c>
      <c r="C148" s="761" t="s">
        <v>880</v>
      </c>
      <c r="D148" s="1627"/>
      <c r="E148" s="1627">
        <v>6</v>
      </c>
      <c r="F148" s="1627"/>
      <c r="G148" s="1619"/>
      <c r="H148" s="1619"/>
      <c r="I148" s="1619"/>
      <c r="J148" s="1620"/>
      <c r="K148" s="673"/>
      <c r="L148" s="1682"/>
      <c r="M148" s="1678"/>
      <c r="N148" s="1678">
        <f>3260198*E148</f>
        <v>19561188</v>
      </c>
      <c r="O148" s="1685">
        <f t="shared" si="41"/>
        <v>19561188</v>
      </c>
      <c r="P148" s="1683"/>
      <c r="Q148" s="1681">
        <f t="shared" si="40"/>
        <v>19561188</v>
      </c>
      <c r="R148"/>
      <c r="S148"/>
      <c r="T148"/>
      <c r="U148"/>
      <c r="V148"/>
      <c r="W148"/>
      <c r="X148"/>
      <c r="Y148"/>
      <c r="Z148"/>
      <c r="AA148"/>
      <c r="AB148"/>
      <c r="AC148"/>
      <c r="AD148"/>
      <c r="AE148"/>
      <c r="AF148"/>
      <c r="AG148"/>
      <c r="AH148"/>
      <c r="AI148"/>
      <c r="AJ148"/>
      <c r="AK148"/>
      <c r="AL148"/>
      <c r="AM148"/>
      <c r="AN148"/>
      <c r="AO148"/>
      <c r="AP148"/>
      <c r="AQ148"/>
    </row>
    <row r="149" spans="1:43" s="2148" customFormat="1" ht="14.25" customHeight="1">
      <c r="A149" s="1528" t="s">
        <v>1043</v>
      </c>
      <c r="B149" s="761" t="s">
        <v>237</v>
      </c>
      <c r="C149" s="30" t="s">
        <v>878</v>
      </c>
      <c r="D149" s="1627"/>
      <c r="E149" s="1627">
        <v>1</v>
      </c>
      <c r="F149" s="1627"/>
      <c r="G149" s="438">
        <f>790000*1.004-790000*1.004</f>
        <v>0</v>
      </c>
      <c r="H149" s="1627"/>
      <c r="I149" s="1627"/>
      <c r="J149" s="1529">
        <f t="shared" ref="J149" si="42">SUM(G149:I149)</f>
        <v>0</v>
      </c>
      <c r="K149" s="673"/>
      <c r="L149" s="1682"/>
      <c r="M149" s="1678"/>
      <c r="N149" s="1678"/>
      <c r="O149" s="1685">
        <f t="shared" si="41"/>
        <v>0</v>
      </c>
      <c r="P149" s="1628"/>
      <c r="Q149" s="930">
        <f t="shared" si="40"/>
        <v>0</v>
      </c>
      <c r="R149"/>
      <c r="S149"/>
      <c r="T149"/>
      <c r="U149"/>
      <c r="V149"/>
      <c r="W149"/>
      <c r="X149"/>
      <c r="Y149"/>
      <c r="Z149"/>
      <c r="AA149"/>
      <c r="AB149"/>
      <c r="AC149"/>
      <c r="AD149"/>
      <c r="AE149"/>
      <c r="AF149"/>
      <c r="AG149"/>
      <c r="AH149"/>
      <c r="AI149"/>
      <c r="AJ149"/>
      <c r="AK149"/>
      <c r="AL149"/>
      <c r="AM149"/>
      <c r="AN149"/>
      <c r="AO149"/>
      <c r="AP149"/>
      <c r="AQ149"/>
    </row>
    <row r="150" spans="1:43" s="1628" customFormat="1" ht="22.5" customHeight="1">
      <c r="A150" s="1528"/>
      <c r="B150" s="761"/>
      <c r="C150" s="761"/>
      <c r="D150" s="1627"/>
      <c r="E150" s="1627"/>
      <c r="F150" s="1627"/>
      <c r="G150" s="1619"/>
      <c r="H150" s="1619"/>
      <c r="I150" s="1619"/>
      <c r="J150" s="1620"/>
      <c r="K150" s="673"/>
      <c r="L150" s="1682"/>
      <c r="M150" s="1678"/>
      <c r="N150" s="1678"/>
      <c r="O150" s="1685"/>
      <c r="Q150" s="930"/>
      <c r="R150"/>
      <c r="S150"/>
      <c r="T150"/>
      <c r="U150"/>
      <c r="V150"/>
      <c r="W150"/>
      <c r="X150"/>
      <c r="Y150"/>
      <c r="Z150"/>
      <c r="AA150"/>
      <c r="AB150"/>
      <c r="AC150"/>
      <c r="AD150"/>
      <c r="AE150"/>
      <c r="AF150"/>
      <c r="AG150"/>
      <c r="AH150"/>
      <c r="AI150"/>
      <c r="AJ150"/>
      <c r="AK150"/>
      <c r="AL150"/>
      <c r="AM150"/>
      <c r="AN150"/>
      <c r="AO150"/>
      <c r="AP150"/>
      <c r="AQ150"/>
    </row>
    <row r="151" spans="1:43" s="1628" customFormat="1" ht="21" customHeight="1">
      <c r="A151" s="1798" t="s">
        <v>547</v>
      </c>
      <c r="B151" s="761" t="s">
        <v>264</v>
      </c>
      <c r="C151" s="761" t="s">
        <v>880</v>
      </c>
      <c r="D151" s="1627"/>
      <c r="E151" s="1627">
        <v>6</v>
      </c>
      <c r="F151" s="1627"/>
      <c r="G151" s="1619"/>
      <c r="H151" s="1619"/>
      <c r="I151" s="1619"/>
      <c r="J151" s="1620">
        <f>SUM(G151:I151)</f>
        <v>0</v>
      </c>
      <c r="K151" s="673"/>
      <c r="L151" s="1682"/>
      <c r="M151" s="1678"/>
      <c r="N151" s="1678">
        <f>1221400*1.004*E151-1226286</f>
        <v>6131427.6000000006</v>
      </c>
      <c r="O151" s="1685">
        <f t="shared" si="41"/>
        <v>6131427.6000000006</v>
      </c>
      <c r="P151" s="673" t="s">
        <v>1107</v>
      </c>
      <c r="Q151" s="1681">
        <f t="shared" ref="Q151:Q152" si="43">+J151+O151</f>
        <v>6131427.6000000006</v>
      </c>
      <c r="R151"/>
      <c r="S151"/>
      <c r="T151"/>
      <c r="U151"/>
      <c r="V151"/>
      <c r="W151"/>
      <c r="X151"/>
      <c r="Y151"/>
      <c r="Z151"/>
      <c r="AA151"/>
      <c r="AB151"/>
      <c r="AC151"/>
      <c r="AD151"/>
      <c r="AE151"/>
      <c r="AF151"/>
      <c r="AG151"/>
      <c r="AH151"/>
      <c r="AI151"/>
      <c r="AJ151"/>
      <c r="AK151"/>
      <c r="AL151"/>
      <c r="AM151"/>
      <c r="AN151"/>
      <c r="AO151"/>
      <c r="AP151"/>
      <c r="AQ151"/>
    </row>
    <row r="152" spans="1:43" s="1628" customFormat="1" ht="20.25" customHeight="1">
      <c r="A152" s="1798" t="s">
        <v>948</v>
      </c>
      <c r="B152" s="683" t="s">
        <v>264</v>
      </c>
      <c r="C152" s="1632" t="s">
        <v>880</v>
      </c>
      <c r="D152" s="1627"/>
      <c r="E152" s="1627">
        <v>4</v>
      </c>
      <c r="F152" s="1627"/>
      <c r="G152" s="301">
        <f>9000000*1.004</f>
        <v>9036000</v>
      </c>
      <c r="H152" s="301"/>
      <c r="I152" s="1619"/>
      <c r="J152" s="1620">
        <f>SUM(G152:I152)</f>
        <v>9036000</v>
      </c>
      <c r="K152" s="673" t="s">
        <v>1107</v>
      </c>
      <c r="L152" s="1682"/>
      <c r="M152" s="1678"/>
      <c r="N152" s="1678"/>
      <c r="O152" s="1685">
        <f t="shared" si="41"/>
        <v>0</v>
      </c>
      <c r="P152" s="1683"/>
      <c r="Q152" s="1681">
        <f t="shared" si="43"/>
        <v>9036000</v>
      </c>
    </row>
    <row r="153" spans="1:43" s="1628" customFormat="1" ht="20.25" customHeight="1">
      <c r="A153" s="1528" t="s">
        <v>570</v>
      </c>
      <c r="B153" s="761" t="s">
        <v>264</v>
      </c>
      <c r="C153" s="761" t="s">
        <v>880</v>
      </c>
      <c r="D153" s="1627"/>
      <c r="E153" s="1627">
        <v>7</v>
      </c>
      <c r="F153" s="1627"/>
      <c r="G153" s="300">
        <v>22821384.899999999</v>
      </c>
      <c r="H153" s="1627"/>
      <c r="I153" s="1627"/>
      <c r="J153" s="1529">
        <f>3105000*1.0458*E153*1.004</f>
        <v>22821384.852000002</v>
      </c>
      <c r="K153" s="672"/>
      <c r="L153" s="1682"/>
      <c r="M153" s="1678"/>
      <c r="N153" s="1678"/>
      <c r="O153" s="1685">
        <f t="shared" si="41"/>
        <v>0</v>
      </c>
      <c r="Q153" s="930">
        <f t="shared" si="40"/>
        <v>22821384.852000002</v>
      </c>
    </row>
    <row r="154" spans="1:43" s="1628" customFormat="1" ht="12" customHeight="1">
      <c r="A154" s="1528" t="s">
        <v>825</v>
      </c>
      <c r="B154" s="761" t="s">
        <v>264</v>
      </c>
      <c r="C154" s="761" t="s">
        <v>880</v>
      </c>
      <c r="D154" s="315"/>
      <c r="E154" s="1627">
        <v>7</v>
      </c>
      <c r="F154" s="315"/>
      <c r="G154" s="300">
        <v>24598000</v>
      </c>
      <c r="H154" s="315"/>
      <c r="I154" s="315"/>
      <c r="J154" s="1542">
        <f>3500000*E154*1.004</f>
        <v>24598000</v>
      </c>
      <c r="K154" s="672"/>
      <c r="L154" s="1682"/>
      <c r="M154" s="1678"/>
      <c r="N154" s="1678"/>
      <c r="O154" s="1678">
        <f t="shared" si="41"/>
        <v>0</v>
      </c>
      <c r="Q154" s="930">
        <f t="shared" si="40"/>
        <v>24598000</v>
      </c>
    </row>
    <row r="155" spans="1:43" s="1628" customFormat="1">
      <c r="A155" s="1528" t="s">
        <v>548</v>
      </c>
      <c r="B155" s="761" t="s">
        <v>264</v>
      </c>
      <c r="C155" s="761" t="s">
        <v>880</v>
      </c>
      <c r="D155" s="315"/>
      <c r="E155" s="1627">
        <v>2</v>
      </c>
      <c r="F155" s="315"/>
      <c r="G155" s="301">
        <f>2442800*1.004</f>
        <v>2452571.2000000002</v>
      </c>
      <c r="H155" s="1622"/>
      <c r="I155" s="1622"/>
      <c r="J155" s="1542">
        <f>+G155</f>
        <v>2452571.2000000002</v>
      </c>
      <c r="K155" s="672"/>
      <c r="L155" s="1682"/>
      <c r="M155" s="1678"/>
      <c r="N155" s="1678"/>
      <c r="O155" s="1678">
        <f t="shared" si="41"/>
        <v>0</v>
      </c>
      <c r="Q155" s="930">
        <f t="shared" si="40"/>
        <v>2452571.2000000002</v>
      </c>
    </row>
    <row r="156" spans="1:43" s="1628" customFormat="1" ht="25.5">
      <c r="A156" s="1528" t="s">
        <v>1044</v>
      </c>
      <c r="B156" s="761" t="s">
        <v>237</v>
      </c>
      <c r="C156" s="30" t="s">
        <v>878</v>
      </c>
      <c r="D156" s="1627"/>
      <c r="E156" s="1627">
        <v>2</v>
      </c>
      <c r="F156" s="1627"/>
      <c r="G156" s="1572">
        <v>2287963.0719995499</v>
      </c>
      <c r="H156" s="1627"/>
      <c r="I156" s="1627"/>
      <c r="J156" s="1542">
        <f>+G156</f>
        <v>2287963.0719995499</v>
      </c>
      <c r="K156" s="672"/>
      <c r="L156" s="1682"/>
      <c r="M156" s="1678">
        <v>1226379.97600001</v>
      </c>
      <c r="N156" s="1678">
        <v>1226379.97600001</v>
      </c>
      <c r="O156" s="1678">
        <f t="shared" si="41"/>
        <v>2452759.9520000201</v>
      </c>
      <c r="Q156" s="930">
        <f t="shared" ref="Q156" si="44">+J156+O156</f>
        <v>4740723.0239995699</v>
      </c>
      <c r="R156" s="1623"/>
    </row>
    <row r="157" spans="1:43" s="1628" customFormat="1">
      <c r="A157" s="1528" t="s">
        <v>571</v>
      </c>
      <c r="B157" s="761" t="s">
        <v>264</v>
      </c>
      <c r="C157" s="761" t="s">
        <v>880</v>
      </c>
      <c r="D157" s="1627"/>
      <c r="E157" s="1627">
        <v>7</v>
      </c>
      <c r="F157" s="1627"/>
      <c r="G157" s="1627"/>
      <c r="H157" s="1627"/>
      <c r="I157" s="1627"/>
      <c r="J157" s="1529"/>
      <c r="K157" s="673"/>
      <c r="L157" s="1682"/>
      <c r="M157" s="1678">
        <v>19561187.852000002</v>
      </c>
      <c r="N157" s="1678"/>
      <c r="O157" s="1678">
        <f t="shared" si="41"/>
        <v>19561187.852000002</v>
      </c>
      <c r="Q157" s="930">
        <f t="shared" ref="Q157:Q170" si="45">+J157+O157</f>
        <v>19561187.852000002</v>
      </c>
      <c r="R157" s="1623"/>
    </row>
    <row r="158" spans="1:43" s="1628" customFormat="1">
      <c r="A158" s="1528" t="s">
        <v>1157</v>
      </c>
      <c r="B158" s="1626" t="s">
        <v>264</v>
      </c>
      <c r="C158" s="1631" t="s">
        <v>880</v>
      </c>
      <c r="D158" s="1627"/>
      <c r="E158" s="1627">
        <v>6</v>
      </c>
      <c r="F158" s="1627"/>
      <c r="G158" s="301"/>
      <c r="H158" s="301"/>
      <c r="I158" s="301"/>
      <c r="J158" s="1543">
        <f>SUM(G158:I158)</f>
        <v>0</v>
      </c>
      <c r="K158" s="673"/>
      <c r="L158" s="1682"/>
      <c r="M158" s="1678">
        <v>6131427.5999999996</v>
      </c>
      <c r="N158" s="1678"/>
      <c r="O158" s="1678">
        <f t="shared" si="41"/>
        <v>6131427.5999999996</v>
      </c>
      <c r="P158" s="1683"/>
      <c r="Q158" s="1681">
        <f t="shared" si="45"/>
        <v>6131427.5999999996</v>
      </c>
      <c r="R158" s="1623"/>
    </row>
    <row r="159" spans="1:43" s="1628" customFormat="1">
      <c r="A159" s="1528" t="s">
        <v>550</v>
      </c>
      <c r="B159" s="126"/>
      <c r="C159" s="1886"/>
      <c r="D159" s="1627"/>
      <c r="E159" s="1627">
        <v>6</v>
      </c>
      <c r="F159" s="1627"/>
      <c r="G159" s="301"/>
      <c r="H159" s="301"/>
      <c r="I159" s="301"/>
      <c r="J159" s="1543"/>
      <c r="K159" s="673"/>
      <c r="L159" s="1682"/>
      <c r="M159" s="1678"/>
      <c r="N159" s="1678">
        <v>6131427.5999999996</v>
      </c>
      <c r="O159" s="1678">
        <f t="shared" si="41"/>
        <v>6131427.5999999996</v>
      </c>
      <c r="P159" s="1683"/>
      <c r="Q159" s="1681">
        <f t="shared" si="45"/>
        <v>6131427.5999999996</v>
      </c>
    </row>
    <row r="160" spans="1:43" s="1628" customFormat="1">
      <c r="A160" s="1528" t="s">
        <v>572</v>
      </c>
      <c r="B160" s="761" t="s">
        <v>264</v>
      </c>
      <c r="C160" s="761" t="s">
        <v>880</v>
      </c>
      <c r="D160" s="1627"/>
      <c r="E160" s="1627">
        <v>9</v>
      </c>
      <c r="F160" s="1627"/>
      <c r="G160" s="300">
        <f>+J160</f>
        <v>44858696.849366404</v>
      </c>
      <c r="H160" s="300"/>
      <c r="I160" s="300"/>
      <c r="J160" s="1552">
        <f>4747028*1.0458*E160*1.004</f>
        <v>44858696.849366404</v>
      </c>
      <c r="K160" s="672"/>
      <c r="L160" s="1682"/>
      <c r="M160" s="1678"/>
      <c r="N160" s="1678"/>
      <c r="O160" s="1678">
        <f t="shared" si="41"/>
        <v>0</v>
      </c>
      <c r="Q160" s="930">
        <f t="shared" si="45"/>
        <v>44858696.849366404</v>
      </c>
    </row>
    <row r="161" spans="1:18" s="1628" customFormat="1">
      <c r="A161" s="1528" t="s">
        <v>573</v>
      </c>
      <c r="B161" s="761" t="s">
        <v>264</v>
      </c>
      <c r="C161" s="761" t="s">
        <v>880</v>
      </c>
      <c r="D161" s="1627"/>
      <c r="E161" s="1627">
        <v>7</v>
      </c>
      <c r="F161" s="1627"/>
      <c r="G161" s="300">
        <f>+J161</f>
        <v>22821384.852000002</v>
      </c>
      <c r="H161" s="300"/>
      <c r="I161" s="300"/>
      <c r="J161" s="1552">
        <f>3105000*1.0458*E161*1.004</f>
        <v>22821384.852000002</v>
      </c>
      <c r="K161" s="672"/>
      <c r="L161" s="1682"/>
      <c r="M161" s="1678"/>
      <c r="N161" s="1678"/>
      <c r="O161" s="1678">
        <f t="shared" si="41"/>
        <v>0</v>
      </c>
      <c r="Q161" s="930">
        <f t="shared" si="45"/>
        <v>22821384.852000002</v>
      </c>
    </row>
    <row r="162" spans="1:18" s="1628" customFormat="1">
      <c r="A162" s="1528" t="s">
        <v>574</v>
      </c>
      <c r="B162" s="761" t="s">
        <v>264</v>
      </c>
      <c r="C162" s="761" t="s">
        <v>880</v>
      </c>
      <c r="D162" s="1627"/>
      <c r="E162" s="1627">
        <v>7</v>
      </c>
      <c r="F162" s="1627"/>
      <c r="G162" s="300">
        <v>22821384.852000002</v>
      </c>
      <c r="H162" s="300"/>
      <c r="I162" s="300"/>
      <c r="J162" s="1552">
        <f>+G162</f>
        <v>22821384.852000002</v>
      </c>
      <c r="K162" s="673"/>
      <c r="L162" s="1682"/>
      <c r="M162" s="1678"/>
      <c r="N162" s="1678"/>
      <c r="O162" s="1678">
        <f t="shared" si="41"/>
        <v>0</v>
      </c>
      <c r="Q162" s="930">
        <f t="shared" si="45"/>
        <v>22821384.852000002</v>
      </c>
    </row>
    <row r="163" spans="1:18" s="1628" customFormat="1">
      <c r="A163" s="1528" t="s">
        <v>575</v>
      </c>
      <c r="B163" s="761" t="s">
        <v>264</v>
      </c>
      <c r="C163" s="761" t="s">
        <v>880</v>
      </c>
      <c r="D163" s="1627"/>
      <c r="E163" s="1627">
        <v>7</v>
      </c>
      <c r="F163" s="1627"/>
      <c r="G163" s="301"/>
      <c r="H163" s="301"/>
      <c r="I163" s="301"/>
      <c r="J163" s="1543"/>
      <c r="K163" s="673"/>
      <c r="L163" s="1682"/>
      <c r="M163" s="1678">
        <f>22730400*1.004</f>
        <v>22821321.600000001</v>
      </c>
      <c r="N163" s="1678"/>
      <c r="O163" s="1678">
        <f t="shared" si="41"/>
        <v>22821321.600000001</v>
      </c>
      <c r="P163" s="1683"/>
      <c r="Q163" s="1681">
        <f t="shared" si="45"/>
        <v>22821321.600000001</v>
      </c>
    </row>
    <row r="164" spans="1:18" s="1628" customFormat="1">
      <c r="A164" s="1528" t="s">
        <v>576</v>
      </c>
      <c r="B164" s="761" t="s">
        <v>264</v>
      </c>
      <c r="C164" s="761" t="s">
        <v>880</v>
      </c>
      <c r="D164" s="1627"/>
      <c r="E164" s="1627">
        <v>7</v>
      </c>
      <c r="F164" s="1627"/>
      <c r="G164" s="301"/>
      <c r="H164" s="301"/>
      <c r="I164" s="301"/>
      <c r="J164" s="1543"/>
      <c r="K164" s="673"/>
      <c r="L164" s="1682"/>
      <c r="M164" s="1678">
        <f>22730400*1.004</f>
        <v>22821321.600000001</v>
      </c>
      <c r="N164" s="1678"/>
      <c r="O164" s="1678">
        <f t="shared" si="41"/>
        <v>22821321.600000001</v>
      </c>
      <c r="P164" s="1683"/>
      <c r="Q164" s="1681">
        <f t="shared" si="45"/>
        <v>22821321.600000001</v>
      </c>
    </row>
    <row r="165" spans="1:18" s="1628" customFormat="1">
      <c r="A165" s="1528" t="s">
        <v>577</v>
      </c>
      <c r="B165" s="761" t="s">
        <v>264</v>
      </c>
      <c r="C165" s="761" t="s">
        <v>880</v>
      </c>
      <c r="D165" s="1627"/>
      <c r="E165" s="1627">
        <v>7</v>
      </c>
      <c r="F165" s="1627"/>
      <c r="G165" s="301"/>
      <c r="H165" s="301"/>
      <c r="I165" s="301"/>
      <c r="J165" s="1543"/>
      <c r="K165" s="673"/>
      <c r="L165" s="1682"/>
      <c r="M165" s="1678">
        <f>22730400*1.004</f>
        <v>22821321.600000001</v>
      </c>
      <c r="N165" s="1678"/>
      <c r="O165" s="1678">
        <f>SUM(L165:N165)</f>
        <v>22821321.600000001</v>
      </c>
      <c r="P165" s="1683"/>
      <c r="Q165" s="1681">
        <f t="shared" si="45"/>
        <v>22821321.600000001</v>
      </c>
      <c r="R165" s="1623"/>
    </row>
    <row r="166" spans="1:18" s="65" customFormat="1">
      <c r="A166" s="1528" t="s">
        <v>1026</v>
      </c>
      <c r="B166" s="1632" t="s">
        <v>264</v>
      </c>
      <c r="C166" s="1632" t="s">
        <v>880</v>
      </c>
      <c r="D166" s="1627"/>
      <c r="E166" s="1627">
        <v>7</v>
      </c>
      <c r="F166" s="1627"/>
      <c r="G166" s="300"/>
      <c r="H166" s="300"/>
      <c r="I166" s="300"/>
      <c r="J166" s="1552"/>
      <c r="K166" s="673"/>
      <c r="L166" s="1682"/>
      <c r="M166" s="1678">
        <f>6520377.6-6520377.6</f>
        <v>0</v>
      </c>
      <c r="N166" s="1678"/>
      <c r="O166" s="1678">
        <f t="shared" si="41"/>
        <v>0</v>
      </c>
      <c r="P166" s="1628"/>
      <c r="Q166" s="930">
        <f t="shared" si="45"/>
        <v>0</v>
      </c>
    </row>
    <row r="167" spans="1:18" s="65" customFormat="1">
      <c r="A167" s="1528" t="s">
        <v>578</v>
      </c>
      <c r="B167" s="761" t="s">
        <v>264</v>
      </c>
      <c r="C167" s="761" t="s">
        <v>880</v>
      </c>
      <c r="D167" s="763"/>
      <c r="E167" s="763">
        <v>7</v>
      </c>
      <c r="F167" s="763"/>
      <c r="G167" s="300">
        <f>8590500*1.03253594*E167*1.004</f>
        <v>62338359.947781958</v>
      </c>
      <c r="H167" s="300"/>
      <c r="I167" s="300"/>
      <c r="J167" s="1552">
        <f>+G167</f>
        <v>62338359.947781958</v>
      </c>
      <c r="K167" s="672"/>
      <c r="L167" s="1682"/>
      <c r="M167" s="1678"/>
      <c r="N167" s="1678"/>
      <c r="O167" s="1678">
        <f t="shared" si="41"/>
        <v>0</v>
      </c>
      <c r="Q167" s="930">
        <f t="shared" si="45"/>
        <v>62338359.947781958</v>
      </c>
    </row>
    <row r="168" spans="1:18">
      <c r="A168" s="1528" t="s">
        <v>579</v>
      </c>
      <c r="B168" s="761" t="s">
        <v>264</v>
      </c>
      <c r="C168" s="761" t="s">
        <v>880</v>
      </c>
      <c r="D168" s="763"/>
      <c r="E168" s="763">
        <v>5</v>
      </c>
      <c r="F168" s="315"/>
      <c r="G168" s="300">
        <f>6000000*1.004*E168</f>
        <v>30120000</v>
      </c>
      <c r="H168" s="300"/>
      <c r="I168" s="300"/>
      <c r="J168" s="1552">
        <f>6000000*E168*1.004</f>
        <v>30120000</v>
      </c>
      <c r="K168" s="672"/>
      <c r="L168" s="1682"/>
      <c r="M168" s="1678"/>
      <c r="N168" s="1678"/>
      <c r="O168" s="1679">
        <f t="shared" si="41"/>
        <v>0</v>
      </c>
      <c r="P168" s="65"/>
      <c r="Q168" s="930">
        <f t="shared" si="45"/>
        <v>30120000</v>
      </c>
    </row>
    <row r="169" spans="1:18">
      <c r="A169" s="1528" t="s">
        <v>580</v>
      </c>
      <c r="B169" s="761" t="s">
        <v>264</v>
      </c>
      <c r="C169" s="761" t="s">
        <v>880</v>
      </c>
      <c r="D169" s="763"/>
      <c r="E169" s="763"/>
      <c r="F169" s="763"/>
      <c r="G169" s="763"/>
      <c r="H169" s="763"/>
      <c r="I169" s="763"/>
      <c r="J169" s="1529"/>
      <c r="L169" s="1682"/>
      <c r="M169" s="1678"/>
      <c r="N169" s="1678"/>
      <c r="O169" s="1679">
        <f t="shared" si="41"/>
        <v>0</v>
      </c>
      <c r="Q169" s="930">
        <f t="shared" si="45"/>
        <v>0</v>
      </c>
    </row>
    <row r="170" spans="1:18">
      <c r="A170" s="1528"/>
      <c r="B170" s="179"/>
      <c r="C170" s="179"/>
      <c r="D170" s="763"/>
      <c r="E170" s="763"/>
      <c r="F170" s="763"/>
      <c r="G170" s="763"/>
      <c r="H170" s="763"/>
      <c r="I170" s="763"/>
      <c r="J170" s="1529"/>
      <c r="L170" s="1682"/>
      <c r="M170" s="1678"/>
      <c r="N170" s="1678"/>
      <c r="O170" s="1679">
        <f t="shared" si="41"/>
        <v>0</v>
      </c>
      <c r="Q170" s="930">
        <f t="shared" si="45"/>
        <v>0</v>
      </c>
    </row>
    <row r="171" spans="1:18" s="1628" customFormat="1" ht="25.5">
      <c r="A171" s="1535" t="s">
        <v>581</v>
      </c>
      <c r="B171" s="434"/>
      <c r="C171" s="434"/>
      <c r="D171" s="434"/>
      <c r="E171" s="434"/>
      <c r="F171" s="434">
        <f>SUM(F172:F179)</f>
        <v>0</v>
      </c>
      <c r="G171" s="434">
        <f t="shared" ref="G171:I171" si="46">SUM(G172:G179)</f>
        <v>0</v>
      </c>
      <c r="H171" s="436">
        <f>SUM(H172:H179)</f>
        <v>67842617.106360003</v>
      </c>
      <c r="I171" s="436">
        <f t="shared" si="46"/>
        <v>0</v>
      </c>
      <c r="J171" s="1536">
        <f>SUM(J172:J179)</f>
        <v>67842617.106360003</v>
      </c>
      <c r="K171" s="274"/>
      <c r="L171" s="433">
        <f>SUM(L172:L180)</f>
        <v>0</v>
      </c>
      <c r="M171" s="434">
        <f t="shared" ref="M171:O171" si="47">SUM(M172:M180)</f>
        <v>0</v>
      </c>
      <c r="N171" s="434">
        <f>SUM(N172:N180)</f>
        <v>0</v>
      </c>
      <c r="O171" s="927">
        <f t="shared" si="47"/>
        <v>0</v>
      </c>
      <c r="P171" s="1"/>
      <c r="Q171" s="929">
        <f>SUM(Q172:Q180)</f>
        <v>67842617.106360003</v>
      </c>
      <c r="R171" s="1561"/>
    </row>
    <row r="172" spans="1:18" s="1628" customFormat="1">
      <c r="A172" s="1528" t="s">
        <v>964</v>
      </c>
      <c r="B172" s="761" t="s">
        <v>242</v>
      </c>
      <c r="C172" s="761" t="s">
        <v>879</v>
      </c>
      <c r="D172" s="1627"/>
      <c r="E172" s="1627">
        <v>6</v>
      </c>
      <c r="F172" s="1627"/>
      <c r="G172" s="1627"/>
      <c r="H172" s="300">
        <v>9452288.4352000002</v>
      </c>
      <c r="I172" s="1627"/>
      <c r="J172" s="1529">
        <f>SUM(G172:I172)</f>
        <v>9452288.4352000002</v>
      </c>
      <c r="K172" s="672"/>
      <c r="L172" s="919"/>
      <c r="M172" s="1627"/>
      <c r="N172" s="1627"/>
      <c r="O172" s="920">
        <f>SUM(L172:N172)</f>
        <v>0</v>
      </c>
      <c r="Q172" s="930">
        <f t="shared" ref="Q172:Q180" si="48">+J172+O172</f>
        <v>9452288.4352000002</v>
      </c>
      <c r="R172" s="1561"/>
    </row>
    <row r="173" spans="1:18" s="1628" customFormat="1">
      <c r="A173" s="1528" t="s">
        <v>965</v>
      </c>
      <c r="B173" s="761" t="s">
        <v>242</v>
      </c>
      <c r="C173" s="761" t="s">
        <v>879</v>
      </c>
      <c r="D173" s="1627"/>
      <c r="E173" s="1627">
        <v>6</v>
      </c>
      <c r="F173" s="1627"/>
      <c r="G173" s="1627"/>
      <c r="H173" s="300">
        <v>9452288.4352000002</v>
      </c>
      <c r="I173" s="1627"/>
      <c r="J173" s="1529">
        <f t="shared" ref="J173:J179" si="49">SUM(G173:I173)</f>
        <v>9452288.4352000002</v>
      </c>
      <c r="K173" s="672"/>
      <c r="L173" s="919"/>
      <c r="M173" s="1627"/>
      <c r="N173" s="1627"/>
      <c r="O173" s="920">
        <f t="shared" ref="O173:O180" si="50">SUM(L173:N173)</f>
        <v>0</v>
      </c>
      <c r="Q173" s="930">
        <f t="shared" si="48"/>
        <v>9452288.4352000002</v>
      </c>
      <c r="R173" s="1561"/>
    </row>
    <row r="174" spans="1:18" s="1628" customFormat="1">
      <c r="A174" s="1528" t="s">
        <v>966</v>
      </c>
      <c r="B174" s="761" t="s">
        <v>242</v>
      </c>
      <c r="C174" s="761" t="s">
        <v>879</v>
      </c>
      <c r="D174" s="1627"/>
      <c r="E174" s="1627">
        <v>6</v>
      </c>
      <c r="F174" s="1627"/>
      <c r="G174" s="1627"/>
      <c r="H174" s="300">
        <v>9521936.4352000002</v>
      </c>
      <c r="I174" s="1627"/>
      <c r="J174" s="1529">
        <f t="shared" si="49"/>
        <v>9521936.4352000002</v>
      </c>
      <c r="K174" s="672"/>
      <c r="L174" s="919"/>
      <c r="M174" s="1627"/>
      <c r="N174" s="1627"/>
      <c r="O174" s="920">
        <f t="shared" si="50"/>
        <v>0</v>
      </c>
      <c r="Q174" s="930">
        <f t="shared" si="48"/>
        <v>9521936.4352000002</v>
      </c>
      <c r="R174" s="1561"/>
    </row>
    <row r="175" spans="1:18" s="1628" customFormat="1">
      <c r="A175" s="1528" t="s">
        <v>967</v>
      </c>
      <c r="B175" s="761" t="s">
        <v>242</v>
      </c>
      <c r="C175" s="761" t="s">
        <v>879</v>
      </c>
      <c r="D175" s="1627"/>
      <c r="E175" s="1627">
        <v>6</v>
      </c>
      <c r="F175" s="1627"/>
      <c r="G175" s="1627"/>
      <c r="H175" s="300">
        <v>9452288.4352000002</v>
      </c>
      <c r="I175" s="1627"/>
      <c r="J175" s="1529">
        <f t="shared" si="49"/>
        <v>9452288.4352000002</v>
      </c>
      <c r="K175" s="672"/>
      <c r="L175" s="919"/>
      <c r="M175" s="1627"/>
      <c r="N175" s="1627"/>
      <c r="O175" s="920">
        <f t="shared" si="50"/>
        <v>0</v>
      </c>
      <c r="Q175" s="930">
        <f t="shared" si="48"/>
        <v>9452288.4352000002</v>
      </c>
      <c r="R175" s="1561"/>
    </row>
    <row r="176" spans="1:18" s="1628" customFormat="1">
      <c r="A176" s="1528" t="s">
        <v>968</v>
      </c>
      <c r="B176" s="761" t="s">
        <v>242</v>
      </c>
      <c r="C176" s="761" t="s">
        <v>879</v>
      </c>
      <c r="D176" s="1627"/>
      <c r="E176" s="1627">
        <v>5</v>
      </c>
      <c r="F176" s="1627"/>
      <c r="G176" s="1619"/>
      <c r="H176" s="301">
        <v>5559243.2991599999</v>
      </c>
      <c r="I176" s="1619"/>
      <c r="J176" s="1529">
        <f t="shared" si="49"/>
        <v>5559243.2991599999</v>
      </c>
      <c r="K176" s="672"/>
      <c r="L176" s="1499"/>
      <c r="M176" s="445"/>
      <c r="N176" s="445"/>
      <c r="O176" s="1621">
        <f t="shared" ref="O176:O177" si="51">SUM(L176:N176)</f>
        <v>0</v>
      </c>
      <c r="Q176" s="930">
        <f t="shared" si="48"/>
        <v>5559243.2991599999</v>
      </c>
      <c r="R176" s="1561"/>
    </row>
    <row r="177" spans="1:18" s="1628" customFormat="1">
      <c r="A177" s="1528" t="s">
        <v>969</v>
      </c>
      <c r="B177" s="761" t="s">
        <v>242</v>
      </c>
      <c r="C177" s="761" t="s">
        <v>879</v>
      </c>
      <c r="D177" s="1627"/>
      <c r="E177" s="1627">
        <v>5</v>
      </c>
      <c r="F177" s="1627"/>
      <c r="G177" s="1619"/>
      <c r="H177" s="301">
        <v>5360699.1960000005</v>
      </c>
      <c r="I177" s="1619"/>
      <c r="J177" s="1529">
        <f t="shared" si="49"/>
        <v>5360699.1960000005</v>
      </c>
      <c r="K177" s="672"/>
      <c r="L177" s="1499"/>
      <c r="M177" s="445"/>
      <c r="N177" s="445"/>
      <c r="O177" s="1621">
        <f t="shared" si="51"/>
        <v>0</v>
      </c>
      <c r="Q177" s="930">
        <f t="shared" si="48"/>
        <v>5360699.1960000005</v>
      </c>
      <c r="R177" s="1561"/>
    </row>
    <row r="178" spans="1:18" s="1628" customFormat="1">
      <c r="A178" s="1528" t="s">
        <v>970</v>
      </c>
      <c r="B178" s="761" t="s">
        <v>242</v>
      </c>
      <c r="C178" s="761" t="s">
        <v>879</v>
      </c>
      <c r="D178" s="1627"/>
      <c r="E178" s="1627">
        <v>6</v>
      </c>
      <c r="F178" s="1627"/>
      <c r="G178" s="1627"/>
      <c r="H178" s="300">
        <v>9521936.4352000002</v>
      </c>
      <c r="I178" s="1627"/>
      <c r="J178" s="1529">
        <f t="shared" si="49"/>
        <v>9521936.4352000002</v>
      </c>
      <c r="K178" s="672"/>
      <c r="L178" s="919"/>
      <c r="M178" s="1627"/>
      <c r="N178" s="1627"/>
      <c r="O178" s="920">
        <f t="shared" si="50"/>
        <v>0</v>
      </c>
      <c r="Q178" s="930">
        <f t="shared" si="48"/>
        <v>9521936.4352000002</v>
      </c>
      <c r="R178" s="1561"/>
    </row>
    <row r="179" spans="1:18" s="65" customFormat="1">
      <c r="A179" s="1528" t="s">
        <v>971</v>
      </c>
      <c r="B179" s="761" t="s">
        <v>242</v>
      </c>
      <c r="C179" s="761" t="s">
        <v>879</v>
      </c>
      <c r="D179" s="1627"/>
      <c r="E179" s="1627">
        <v>6</v>
      </c>
      <c r="F179" s="1627"/>
      <c r="G179" s="1627"/>
      <c r="H179" s="300">
        <v>9521936.4352000002</v>
      </c>
      <c r="I179" s="1627"/>
      <c r="J179" s="1529">
        <f t="shared" si="49"/>
        <v>9521936.4352000002</v>
      </c>
      <c r="K179" s="672"/>
      <c r="L179" s="919"/>
      <c r="M179" s="1627"/>
      <c r="N179" s="1627"/>
      <c r="O179" s="920">
        <f>SUM(L179:N179)</f>
        <v>0</v>
      </c>
      <c r="P179" s="1628"/>
      <c r="Q179" s="930">
        <f t="shared" si="48"/>
        <v>9521936.4352000002</v>
      </c>
      <c r="R179" s="1561"/>
    </row>
    <row r="180" spans="1:18" ht="13.5" thickBot="1">
      <c r="A180" s="1537"/>
      <c r="B180" s="1151"/>
      <c r="C180" s="1151"/>
      <c r="D180" s="21"/>
      <c r="E180" s="21"/>
      <c r="F180" s="21"/>
      <c r="G180" s="21"/>
      <c r="H180" s="21"/>
      <c r="I180" s="21"/>
      <c r="J180" s="1538"/>
      <c r="K180" s="673"/>
      <c r="L180" s="1114"/>
      <c r="M180" s="21"/>
      <c r="N180" s="21"/>
      <c r="O180" s="1115">
        <f t="shared" si="50"/>
        <v>0</v>
      </c>
      <c r="P180" s="65"/>
      <c r="Q180" s="1113">
        <f t="shared" si="48"/>
        <v>0</v>
      </c>
    </row>
    <row r="181" spans="1:18" ht="51.75" thickBot="1">
      <c r="A181" s="1553" t="s">
        <v>265</v>
      </c>
      <c r="B181" s="1152"/>
      <c r="C181" s="1152"/>
      <c r="D181" s="522" t="s">
        <v>211</v>
      </c>
      <c r="E181" s="534">
        <v>120</v>
      </c>
      <c r="F181" s="534"/>
      <c r="G181" s="534"/>
      <c r="H181" s="534"/>
      <c r="I181" s="534"/>
      <c r="J181" s="1554">
        <f>+J182+J186</f>
        <v>0</v>
      </c>
      <c r="L181" s="1153">
        <f>+L182+L186</f>
        <v>0</v>
      </c>
      <c r="M181" s="534">
        <f t="shared" ref="M181:N181" si="52">+M182+M186</f>
        <v>0</v>
      </c>
      <c r="N181" s="2134">
        <f t="shared" si="52"/>
        <v>8189868.9600000009</v>
      </c>
      <c r="O181" s="2135">
        <f>+O182+O186</f>
        <v>8189868.9600000009</v>
      </c>
      <c r="P181" s="2136"/>
      <c r="Q181" s="2137">
        <f>+Q182+Q186</f>
        <v>8189868.9600000009</v>
      </c>
    </row>
    <row r="182" spans="1:18" ht="25.5">
      <c r="A182" s="1546" t="s">
        <v>266</v>
      </c>
      <c r="B182" s="1071"/>
      <c r="C182" s="1071"/>
      <c r="D182" s="1090" t="s">
        <v>211</v>
      </c>
      <c r="E182" s="1090">
        <v>120</v>
      </c>
      <c r="F182" s="1090"/>
      <c r="G182" s="1090"/>
      <c r="H182" s="1090"/>
      <c r="I182" s="1090"/>
      <c r="J182" s="1547">
        <f>SUM(J183:J185)</f>
        <v>0</v>
      </c>
      <c r="L182" s="1137">
        <f>SUM(L183:L185)</f>
        <v>0</v>
      </c>
      <c r="M182" s="1090">
        <f t="shared" ref="M182:O182" si="53">SUM(M183:M185)</f>
        <v>0</v>
      </c>
      <c r="N182" s="2138">
        <f t="shared" si="53"/>
        <v>8189868.9600000009</v>
      </c>
      <c r="O182" s="2139">
        <f t="shared" si="53"/>
        <v>8189868.9600000009</v>
      </c>
      <c r="P182" s="2136"/>
      <c r="Q182" s="2140">
        <f>SUM(Q183:Q185)</f>
        <v>8189868.9600000009</v>
      </c>
    </row>
    <row r="183" spans="1:18" ht="25.5">
      <c r="A183" s="1528" t="s">
        <v>1023</v>
      </c>
      <c r="B183" s="761" t="s">
        <v>237</v>
      </c>
      <c r="C183" s="432" t="s">
        <v>878</v>
      </c>
      <c r="D183" s="763"/>
      <c r="E183" s="763">
        <v>2</v>
      </c>
      <c r="F183" s="763"/>
      <c r="G183" s="763"/>
      <c r="H183" s="763"/>
      <c r="I183" s="763"/>
      <c r="J183" s="1529"/>
      <c r="L183" s="1682"/>
      <c r="M183" s="1678"/>
      <c r="N183" s="2141">
        <v>8189868.9600000009</v>
      </c>
      <c r="O183" s="2142">
        <f>+N183</f>
        <v>8189868.9600000009</v>
      </c>
      <c r="P183" s="2136"/>
      <c r="Q183" s="2143">
        <f>+J183+O183</f>
        <v>8189868.9600000009</v>
      </c>
    </row>
    <row r="184" spans="1:18">
      <c r="A184" s="1528"/>
      <c r="B184" s="179"/>
      <c r="C184" s="179"/>
      <c r="D184" s="763"/>
      <c r="E184" s="763"/>
      <c r="F184" s="763"/>
      <c r="G184" s="763"/>
      <c r="H184" s="763"/>
      <c r="I184" s="763"/>
      <c r="J184" s="1529"/>
      <c r="L184" s="919"/>
      <c r="M184" s="763"/>
      <c r="N184" s="2144"/>
      <c r="O184" s="2142">
        <f t="shared" ref="O184:O185" si="54">SUM(L184:N184)</f>
        <v>0</v>
      </c>
      <c r="P184" s="2136"/>
      <c r="Q184" s="2143">
        <f>+J184+O184</f>
        <v>0</v>
      </c>
    </row>
    <row r="185" spans="1:18">
      <c r="A185" s="1528"/>
      <c r="B185" s="179"/>
      <c r="C185" s="179"/>
      <c r="D185" s="763"/>
      <c r="E185" s="763"/>
      <c r="F185" s="763"/>
      <c r="G185" s="763"/>
      <c r="H185" s="763"/>
      <c r="I185" s="763"/>
      <c r="J185" s="1529"/>
      <c r="L185" s="919"/>
      <c r="M185" s="763"/>
      <c r="N185" s="763"/>
      <c r="O185" s="920">
        <f t="shared" si="54"/>
        <v>0</v>
      </c>
      <c r="Q185" s="930">
        <f>+J185+O185</f>
        <v>0</v>
      </c>
    </row>
    <row r="186" spans="1:18" s="1628" customFormat="1" ht="25.5">
      <c r="A186" s="1555" t="s">
        <v>267</v>
      </c>
      <c r="B186" s="175"/>
      <c r="C186" s="175"/>
      <c r="D186" s="178" t="s">
        <v>211</v>
      </c>
      <c r="E186" s="178">
        <v>120</v>
      </c>
      <c r="F186" s="178"/>
      <c r="G186" s="178"/>
      <c r="H186" s="178"/>
      <c r="I186" s="178"/>
      <c r="J186" s="1556">
        <f>SUM(J187:J189)</f>
        <v>0</v>
      </c>
      <c r="K186" s="274"/>
      <c r="L186" s="926">
        <f>SUM(L187:L189)</f>
        <v>0</v>
      </c>
      <c r="M186" s="178">
        <f t="shared" ref="M186:O186" si="55">SUM(M187:M189)</f>
        <v>0</v>
      </c>
      <c r="N186" s="178">
        <f t="shared" si="55"/>
        <v>0</v>
      </c>
      <c r="O186" s="185">
        <f t="shared" si="55"/>
        <v>0</v>
      </c>
      <c r="P186" s="1"/>
      <c r="Q186" s="932">
        <f>SUM(Q187:Q189)</f>
        <v>0</v>
      </c>
    </row>
    <row r="187" spans="1:18" s="1628" customFormat="1" ht="25.5">
      <c r="A187" s="1528" t="s">
        <v>1027</v>
      </c>
      <c r="B187" s="761" t="s">
        <v>237</v>
      </c>
      <c r="C187" s="30" t="s">
        <v>878</v>
      </c>
      <c r="D187" s="1627"/>
      <c r="E187" s="1627">
        <v>1</v>
      </c>
      <c r="F187" s="1627"/>
      <c r="G187" s="1619"/>
      <c r="H187" s="1619"/>
      <c r="I187" s="1619"/>
      <c r="J187" s="1620">
        <f>SUM(F187:I187)</f>
        <v>0</v>
      </c>
      <c r="K187" s="673"/>
      <c r="L187" s="1499"/>
      <c r="M187" s="445"/>
      <c r="N187" s="445">
        <f>10040000-10040000</f>
        <v>0</v>
      </c>
      <c r="O187" s="1621">
        <f>SUM(L187:N187)</f>
        <v>0</v>
      </c>
      <c r="Q187" s="930">
        <f>+J187+O187</f>
        <v>0</v>
      </c>
    </row>
    <row r="188" spans="1:18">
      <c r="A188" s="1528" t="s">
        <v>1028</v>
      </c>
      <c r="B188" s="761" t="s">
        <v>237</v>
      </c>
      <c r="C188" s="30" t="s">
        <v>878</v>
      </c>
      <c r="D188" s="1627"/>
      <c r="E188" s="1627">
        <v>1</v>
      </c>
      <c r="F188" s="1627"/>
      <c r="G188" s="1619"/>
      <c r="H188" s="1619"/>
      <c r="I188" s="1619"/>
      <c r="J188" s="1620">
        <f t="shared" ref="J188" si="56">SUM(F188:I188)</f>
        <v>0</v>
      </c>
      <c r="K188" s="673"/>
      <c r="L188" s="1499"/>
      <c r="M188" s="445"/>
      <c r="N188" s="445">
        <f>5020000-5020000</f>
        <v>0</v>
      </c>
      <c r="O188" s="1621">
        <f t="shared" ref="O188" si="57">SUM(L188:N188)</f>
        <v>0</v>
      </c>
      <c r="P188" s="1628"/>
      <c r="Q188" s="930">
        <f>+J188+O188</f>
        <v>0</v>
      </c>
    </row>
    <row r="189" spans="1:18" ht="13.5" thickBot="1">
      <c r="A189" s="1537"/>
      <c r="B189" s="909"/>
      <c r="C189" s="909"/>
      <c r="D189" s="21"/>
      <c r="E189" s="21"/>
      <c r="F189" s="21"/>
      <c r="G189" s="21"/>
      <c r="H189" s="21"/>
      <c r="I189" s="21"/>
      <c r="J189" s="1529">
        <f t="shared" ref="J189" si="58">SUM(F189:I189)</f>
        <v>0</v>
      </c>
      <c r="L189" s="1114"/>
      <c r="M189" s="21"/>
      <c r="N189" s="21"/>
      <c r="O189" s="1115">
        <f t="shared" ref="O189" si="59">SUM(L189:N189)</f>
        <v>0</v>
      </c>
      <c r="Q189" s="1113">
        <f>+J189+O189</f>
        <v>0</v>
      </c>
    </row>
    <row r="190" spans="1:18" ht="26.25" thickBot="1">
      <c r="A190" s="1553" t="s">
        <v>269</v>
      </c>
      <c r="B190" s="1152"/>
      <c r="C190" s="1152"/>
      <c r="D190" s="522" t="s">
        <v>211</v>
      </c>
      <c r="E190" s="522">
        <v>1</v>
      </c>
      <c r="F190" s="522"/>
      <c r="G190" s="522"/>
      <c r="H190" s="522"/>
      <c r="I190" s="522"/>
      <c r="J190" s="1557">
        <f>+J191+J195</f>
        <v>0</v>
      </c>
      <c r="L190" s="1155">
        <f>+L191+L195</f>
        <v>0</v>
      </c>
      <c r="M190" s="522">
        <f t="shared" ref="M190:O190" si="60">+M191+M195</f>
        <v>0</v>
      </c>
      <c r="N190" s="522">
        <f t="shared" si="60"/>
        <v>0</v>
      </c>
      <c r="O190" s="1156">
        <f t="shared" si="60"/>
        <v>0</v>
      </c>
      <c r="Q190" s="1154">
        <f>+Q191+Q195</f>
        <v>0</v>
      </c>
    </row>
    <row r="191" spans="1:18" ht="25.5">
      <c r="A191" s="1546" t="s">
        <v>270</v>
      </c>
      <c r="B191" s="1071"/>
      <c r="C191" s="1071"/>
      <c r="D191" s="1090" t="s">
        <v>211</v>
      </c>
      <c r="E191" s="1090">
        <v>1</v>
      </c>
      <c r="F191" s="1090"/>
      <c r="G191" s="1090"/>
      <c r="H191" s="1090"/>
      <c r="I191" s="1090"/>
      <c r="J191" s="1547">
        <f>SUM(J192:J194)</f>
        <v>0</v>
      </c>
      <c r="L191" s="1137">
        <f>SUM(L192:L194)</f>
        <v>0</v>
      </c>
      <c r="M191" s="1090">
        <f t="shared" ref="M191:O191" si="61">SUM(M192:M194)</f>
        <v>0</v>
      </c>
      <c r="N191" s="1090">
        <f t="shared" si="61"/>
        <v>0</v>
      </c>
      <c r="O191" s="1138">
        <f t="shared" si="61"/>
        <v>0</v>
      </c>
      <c r="Q191" s="1139">
        <f>SUM(Q192:Q194)</f>
        <v>0</v>
      </c>
    </row>
    <row r="192" spans="1:18">
      <c r="A192" s="1528"/>
      <c r="B192" s="179"/>
      <c r="C192" s="179"/>
      <c r="D192" s="763"/>
      <c r="E192" s="763"/>
      <c r="F192" s="763"/>
      <c r="G192" s="763"/>
      <c r="H192" s="763"/>
      <c r="I192" s="763"/>
      <c r="J192" s="1529"/>
      <c r="L192" s="919"/>
      <c r="M192" s="763"/>
      <c r="N192" s="763"/>
      <c r="O192" s="920">
        <f>SUM(L192:N192)</f>
        <v>0</v>
      </c>
      <c r="Q192" s="930">
        <f>+J192+O192</f>
        <v>0</v>
      </c>
    </row>
    <row r="193" spans="1:17">
      <c r="A193" s="1528"/>
      <c r="B193" s="179"/>
      <c r="C193" s="179"/>
      <c r="D193" s="763"/>
      <c r="E193" s="763"/>
      <c r="F193" s="763"/>
      <c r="G193" s="763"/>
      <c r="H193" s="763"/>
      <c r="I193" s="763"/>
      <c r="J193" s="1529"/>
      <c r="L193" s="919"/>
      <c r="M193" s="763"/>
      <c r="N193" s="763"/>
      <c r="O193" s="920">
        <f t="shared" ref="O193:O194" si="62">SUM(L193:N193)</f>
        <v>0</v>
      </c>
      <c r="Q193" s="930">
        <f>+J193+O193</f>
        <v>0</v>
      </c>
    </row>
    <row r="194" spans="1:17">
      <c r="A194" s="1528"/>
      <c r="B194" s="179"/>
      <c r="C194" s="179"/>
      <c r="D194" s="763"/>
      <c r="E194" s="763"/>
      <c r="F194" s="763"/>
      <c r="G194" s="763"/>
      <c r="H194" s="763"/>
      <c r="I194" s="763"/>
      <c r="J194" s="1529"/>
      <c r="L194" s="919"/>
      <c r="M194" s="763"/>
      <c r="N194" s="763"/>
      <c r="O194" s="920">
        <f t="shared" si="62"/>
        <v>0</v>
      </c>
      <c r="Q194" s="930">
        <f>+J194+O194</f>
        <v>0</v>
      </c>
    </row>
    <row r="195" spans="1:17" s="1628" customFormat="1" ht="25.5">
      <c r="A195" s="1555" t="s">
        <v>271</v>
      </c>
      <c r="B195" s="175"/>
      <c r="C195" s="175"/>
      <c r="D195" s="178" t="s">
        <v>210</v>
      </c>
      <c r="E195" s="178">
        <v>1</v>
      </c>
      <c r="F195" s="178"/>
      <c r="G195" s="178"/>
      <c r="H195" s="178"/>
      <c r="I195" s="178"/>
      <c r="J195" s="1556">
        <f>SUM(J196:J198)</f>
        <v>0</v>
      </c>
      <c r="K195" s="274"/>
      <c r="L195" s="926">
        <f>SUM(L196:L198)</f>
        <v>0</v>
      </c>
      <c r="M195" s="178">
        <f t="shared" ref="M195:O195" si="63">SUM(M196:M198)</f>
        <v>0</v>
      </c>
      <c r="N195" s="178">
        <f t="shared" si="63"/>
        <v>0</v>
      </c>
      <c r="O195" s="185">
        <f t="shared" si="63"/>
        <v>0</v>
      </c>
      <c r="P195" s="1"/>
      <c r="Q195" s="932">
        <f>SUM(Q196:Q198)</f>
        <v>0</v>
      </c>
    </row>
    <row r="196" spans="1:17" s="1628" customFormat="1">
      <c r="A196" s="1528" t="s">
        <v>582</v>
      </c>
      <c r="B196" s="761" t="s">
        <v>237</v>
      </c>
      <c r="C196" s="30" t="s">
        <v>878</v>
      </c>
      <c r="D196" s="1627"/>
      <c r="E196" s="1627"/>
      <c r="F196" s="1627"/>
      <c r="G196" s="1627"/>
      <c r="H196" s="1627"/>
      <c r="I196" s="1627"/>
      <c r="J196" s="1529">
        <f>10000000*1.004*E196</f>
        <v>0</v>
      </c>
      <c r="K196" s="673"/>
      <c r="L196" s="919"/>
      <c r="M196" s="1627"/>
      <c r="N196" s="1627">
        <f>10040000-10040000</f>
        <v>0</v>
      </c>
      <c r="O196" s="920">
        <f>SUM(L196:N196)</f>
        <v>0</v>
      </c>
      <c r="Q196" s="930">
        <f>+J196+O196</f>
        <v>0</v>
      </c>
    </row>
    <row r="197" spans="1:17">
      <c r="A197" s="1528" t="s">
        <v>583</v>
      </c>
      <c r="B197" s="761" t="s">
        <v>237</v>
      </c>
      <c r="C197" s="30" t="s">
        <v>878</v>
      </c>
      <c r="D197" s="1627"/>
      <c r="E197" s="1627"/>
      <c r="F197" s="1627"/>
      <c r="G197" s="1619"/>
      <c r="H197" s="1619"/>
      <c r="I197" s="1619"/>
      <c r="J197" s="1620">
        <f>5000000*1.004*E197</f>
        <v>0</v>
      </c>
      <c r="K197" s="673"/>
      <c r="L197" s="1499"/>
      <c r="M197" s="445"/>
      <c r="N197" s="445">
        <f>2800000*1.004-2811200</f>
        <v>0</v>
      </c>
      <c r="O197" s="1621">
        <f t="shared" ref="O197" si="64">SUM(L197:N197)</f>
        <v>0</v>
      </c>
      <c r="P197" s="1628"/>
      <c r="Q197" s="930">
        <f>+J197+O197</f>
        <v>0</v>
      </c>
    </row>
    <row r="198" spans="1:17" ht="13.5" thickBot="1">
      <c r="A198" s="1537"/>
      <c r="B198" s="909"/>
      <c r="C198" s="909"/>
      <c r="D198" s="21"/>
      <c r="E198" s="21"/>
      <c r="F198" s="21"/>
      <c r="G198" s="21"/>
      <c r="H198" s="21"/>
      <c r="I198" s="21"/>
      <c r="J198" s="1538"/>
      <c r="L198" s="1114"/>
      <c r="M198" s="21"/>
      <c r="N198" s="21"/>
      <c r="O198" s="1115">
        <f t="shared" ref="O198" si="65">SUM(L198:N198)</f>
        <v>0</v>
      </c>
      <c r="Q198" s="1113">
        <f>+J198+O198</f>
        <v>0</v>
      </c>
    </row>
    <row r="199" spans="1:17" ht="26.25" thickBot="1">
      <c r="A199" s="1553" t="s">
        <v>272</v>
      </c>
      <c r="B199" s="1152"/>
      <c r="C199" s="1152"/>
      <c r="D199" s="522" t="s">
        <v>211</v>
      </c>
      <c r="E199" s="522">
        <v>1</v>
      </c>
      <c r="F199" s="522"/>
      <c r="G199" s="522"/>
      <c r="H199" s="522"/>
      <c r="I199" s="522"/>
      <c r="J199" s="1557">
        <f>+J200</f>
        <v>0</v>
      </c>
      <c r="L199" s="1155">
        <f>+L200</f>
        <v>0</v>
      </c>
      <c r="M199" s="522">
        <f t="shared" ref="M199:O199" si="66">+M200</f>
        <v>0</v>
      </c>
      <c r="N199" s="2145">
        <f t="shared" si="66"/>
        <v>81855084.876000002</v>
      </c>
      <c r="O199" s="2146">
        <f t="shared" si="66"/>
        <v>81855084.876000002</v>
      </c>
      <c r="P199" s="2136"/>
      <c r="Q199" s="2147">
        <f>+Q200</f>
        <v>81855084.876000002</v>
      </c>
    </row>
    <row r="200" spans="1:17" s="1628" customFormat="1" ht="25.5">
      <c r="A200" s="1546" t="s">
        <v>386</v>
      </c>
      <c r="B200" s="1071"/>
      <c r="C200" s="1071"/>
      <c r="D200" s="1090" t="s">
        <v>211</v>
      </c>
      <c r="E200" s="1090">
        <v>1</v>
      </c>
      <c r="F200" s="1090"/>
      <c r="G200" s="1090"/>
      <c r="H200" s="1090"/>
      <c r="I200" s="1090"/>
      <c r="J200" s="1547">
        <f>SUM(J201:J203)</f>
        <v>0</v>
      </c>
      <c r="K200" s="274"/>
      <c r="L200" s="1137">
        <f>SUM(L201:L203)</f>
        <v>0</v>
      </c>
      <c r="M200" s="1090">
        <f t="shared" ref="M200:O200" si="67">SUM(M201:M203)</f>
        <v>0</v>
      </c>
      <c r="N200" s="2138">
        <f t="shared" si="67"/>
        <v>81855084.876000002</v>
      </c>
      <c r="O200" s="2139">
        <f t="shared" si="67"/>
        <v>81855084.876000002</v>
      </c>
      <c r="P200" s="2136"/>
      <c r="Q200" s="2140">
        <f>SUM(Q201:Q203)</f>
        <v>81855084.876000002</v>
      </c>
    </row>
    <row r="201" spans="1:17" ht="25.5">
      <c r="A201" s="1528" t="s">
        <v>584</v>
      </c>
      <c r="B201" s="761" t="s">
        <v>237</v>
      </c>
      <c r="C201" s="30" t="s">
        <v>878</v>
      </c>
      <c r="D201" s="1627"/>
      <c r="E201" s="1627"/>
      <c r="F201" s="1627"/>
      <c r="G201" s="1619"/>
      <c r="H201" s="1619"/>
      <c r="I201" s="1619"/>
      <c r="J201" s="1620">
        <f>91999532*1.004*1.05*E201</f>
        <v>0</v>
      </c>
      <c r="K201" s="673"/>
      <c r="L201" s="1499"/>
      <c r="M201" s="445"/>
      <c r="N201" s="2144">
        <f>+O201</f>
        <v>81855084.876000002</v>
      </c>
      <c r="O201" s="2142">
        <f>81528969*1.004</f>
        <v>81855084.876000002</v>
      </c>
      <c r="P201" s="2014"/>
      <c r="Q201" s="2143">
        <f>+J201+O201</f>
        <v>81855084.876000002</v>
      </c>
    </row>
    <row r="202" spans="1:17">
      <c r="A202" s="1528"/>
      <c r="B202" s="179"/>
      <c r="C202" s="179"/>
      <c r="D202" s="763"/>
      <c r="E202" s="763"/>
      <c r="F202" s="763"/>
      <c r="G202" s="763"/>
      <c r="H202" s="763"/>
      <c r="I202" s="763"/>
      <c r="J202" s="1529"/>
      <c r="L202" s="919"/>
      <c r="M202" s="763"/>
      <c r="N202" s="763"/>
      <c r="O202" s="920">
        <f t="shared" ref="O202:O203" si="68">SUM(L202:N202)</f>
        <v>0</v>
      </c>
      <c r="Q202" s="930">
        <f>+J202+O202</f>
        <v>0</v>
      </c>
    </row>
    <row r="203" spans="1:17" s="275" customFormat="1" ht="13.5" thickBot="1">
      <c r="A203" s="1537"/>
      <c r="B203" s="909"/>
      <c r="C203" s="909"/>
      <c r="D203" s="21"/>
      <c r="E203" s="21"/>
      <c r="F203" s="21"/>
      <c r="G203" s="21"/>
      <c r="H203" s="21"/>
      <c r="I203" s="21"/>
      <c r="J203" s="1538"/>
      <c r="K203" s="274"/>
      <c r="L203" s="1114"/>
      <c r="M203" s="21"/>
      <c r="N203" s="21"/>
      <c r="O203" s="1115">
        <f t="shared" si="68"/>
        <v>0</v>
      </c>
      <c r="P203" s="1"/>
      <c r="Q203" s="1113">
        <f>+J203+O203</f>
        <v>0</v>
      </c>
    </row>
    <row r="204" spans="1:17" s="275" customFormat="1" ht="39" thickBot="1">
      <c r="A204" s="1558" t="s">
        <v>275</v>
      </c>
      <c r="B204" s="1149"/>
      <c r="C204" s="1149"/>
      <c r="D204" s="1150" t="s">
        <v>215</v>
      </c>
      <c r="E204" s="1150">
        <v>100</v>
      </c>
      <c r="F204" s="1147">
        <f t="shared" ref="F204:I204" si="69">+F205</f>
        <v>0</v>
      </c>
      <c r="G204" s="1147">
        <f t="shared" si="69"/>
        <v>0</v>
      </c>
      <c r="H204" s="1147">
        <f t="shared" si="69"/>
        <v>24254612.219999999</v>
      </c>
      <c r="I204" s="1147">
        <f t="shared" si="69"/>
        <v>0</v>
      </c>
      <c r="J204" s="1549">
        <f>+J205</f>
        <v>24254612.219999999</v>
      </c>
      <c r="K204" s="281"/>
      <c r="L204" s="1146">
        <f>+L205</f>
        <v>0</v>
      </c>
      <c r="M204" s="1147">
        <f t="shared" ref="M204:O204" si="70">+M205</f>
        <v>7242077.6200000001</v>
      </c>
      <c r="N204" s="1147">
        <f t="shared" si="70"/>
        <v>10082645</v>
      </c>
      <c r="O204" s="1148">
        <f t="shared" si="70"/>
        <v>17324722.620000001</v>
      </c>
      <c r="Q204" s="1145">
        <f>+Q205</f>
        <v>41579334.840000004</v>
      </c>
    </row>
    <row r="205" spans="1:17" s="65" customFormat="1" ht="25.5">
      <c r="A205" s="1526" t="s">
        <v>273</v>
      </c>
      <c r="B205" s="1117"/>
      <c r="C205" s="1117"/>
      <c r="D205" s="1118" t="s">
        <v>215</v>
      </c>
      <c r="E205" s="1118">
        <v>100</v>
      </c>
      <c r="F205" s="1119">
        <f t="shared" ref="F205:I205" si="71">SUM(F206:F208)</f>
        <v>0</v>
      </c>
      <c r="G205" s="1119">
        <f t="shared" si="71"/>
        <v>0</v>
      </c>
      <c r="H205" s="1119">
        <f t="shared" si="71"/>
        <v>24254612.219999999</v>
      </c>
      <c r="I205" s="1119">
        <f t="shared" si="71"/>
        <v>0</v>
      </c>
      <c r="J205" s="1527">
        <f>SUM(J206:J208)</f>
        <v>24254612.219999999</v>
      </c>
      <c r="K205" s="281"/>
      <c r="L205" s="1123">
        <f>SUM(L206:L208)</f>
        <v>0</v>
      </c>
      <c r="M205" s="1119">
        <f t="shared" ref="M205:O205" si="72">SUM(M206:M208)</f>
        <v>7242077.6200000001</v>
      </c>
      <c r="N205" s="1119">
        <f t="shared" si="72"/>
        <v>10082645</v>
      </c>
      <c r="O205" s="1124">
        <f t="shared" si="72"/>
        <v>17324722.620000001</v>
      </c>
      <c r="P205" s="275"/>
      <c r="Q205" s="1122">
        <f>SUM(Q206:Q208)</f>
        <v>41579334.840000004</v>
      </c>
    </row>
    <row r="206" spans="1:17" s="65" customFormat="1" ht="25.5">
      <c r="A206" s="1528" t="s">
        <v>887</v>
      </c>
      <c r="B206" s="761" t="s">
        <v>237</v>
      </c>
      <c r="C206" s="30" t="s">
        <v>878</v>
      </c>
      <c r="D206" s="763"/>
      <c r="E206" s="763">
        <v>3</v>
      </c>
      <c r="F206" s="763"/>
      <c r="G206" s="438"/>
      <c r="H206" s="438">
        <f>+J206</f>
        <v>10394833.68</v>
      </c>
      <c r="I206" s="763"/>
      <c r="J206" s="1529">
        <v>10394833.68</v>
      </c>
      <c r="K206" s="674"/>
      <c r="L206" s="919"/>
      <c r="M206" s="763"/>
      <c r="N206" s="763"/>
      <c r="O206" s="920">
        <f>SUM(L206:N206)</f>
        <v>0</v>
      </c>
      <c r="Q206" s="930">
        <f>+J206+O206</f>
        <v>10394833.68</v>
      </c>
    </row>
    <row r="207" spans="1:17" s="65" customFormat="1">
      <c r="A207" s="1528" t="s">
        <v>585</v>
      </c>
      <c r="B207" s="761" t="s">
        <v>237</v>
      </c>
      <c r="C207" s="30" t="s">
        <v>878</v>
      </c>
      <c r="D207" s="763"/>
      <c r="E207" s="763">
        <v>4</v>
      </c>
      <c r="F207" s="315"/>
      <c r="G207" s="300"/>
      <c r="H207" s="301">
        <f>+J207</f>
        <v>13859778.539999999</v>
      </c>
      <c r="I207" s="315"/>
      <c r="J207" s="1542">
        <v>13859778.539999999</v>
      </c>
      <c r="K207" s="672"/>
      <c r="L207" s="919"/>
      <c r="M207" s="763"/>
      <c r="N207" s="763"/>
      <c r="O207" s="920">
        <f t="shared" ref="O207:O208" si="73">SUM(L207:N207)</f>
        <v>0</v>
      </c>
      <c r="Q207" s="930">
        <f>+J207+O207</f>
        <v>13859778.539999999</v>
      </c>
    </row>
    <row r="208" spans="1:17" s="275" customFormat="1" ht="13.5" thickBot="1">
      <c r="A208" s="1532" t="s">
        <v>1020</v>
      </c>
      <c r="B208" s="518" t="s">
        <v>237</v>
      </c>
      <c r="C208" s="537" t="s">
        <v>878</v>
      </c>
      <c r="D208" s="21"/>
      <c r="E208" s="21">
        <v>6</v>
      </c>
      <c r="F208" s="21"/>
      <c r="G208" s="21"/>
      <c r="H208" s="21"/>
      <c r="I208" s="21"/>
      <c r="J208" s="1538"/>
      <c r="K208" s="673"/>
      <c r="L208" s="1114"/>
      <c r="M208" s="21">
        <v>7242077.6200000001</v>
      </c>
      <c r="N208" s="21">
        <v>10082645</v>
      </c>
      <c r="O208" s="1686">
        <f t="shared" si="73"/>
        <v>17324722.620000001</v>
      </c>
      <c r="P208" s="65"/>
      <c r="Q208" s="1113">
        <f>+J208+O208</f>
        <v>17324722.620000001</v>
      </c>
    </row>
    <row r="209" spans="1:17" s="275" customFormat="1" ht="39" thickBot="1">
      <c r="A209" s="1558" t="s">
        <v>276</v>
      </c>
      <c r="B209" s="1149"/>
      <c r="C209" s="1149"/>
      <c r="D209" s="1150" t="s">
        <v>215</v>
      </c>
      <c r="E209" s="1150">
        <v>100</v>
      </c>
      <c r="F209" s="1147">
        <f>+F210</f>
        <v>0</v>
      </c>
      <c r="G209" s="1147">
        <f>+G210</f>
        <v>20948279</v>
      </c>
      <c r="H209" s="1147">
        <f t="shared" ref="H209:I209" si="74">+H210</f>
        <v>0</v>
      </c>
      <c r="I209" s="1147">
        <f t="shared" si="74"/>
        <v>0</v>
      </c>
      <c r="J209" s="1549">
        <f>+J210</f>
        <v>20948279</v>
      </c>
      <c r="K209" s="281"/>
      <c r="L209" s="1146">
        <f>+L210</f>
        <v>0</v>
      </c>
      <c r="M209" s="1147">
        <f t="shared" ref="M209:O209" si="75">+M210</f>
        <v>0</v>
      </c>
      <c r="N209" s="1147">
        <f t="shared" si="75"/>
        <v>0</v>
      </c>
      <c r="O209" s="1148">
        <f t="shared" si="75"/>
        <v>0</v>
      </c>
      <c r="Q209" s="1145">
        <f>+Q210</f>
        <v>20948279</v>
      </c>
    </row>
    <row r="210" spans="1:17" s="65" customFormat="1" ht="25.5">
      <c r="A210" s="1526" t="s">
        <v>274</v>
      </c>
      <c r="B210" s="1117"/>
      <c r="C210" s="1117"/>
      <c r="D210" s="1118"/>
      <c r="E210" s="1118">
        <v>100</v>
      </c>
      <c r="F210" s="1119">
        <f>SUM(F211:F213)</f>
        <v>0</v>
      </c>
      <c r="G210" s="1119">
        <f>SUM(G211:G213)</f>
        <v>20948279</v>
      </c>
      <c r="H210" s="1119">
        <f t="shared" ref="H210:I210" si="76">SUM(H211:H213)</f>
        <v>0</v>
      </c>
      <c r="I210" s="1119">
        <f t="shared" si="76"/>
        <v>0</v>
      </c>
      <c r="J210" s="1527">
        <f>SUM(J211:J213)</f>
        <v>20948279</v>
      </c>
      <c r="K210" s="281"/>
      <c r="L210" s="1123">
        <f>SUM(L211:L213)</f>
        <v>0</v>
      </c>
      <c r="M210" s="1119">
        <f t="shared" ref="M210:O210" si="77">SUM(M211:M213)</f>
        <v>0</v>
      </c>
      <c r="N210" s="1119">
        <f t="shared" si="77"/>
        <v>0</v>
      </c>
      <c r="O210" s="1124">
        <f t="shared" si="77"/>
        <v>0</v>
      </c>
      <c r="P210" s="275"/>
      <c r="Q210" s="1122">
        <f>SUM(Q211:Q213)</f>
        <v>20948279</v>
      </c>
    </row>
    <row r="211" spans="1:17">
      <c r="A211" s="1528" t="s">
        <v>586</v>
      </c>
      <c r="B211" s="761" t="s">
        <v>237</v>
      </c>
      <c r="C211" s="30" t="s">
        <v>878</v>
      </c>
      <c r="D211" s="763"/>
      <c r="E211" s="763">
        <v>5</v>
      </c>
      <c r="F211" s="763"/>
      <c r="G211" s="438">
        <v>20948279</v>
      </c>
      <c r="H211" s="763"/>
      <c r="I211" s="763"/>
      <c r="J211" s="1529">
        <f>+G211</f>
        <v>20948279</v>
      </c>
      <c r="K211" s="672"/>
      <c r="L211" s="919"/>
      <c r="M211" s="763"/>
      <c r="N211" s="763"/>
      <c r="O211" s="920">
        <f>SUM(L211:N211)</f>
        <v>0</v>
      </c>
      <c r="P211" s="65"/>
      <c r="Q211" s="930">
        <f>+J211+O211</f>
        <v>20948279</v>
      </c>
    </row>
    <row r="212" spans="1:17">
      <c r="A212" s="1528"/>
      <c r="B212" s="179"/>
      <c r="C212" s="179"/>
      <c r="D212" s="763"/>
      <c r="E212" s="763"/>
      <c r="F212" s="763"/>
      <c r="G212" s="763"/>
      <c r="H212" s="763"/>
      <c r="I212" s="763"/>
      <c r="J212" s="1529"/>
      <c r="L212" s="919"/>
      <c r="M212" s="763"/>
      <c r="N212" s="763"/>
      <c r="O212" s="920">
        <f t="shared" ref="O212:O213" si="78">SUM(L212:N212)</f>
        <v>0</v>
      </c>
      <c r="Q212" s="930">
        <f>+J212+O212</f>
        <v>0</v>
      </c>
    </row>
    <row r="213" spans="1:17" s="275" customFormat="1" ht="13.5" thickBot="1">
      <c r="A213" s="1537"/>
      <c r="B213" s="909"/>
      <c r="C213" s="909"/>
      <c r="D213" s="21"/>
      <c r="E213" s="21"/>
      <c r="F213" s="21"/>
      <c r="G213" s="21"/>
      <c r="H213" s="21"/>
      <c r="I213" s="21"/>
      <c r="J213" s="1538"/>
      <c r="K213" s="274"/>
      <c r="L213" s="1114"/>
      <c r="M213" s="21"/>
      <c r="N213" s="21"/>
      <c r="O213" s="1115">
        <f t="shared" si="78"/>
        <v>0</v>
      </c>
      <c r="P213" s="1"/>
      <c r="Q213" s="1113">
        <f>+J213+O213</f>
        <v>0</v>
      </c>
    </row>
    <row r="214" spans="1:17" s="275" customFormat="1" ht="25.5" customHeight="1" thickBot="1">
      <c r="A214" s="1548" t="s">
        <v>38</v>
      </c>
      <c r="B214" s="1149"/>
      <c r="C214" s="1149"/>
      <c r="D214" s="1161" t="s">
        <v>210</v>
      </c>
      <c r="E214" s="1161">
        <v>1</v>
      </c>
      <c r="F214" s="1159">
        <f t="shared" ref="F214:I214" si="79">+F215+F217</f>
        <v>0</v>
      </c>
      <c r="G214" s="1159">
        <f t="shared" si="79"/>
        <v>1308679252</v>
      </c>
      <c r="H214" s="1159">
        <f t="shared" si="79"/>
        <v>777023479.24937296</v>
      </c>
      <c r="I214" s="1159">
        <f t="shared" si="79"/>
        <v>0</v>
      </c>
      <c r="J214" s="1559">
        <f>+J215+J217</f>
        <v>2085702731.249373</v>
      </c>
      <c r="K214" s="281"/>
      <c r="L214" s="1158">
        <f>+L215</f>
        <v>0</v>
      </c>
      <c r="M214" s="1159">
        <f t="shared" ref="M214:O214" si="80">+M215</f>
        <v>65537966</v>
      </c>
      <c r="N214" s="1159">
        <f t="shared" si="80"/>
        <v>142591793</v>
      </c>
      <c r="O214" s="1160">
        <f t="shared" si="80"/>
        <v>208129759</v>
      </c>
      <c r="Q214" s="1157">
        <f>+Q215</f>
        <v>2293832490.249373</v>
      </c>
    </row>
    <row r="215" spans="1:17" s="1628" customFormat="1" ht="24" customHeight="1">
      <c r="A215" s="1526" t="s">
        <v>424</v>
      </c>
      <c r="B215" s="1117"/>
      <c r="C215" s="1117"/>
      <c r="D215" s="1118" t="s">
        <v>210</v>
      </c>
      <c r="E215" s="1118">
        <v>1</v>
      </c>
      <c r="F215" s="1119">
        <f t="shared" ref="F215:I215" si="81">+F216</f>
        <v>0</v>
      </c>
      <c r="G215" s="1119">
        <f t="shared" si="81"/>
        <v>886550</v>
      </c>
      <c r="H215" s="1119">
        <f t="shared" si="81"/>
        <v>46034197.249372996</v>
      </c>
      <c r="I215" s="1119">
        <f t="shared" si="81"/>
        <v>0</v>
      </c>
      <c r="J215" s="1527">
        <f>+J216</f>
        <v>46920747.249372996</v>
      </c>
      <c r="K215" s="281"/>
      <c r="L215" s="1123">
        <f>SUM(L216:L217)</f>
        <v>0</v>
      </c>
      <c r="M215" s="1119">
        <f t="shared" ref="M215:O215" si="82">SUM(M216:M217)</f>
        <v>65537966</v>
      </c>
      <c r="N215" s="1119">
        <f t="shared" si="82"/>
        <v>142591793</v>
      </c>
      <c r="O215" s="1124">
        <f t="shared" si="82"/>
        <v>208129759</v>
      </c>
      <c r="P215" s="275"/>
      <c r="Q215" s="1122">
        <f>SUM(Q216:Q217)</f>
        <v>2293832490.249373</v>
      </c>
    </row>
    <row r="216" spans="1:17" s="1628" customFormat="1">
      <c r="A216" s="1528" t="s">
        <v>587</v>
      </c>
      <c r="B216" s="1627" t="s">
        <v>242</v>
      </c>
      <c r="C216" s="1627" t="s">
        <v>881</v>
      </c>
      <c r="D216" s="1627"/>
      <c r="E216" s="1627">
        <v>1</v>
      </c>
      <c r="F216" s="1627"/>
      <c r="G216" s="1619">
        <v>886550</v>
      </c>
      <c r="H216" s="1618">
        <f>42710061.249373-1268501+4592637</f>
        <v>46034197.249372996</v>
      </c>
      <c r="I216" s="1619"/>
      <c r="J216" s="1620">
        <f>+H216+G216</f>
        <v>46920747.249372996</v>
      </c>
      <c r="K216" s="673"/>
      <c r="L216" s="1682"/>
      <c r="M216" s="1678">
        <f>6520378+6851999</f>
        <v>13372377</v>
      </c>
      <c r="N216" s="1678">
        <f>90360000+203999+10013191</f>
        <v>100577190</v>
      </c>
      <c r="O216" s="1679">
        <f>SUM(L216:N216)</f>
        <v>113949567</v>
      </c>
      <c r="P216" s="673" t="s">
        <v>1106</v>
      </c>
      <c r="Q216" s="1681">
        <f>+J216+O216</f>
        <v>160870314.24937299</v>
      </c>
    </row>
    <row r="217" spans="1:17" ht="25.5" customHeight="1" thickBot="1">
      <c r="A217" s="1887" t="s">
        <v>277</v>
      </c>
      <c r="B217" s="1888" t="s">
        <v>237</v>
      </c>
      <c r="C217" s="1889" t="s">
        <v>878</v>
      </c>
      <c r="D217" s="1890" t="s">
        <v>210</v>
      </c>
      <c r="E217" s="1891">
        <v>1</v>
      </c>
      <c r="F217" s="1892"/>
      <c r="G217" s="1893">
        <v>1307792702</v>
      </c>
      <c r="H217" s="1893">
        <v>730989282</v>
      </c>
      <c r="I217" s="1892"/>
      <c r="J217" s="1894">
        <v>2038781984</v>
      </c>
      <c r="K217" s="673"/>
      <c r="L217" s="1895"/>
      <c r="M217" s="1896">
        <v>52165589</v>
      </c>
      <c r="N217" s="1896">
        <v>42014603</v>
      </c>
      <c r="O217" s="1897">
        <f>SUM(L217:N217)</f>
        <v>94180192</v>
      </c>
      <c r="P217" s="1628"/>
      <c r="Q217" s="1651">
        <f>+J217+O217</f>
        <v>2132962176</v>
      </c>
    </row>
    <row r="218" spans="1:17" ht="13.5" thickBot="1">
      <c r="A218" s="2374" t="s">
        <v>10</v>
      </c>
      <c r="B218" s="2375"/>
      <c r="C218" s="2375"/>
      <c r="D218" s="2375"/>
      <c r="E218" s="2376"/>
      <c r="F218" s="1417">
        <f>+F7+F15+F21+F83+F88+F138+F181+F190+F199+F204+F209+F214</f>
        <v>119398405.88213778</v>
      </c>
      <c r="G218" s="1417">
        <f>+G7+G15+G21+G83+G88+G138+G181+G190+G199+G204+G209+G214</f>
        <v>2445051484.2466269</v>
      </c>
      <c r="H218" s="1417">
        <f>+H7+H15+H21+H83+H88+H138+H181+H190+H199+H204+H209+H214</f>
        <v>1067173833.8444241</v>
      </c>
      <c r="I218" s="1417">
        <f>+I7+I15+I21+I83+I88+I138+I181+I190+I199+I204+I209+I214</f>
        <v>41526728.199999996</v>
      </c>
      <c r="J218" s="1418">
        <f>+J7+J15+J21+J83+J88+J138+J181+J190+J199+J204+J209+J214</f>
        <v>3673150452.1251888</v>
      </c>
      <c r="L218" s="1416">
        <f>+L7+L15+L21+L83+L88+L138+L181+L190+L199+L204+L209+L214</f>
        <v>31176086.936000001</v>
      </c>
      <c r="M218" s="1417">
        <f>+M7+M15+M21+M83+M88+M138+M181+M190+M199+M204+M209+M214</f>
        <v>191702073.44000003</v>
      </c>
      <c r="N218" s="1417">
        <f>+N7+N15+N21+N83+N88+N138+N181+N190+N199+N204+N209+N214</f>
        <v>457785676.57999998</v>
      </c>
      <c r="O218" s="1418">
        <f>+O7+O15+O21+O83+O88+O138+O181+O190+O199+O204+O209+O214</f>
        <v>680663836.95599985</v>
      </c>
      <c r="Q218" s="1419">
        <f>+Q7+Q15+Q21+Q83+Q88+Q138+Q181+Q190+Q199+Q204+Q209+Q214</f>
        <v>4353814289.0811882</v>
      </c>
    </row>
    <row r="219" spans="1:17" ht="13.5" thickBot="1">
      <c r="J219" s="276"/>
      <c r="L219" s="182"/>
      <c r="M219" s="182"/>
      <c r="N219" s="182"/>
      <c r="O219" s="276"/>
      <c r="Q219" s="276"/>
    </row>
    <row r="220" spans="1:17" ht="15.75" customHeight="1" thickBot="1">
      <c r="F220" s="917">
        <v>119398405.88213778</v>
      </c>
      <c r="G220" s="917">
        <v>2445051483.5799999</v>
      </c>
      <c r="H220" s="917">
        <v>1067173834.3000001</v>
      </c>
      <c r="I220" s="917">
        <v>41526728.140000001</v>
      </c>
      <c r="J220" s="918">
        <v>3673150451.9021378</v>
      </c>
      <c r="L220" s="917">
        <v>31176087</v>
      </c>
      <c r="M220" s="917">
        <v>191702073</v>
      </c>
      <c r="N220" s="917">
        <v>457785678</v>
      </c>
      <c r="O220" s="918">
        <v>680663838</v>
      </c>
      <c r="Q220" s="918">
        <v>4353814289.9021378</v>
      </c>
    </row>
    <row r="221" spans="1:17">
      <c r="L221" s="182"/>
      <c r="M221" s="182"/>
      <c r="N221" s="182"/>
      <c r="O221" s="184"/>
      <c r="Q221" s="184"/>
    </row>
    <row r="222" spans="1:17">
      <c r="F222" s="708">
        <f>+F220-F218</f>
        <v>0</v>
      </c>
      <c r="G222" s="708">
        <f t="shared" ref="G222:Q222" si="83">+G220-G218</f>
        <v>-0.66662693023681641</v>
      </c>
      <c r="H222" s="708">
        <f t="shared" si="83"/>
        <v>0.45557594299316406</v>
      </c>
      <c r="I222" s="708">
        <f>+I220-I218</f>
        <v>-5.9999994933605194E-2</v>
      </c>
      <c r="J222" s="708">
        <f t="shared" si="83"/>
        <v>-0.22305107116699219</v>
      </c>
      <c r="K222" s="708"/>
      <c r="L222" s="708">
        <f>+L220-L218</f>
        <v>6.3999999314546585E-2</v>
      </c>
      <c r="M222" s="708">
        <f t="shared" si="83"/>
        <v>-0.4400000274181366</v>
      </c>
      <c r="N222" s="708">
        <f t="shared" si="83"/>
        <v>1.4200000166893005</v>
      </c>
      <c r="O222" s="708">
        <f t="shared" si="83"/>
        <v>1.0440001487731934</v>
      </c>
      <c r="P222" s="708"/>
      <c r="Q222" s="708">
        <f t="shared" si="83"/>
        <v>0.82094955444335938</v>
      </c>
    </row>
  </sheetData>
  <mergeCells count="20">
    <mergeCell ref="A1:I1"/>
    <mergeCell ref="A2:I2"/>
    <mergeCell ref="F5:F6"/>
    <mergeCell ref="G5:G6"/>
    <mergeCell ref="H5:H6"/>
    <mergeCell ref="I5:I6"/>
    <mergeCell ref="O4:O6"/>
    <mergeCell ref="Q4:Q6"/>
    <mergeCell ref="A218:E218"/>
    <mergeCell ref="L4:N4"/>
    <mergeCell ref="L5:L6"/>
    <mergeCell ref="M5:M6"/>
    <mergeCell ref="N5:N6"/>
    <mergeCell ref="J4:J6"/>
    <mergeCell ref="A4:A6"/>
    <mergeCell ref="B4:B6"/>
    <mergeCell ref="D4:D6"/>
    <mergeCell ref="E4:E6"/>
    <mergeCell ref="F4:I4"/>
    <mergeCell ref="C4:C6"/>
  </mergeCell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theme="7" tint="0.59999389629810485"/>
  </sheetPr>
  <dimension ref="A1:R46"/>
  <sheetViews>
    <sheetView topLeftCell="C1" zoomScale="71" zoomScaleNormal="71" workbookViewId="0">
      <pane ySplit="6" topLeftCell="A19" activePane="bottomLeft" state="frozen"/>
      <selection pane="bottomLeft" activeCell="G44" sqref="G44"/>
    </sheetView>
  </sheetViews>
  <sheetFormatPr baseColWidth="10" defaultRowHeight="15"/>
  <cols>
    <col min="1" max="1" width="9" customWidth="1"/>
    <col min="2" max="2" width="35.28515625" customWidth="1"/>
    <col min="3" max="3" width="13.5703125" customWidth="1"/>
    <col min="5" max="5" width="17.7109375" customWidth="1"/>
    <col min="6" max="6" width="16.42578125" customWidth="1"/>
    <col min="7" max="7" width="19.7109375" customWidth="1"/>
    <col min="8" max="8" width="17.85546875" customWidth="1"/>
    <col min="9" max="9" width="6.5703125" customWidth="1"/>
    <col min="10" max="10" width="13.5703125" customWidth="1"/>
    <col min="11" max="11" width="14.28515625" customWidth="1"/>
    <col min="12" max="12" width="18.42578125" customWidth="1"/>
    <col min="13" max="13" width="19" customWidth="1"/>
    <col min="14" max="14" width="15.140625" customWidth="1"/>
    <col min="15" max="15" width="5.85546875" style="828" customWidth="1"/>
    <col min="16" max="16" width="22.28515625" customWidth="1"/>
    <col min="17" max="17" width="5.85546875" style="828" customWidth="1"/>
    <col min="18" max="18" width="17.85546875" customWidth="1"/>
  </cols>
  <sheetData>
    <row r="1" spans="1:18" s="1" customFormat="1" ht="15" customHeight="1">
      <c r="A1" s="2311" t="s">
        <v>181</v>
      </c>
      <c r="B1" s="2311"/>
      <c r="C1" s="2311"/>
      <c r="D1" s="2311"/>
      <c r="E1" s="2311"/>
      <c r="F1" s="2311"/>
      <c r="G1" s="2311"/>
      <c r="H1" s="2311"/>
      <c r="O1" s="807"/>
      <c r="Q1" s="807"/>
    </row>
    <row r="2" spans="1:18" s="1" customFormat="1" ht="15" customHeight="1">
      <c r="A2" s="2311" t="s">
        <v>182</v>
      </c>
      <c r="B2" s="2311"/>
      <c r="C2" s="2311"/>
      <c r="D2" s="2311"/>
      <c r="E2" s="2311"/>
      <c r="F2" s="2311"/>
      <c r="G2" s="2311"/>
      <c r="H2" s="2311"/>
      <c r="O2" s="807"/>
      <c r="Q2" s="807"/>
    </row>
    <row r="3" spans="1:18" ht="25.5" customHeight="1" thickBot="1">
      <c r="B3" s="6"/>
    </row>
    <row r="4" spans="1:18" ht="33.75" customHeight="1" thickBot="1">
      <c r="A4" s="2312" t="s">
        <v>394</v>
      </c>
      <c r="B4" s="2346" t="s">
        <v>198</v>
      </c>
      <c r="C4" s="2346">
        <v>2022</v>
      </c>
      <c r="D4" s="2346"/>
      <c r="E4" s="2346"/>
      <c r="F4" s="2346"/>
      <c r="G4" s="2346"/>
      <c r="H4" s="2347" t="s">
        <v>205</v>
      </c>
      <c r="J4" s="2390" t="s">
        <v>1003</v>
      </c>
      <c r="K4" s="2390"/>
      <c r="L4" s="2390"/>
      <c r="M4" s="2390"/>
      <c r="N4" s="2364" t="s">
        <v>1005</v>
      </c>
      <c r="O4" s="829"/>
      <c r="P4" s="2364" t="s">
        <v>1199</v>
      </c>
      <c r="Q4" s="829"/>
      <c r="R4" s="2364" t="s">
        <v>1006</v>
      </c>
    </row>
    <row r="5" spans="1:18" ht="15.75" customHeight="1" thickBot="1">
      <c r="A5" s="2312"/>
      <c r="B5" s="2346"/>
      <c r="C5" s="2339" t="s">
        <v>200</v>
      </c>
      <c r="D5" s="2339" t="s">
        <v>201</v>
      </c>
      <c r="E5" s="2347" t="s">
        <v>199</v>
      </c>
      <c r="F5" s="2347"/>
      <c r="G5" s="2347"/>
      <c r="H5" s="2347"/>
      <c r="J5" s="2339" t="s">
        <v>203</v>
      </c>
      <c r="K5" s="2339" t="s">
        <v>385</v>
      </c>
      <c r="L5" s="2339" t="s">
        <v>202</v>
      </c>
      <c r="M5" s="2339" t="s">
        <v>204</v>
      </c>
      <c r="N5" s="2365"/>
      <c r="O5" s="829"/>
      <c r="P5" s="2365"/>
      <c r="Q5" s="829"/>
      <c r="R5" s="2365"/>
    </row>
    <row r="6" spans="1:18" ht="15.75" thickBot="1">
      <c r="A6" s="2312"/>
      <c r="B6" s="2346"/>
      <c r="C6" s="2339"/>
      <c r="D6" s="2339"/>
      <c r="E6" s="1162" t="s">
        <v>202</v>
      </c>
      <c r="F6" s="1162" t="s">
        <v>203</v>
      </c>
      <c r="G6" s="1162" t="s">
        <v>204</v>
      </c>
      <c r="H6" s="2347"/>
      <c r="J6" s="2339"/>
      <c r="K6" s="2339"/>
      <c r="L6" s="2339"/>
      <c r="M6" s="2339"/>
      <c r="N6" s="2365"/>
      <c r="O6" s="829"/>
      <c r="P6" s="2391"/>
      <c r="Q6" s="829"/>
      <c r="R6" s="2365"/>
    </row>
    <row r="7" spans="1:18" s="33" customFormat="1" ht="52.5" customHeight="1" thickBot="1">
      <c r="A7" s="215">
        <v>3202018</v>
      </c>
      <c r="B7" s="548" t="s">
        <v>206</v>
      </c>
      <c r="C7" s="549" t="s">
        <v>211</v>
      </c>
      <c r="D7" s="549">
        <v>30</v>
      </c>
      <c r="E7" s="550">
        <f>SUM(E8:E9)</f>
        <v>94334556</v>
      </c>
      <c r="F7" s="550">
        <f t="shared" ref="F7:G7" si="0">SUM(F8:F9)</f>
        <v>24353752</v>
      </c>
      <c r="G7" s="550">
        <f t="shared" si="0"/>
        <v>93891647.741600007</v>
      </c>
      <c r="H7" s="551">
        <f>+'ACCIONES 320201'!I7</f>
        <v>212579955.74160001</v>
      </c>
      <c r="I7" s="664">
        <f>+(E7+F7+G7)-H7</f>
        <v>0</v>
      </c>
      <c r="J7" s="849">
        <f>+'ACCIONES 320201'!K7</f>
        <v>0</v>
      </c>
      <c r="K7" s="550">
        <f>+'ACCIONES 320201'!L7</f>
        <v>0</v>
      </c>
      <c r="L7" s="550">
        <f>+'ACCIONES 320201'!M7</f>
        <v>0</v>
      </c>
      <c r="M7" s="550">
        <f>+'ACCIONES 320201'!N7</f>
        <v>0</v>
      </c>
      <c r="N7" s="551">
        <f>+'ACCIONES 320201'!O7</f>
        <v>0</v>
      </c>
      <c r="O7" s="830"/>
      <c r="P7" s="837">
        <f>+'ACCIONES 320201'!Q7</f>
        <v>0</v>
      </c>
      <c r="Q7" s="830"/>
      <c r="R7" s="837">
        <f>+'ACCIONES 320201'!S7</f>
        <v>212579955.74160001</v>
      </c>
    </row>
    <row r="8" spans="1:18" s="33" customFormat="1" ht="30" customHeight="1">
      <c r="B8" s="544" t="s">
        <v>207</v>
      </c>
      <c r="C8" s="545" t="s">
        <v>208</v>
      </c>
      <c r="D8" s="545">
        <v>10</v>
      </c>
      <c r="E8" s="546">
        <f>+'ACCIONES 320201'!F8</f>
        <v>84063636</v>
      </c>
      <c r="F8" s="546">
        <f>+'ACCIONES 320201'!G8</f>
        <v>0</v>
      </c>
      <c r="G8" s="546">
        <f>+'ACCIONES 320201'!H8</f>
        <v>0</v>
      </c>
      <c r="H8" s="547">
        <f>+'ACCIONES 320201'!I8</f>
        <v>84063636</v>
      </c>
      <c r="I8" s="664">
        <f t="shared" ref="I8:I34" si="1">+(E8+F8+G8)-H8</f>
        <v>0</v>
      </c>
      <c r="J8" s="850">
        <f>+'ACCIONES 320201'!K8</f>
        <v>0</v>
      </c>
      <c r="K8" s="546">
        <f>+'ACCIONES 320201'!L8</f>
        <v>0</v>
      </c>
      <c r="L8" s="546">
        <f>+'ACCIONES 320201'!M8</f>
        <v>0</v>
      </c>
      <c r="M8" s="546">
        <f>+'ACCIONES 320201'!N8</f>
        <v>0</v>
      </c>
      <c r="N8" s="547">
        <f>+'ACCIONES 320201'!O8</f>
        <v>0</v>
      </c>
      <c r="O8" s="830"/>
      <c r="P8" s="838">
        <f>+'ACCIONES 320201'!Q8</f>
        <v>0</v>
      </c>
      <c r="Q8" s="830"/>
      <c r="R8" s="838">
        <f>+'ACCIONES 320201'!S8</f>
        <v>84063636</v>
      </c>
    </row>
    <row r="9" spans="1:18" s="33" customFormat="1" ht="21" customHeight="1" thickBot="1">
      <c r="B9" s="528" t="s">
        <v>209</v>
      </c>
      <c r="C9" s="552" t="s">
        <v>210</v>
      </c>
      <c r="D9" s="552">
        <v>1</v>
      </c>
      <c r="E9" s="553">
        <f>+'ACCIONES 320201'!F11</f>
        <v>10270920</v>
      </c>
      <c r="F9" s="553">
        <f>+'ACCIONES 320201'!G11</f>
        <v>24353752</v>
      </c>
      <c r="G9" s="553">
        <f>+'ACCIONES 320201'!H11</f>
        <v>93891647.741600007</v>
      </c>
      <c r="H9" s="554">
        <f>+'ACCIONES 320201'!I11</f>
        <v>128516319.74160001</v>
      </c>
      <c r="I9" s="664">
        <f t="shared" si="1"/>
        <v>0</v>
      </c>
      <c r="J9" s="851">
        <f>+'ACCIONES 320201'!K11</f>
        <v>0</v>
      </c>
      <c r="K9" s="553">
        <f>+'ACCIONES 320201'!L11</f>
        <v>0</v>
      </c>
      <c r="L9" s="553">
        <f>+'ACCIONES 320201'!M11</f>
        <v>0</v>
      </c>
      <c r="M9" s="553">
        <f>+'ACCIONES 320201'!N11</f>
        <v>0</v>
      </c>
      <c r="N9" s="554">
        <f>+'ACCIONES 320201'!O11</f>
        <v>0</v>
      </c>
      <c r="O9" s="830"/>
      <c r="P9" s="839">
        <f>+'ACCIONES 320201'!Q11</f>
        <v>0</v>
      </c>
      <c r="Q9" s="830"/>
      <c r="R9" s="839">
        <f>+'ACCIONES 320201'!S11</f>
        <v>128516319.74160001</v>
      </c>
    </row>
    <row r="10" spans="1:18" ht="39" thickBot="1">
      <c r="A10" s="215">
        <v>3202008</v>
      </c>
      <c r="B10" s="548" t="s">
        <v>33</v>
      </c>
      <c r="C10" s="549" t="s">
        <v>211</v>
      </c>
      <c r="D10" s="549">
        <v>3</v>
      </c>
      <c r="E10" s="550">
        <f>SUM(E11:E11)</f>
        <v>886452505</v>
      </c>
      <c r="F10" s="550">
        <f>SUM(F11:F11)</f>
        <v>0</v>
      </c>
      <c r="G10" s="550">
        <f>SUM(G11:G11)</f>
        <v>7857678</v>
      </c>
      <c r="H10" s="551">
        <f>+'ACCIONES 320201'!I24</f>
        <v>894310183</v>
      </c>
      <c r="I10" s="664">
        <f t="shared" si="1"/>
        <v>0</v>
      </c>
      <c r="J10" s="849">
        <f>+'ACCIONES 320201'!K24</f>
        <v>0</v>
      </c>
      <c r="K10" s="550">
        <f>+'ACCIONES 320201'!L24</f>
        <v>0</v>
      </c>
      <c r="L10" s="550">
        <f>+'ACCIONES 320201'!M24</f>
        <v>38574021</v>
      </c>
      <c r="M10" s="550">
        <f>+'ACCIONES 320201'!N24</f>
        <v>51480752</v>
      </c>
      <c r="N10" s="551">
        <f>+'ACCIONES 320201'!O24</f>
        <v>90054773</v>
      </c>
      <c r="O10" s="830"/>
      <c r="P10" s="837">
        <f>+'ACCIONES 320201'!Q24</f>
        <v>0</v>
      </c>
      <c r="Q10" s="830"/>
      <c r="R10" s="837">
        <f>+'ACCIONES 320201'!S24</f>
        <v>984364956</v>
      </c>
    </row>
    <row r="11" spans="1:18" ht="43.5" customHeight="1" thickBot="1">
      <c r="A11" s="33"/>
      <c r="B11" s="513" t="s">
        <v>470</v>
      </c>
      <c r="C11" s="545" t="s">
        <v>210</v>
      </c>
      <c r="D11" s="545">
        <v>1</v>
      </c>
      <c r="E11" s="555">
        <f>+'ACCIONES 320201'!F25</f>
        <v>886452505</v>
      </c>
      <c r="F11" s="555">
        <f>+'ACCIONES 320201'!G25</f>
        <v>0</v>
      </c>
      <c r="G11" s="555">
        <f>+'ACCIONES 320201'!H25</f>
        <v>7857678</v>
      </c>
      <c r="H11" s="547">
        <f>+'ACCIONES 320201'!I25</f>
        <v>894310183</v>
      </c>
      <c r="I11" s="664">
        <f t="shared" si="1"/>
        <v>0</v>
      </c>
      <c r="J11" s="852">
        <f>+'ACCIONES 320201'!K25</f>
        <v>0</v>
      </c>
      <c r="K11" s="555">
        <f>+'ACCIONES 320201'!L25</f>
        <v>0</v>
      </c>
      <c r="L11" s="555">
        <f>+'ACCIONES 320201'!M25</f>
        <v>38574021</v>
      </c>
      <c r="M11" s="555">
        <f>+'ACCIONES 320201'!N25</f>
        <v>51480752</v>
      </c>
      <c r="N11" s="853">
        <f>+'ACCIONES 320201'!O25</f>
        <v>90054773</v>
      </c>
      <c r="O11" s="831"/>
      <c r="P11" s="840">
        <f>+'ACCIONES 320201'!Q25</f>
        <v>0</v>
      </c>
      <c r="Q11" s="831"/>
      <c r="R11" s="840">
        <f>+'ACCIONES 320201'!S25</f>
        <v>984364956</v>
      </c>
    </row>
    <row r="12" spans="1:18" ht="82.5" customHeight="1" thickBot="1">
      <c r="A12" s="215">
        <v>3202004</v>
      </c>
      <c r="B12" s="548" t="s">
        <v>212</v>
      </c>
      <c r="C12" s="549" t="s">
        <v>211</v>
      </c>
      <c r="D12" s="549">
        <v>2</v>
      </c>
      <c r="E12" s="550">
        <f>+E13</f>
        <v>95000000</v>
      </c>
      <c r="F12" s="550">
        <f t="shared" ref="F12:G12" si="2">+F13</f>
        <v>0</v>
      </c>
      <c r="G12" s="550">
        <f t="shared" si="2"/>
        <v>0</v>
      </c>
      <c r="H12" s="551">
        <f>+'ACCIONES 320201'!I43</f>
        <v>95000000</v>
      </c>
      <c r="I12" s="664">
        <f t="shared" si="1"/>
        <v>0</v>
      </c>
      <c r="J12" s="849">
        <f>+'ACCIONES 320201'!K43</f>
        <v>0</v>
      </c>
      <c r="K12" s="550">
        <f>+'ACCIONES 320201'!L43</f>
        <v>0</v>
      </c>
      <c r="L12" s="550">
        <f>+'ACCIONES 320201'!M43</f>
        <v>0</v>
      </c>
      <c r="M12" s="550">
        <f>+'ACCIONES 320201'!N43</f>
        <v>0</v>
      </c>
      <c r="N12" s="551">
        <f>+'ACCIONES 320201'!O43</f>
        <v>0</v>
      </c>
      <c r="O12" s="830"/>
      <c r="P12" s="837">
        <f>+'ACCIONES 320201'!Q43</f>
        <v>0</v>
      </c>
      <c r="Q12" s="830"/>
      <c r="R12" s="837">
        <f>+'ACCIONES 320201'!S43</f>
        <v>95000000</v>
      </c>
    </row>
    <row r="13" spans="1:18" ht="43.5" customHeight="1" thickBot="1">
      <c r="A13" s="33"/>
      <c r="B13" s="469" t="s">
        <v>213</v>
      </c>
      <c r="C13" s="556" t="s">
        <v>210</v>
      </c>
      <c r="D13" s="556">
        <v>2</v>
      </c>
      <c r="E13" s="557">
        <f>+'ACCIONES 320201'!F44</f>
        <v>95000000</v>
      </c>
      <c r="F13" s="557">
        <f>+'ACCIONES 320201'!G44</f>
        <v>0</v>
      </c>
      <c r="G13" s="557">
        <f>+'ACCIONES 320201'!H44</f>
        <v>0</v>
      </c>
      <c r="H13" s="558">
        <f>+'ACCIONES 320201'!I44</f>
        <v>95000000</v>
      </c>
      <c r="I13" s="664">
        <f t="shared" si="1"/>
        <v>0</v>
      </c>
      <c r="J13" s="854">
        <f>+'ACCIONES 320201'!K44</f>
        <v>0</v>
      </c>
      <c r="K13" s="557">
        <f>+'ACCIONES 320201'!L44</f>
        <v>0</v>
      </c>
      <c r="L13" s="557">
        <f>+'ACCIONES 320201'!M44</f>
        <v>0</v>
      </c>
      <c r="M13" s="557">
        <f>+'ACCIONES 320201'!N44</f>
        <v>0</v>
      </c>
      <c r="N13" s="558">
        <f>+'ACCIONES 320201'!O44</f>
        <v>0</v>
      </c>
      <c r="O13" s="830"/>
      <c r="P13" s="841">
        <f>+'ACCIONES 320201'!Q44</f>
        <v>0</v>
      </c>
      <c r="Q13" s="830"/>
      <c r="R13" s="841">
        <f>+'ACCIONES 320201'!S44</f>
        <v>95000000</v>
      </c>
    </row>
    <row r="14" spans="1:18" ht="65.25" customHeight="1" thickBot="1">
      <c r="A14" s="215">
        <v>3202002</v>
      </c>
      <c r="B14" s="548" t="s">
        <v>214</v>
      </c>
      <c r="C14" s="549" t="s">
        <v>211</v>
      </c>
      <c r="D14" s="549">
        <v>1</v>
      </c>
      <c r="E14" s="550">
        <f>+E15</f>
        <v>520855538.72399998</v>
      </c>
      <c r="F14" s="550">
        <f t="shared" ref="F14:G14" si="3">+F15</f>
        <v>0</v>
      </c>
      <c r="G14" s="550">
        <f t="shared" si="3"/>
        <v>28930431</v>
      </c>
      <c r="H14" s="551">
        <f>+'ACCIONES 320201'!I46</f>
        <v>549785969.72399998</v>
      </c>
      <c r="I14" s="664">
        <f t="shared" si="1"/>
        <v>0</v>
      </c>
      <c r="J14" s="849">
        <f>+'ACCIONES 320201'!K46</f>
        <v>0</v>
      </c>
      <c r="K14" s="550">
        <f>+'ACCIONES 320201'!L46</f>
        <v>0</v>
      </c>
      <c r="L14" s="550">
        <f>+'ACCIONES 320201'!M46</f>
        <v>0</v>
      </c>
      <c r="M14" s="550">
        <f>+'ACCIONES 320201'!N46</f>
        <v>0</v>
      </c>
      <c r="N14" s="551">
        <f>+'ACCIONES 320201'!O46</f>
        <v>0</v>
      </c>
      <c r="O14" s="830"/>
      <c r="P14" s="837">
        <f>+'ACCIONES 320201'!Q46</f>
        <v>600000000</v>
      </c>
      <c r="Q14" s="830"/>
      <c r="R14" s="837">
        <f>+'ACCIONES 320201'!S46</f>
        <v>1149785969.724</v>
      </c>
    </row>
    <row r="15" spans="1:18" ht="39" thickBot="1">
      <c r="A15" s="33"/>
      <c r="B15" s="827" t="s">
        <v>454</v>
      </c>
      <c r="C15" s="556" t="s">
        <v>211</v>
      </c>
      <c r="D15" s="556">
        <v>1</v>
      </c>
      <c r="E15" s="559">
        <f>+'ACCIONES 320201'!F47</f>
        <v>520855538.72399998</v>
      </c>
      <c r="F15" s="559">
        <f>+'ACCIONES 320201'!G47</f>
        <v>0</v>
      </c>
      <c r="G15" s="559">
        <f>+'ACCIONES 320201'!H47</f>
        <v>28930431</v>
      </c>
      <c r="H15" s="558">
        <f>+'ACCIONES 320201'!I47</f>
        <v>549785969.72399998</v>
      </c>
      <c r="I15" s="664">
        <f t="shared" si="1"/>
        <v>0</v>
      </c>
      <c r="J15" s="855">
        <f>+'ACCIONES 320201'!K47</f>
        <v>0</v>
      </c>
      <c r="K15" s="559">
        <f>+'ACCIONES 320201'!L47</f>
        <v>0</v>
      </c>
      <c r="L15" s="559">
        <f>+'ACCIONES 320201'!M47</f>
        <v>0</v>
      </c>
      <c r="M15" s="559">
        <f>+'ACCIONES 320201'!N47</f>
        <v>0</v>
      </c>
      <c r="N15" s="856">
        <f>+'ACCIONES 320201'!O47</f>
        <v>0</v>
      </c>
      <c r="O15" s="832"/>
      <c r="P15" s="842">
        <f>+'ACCIONES 320201'!Q47</f>
        <v>600000000</v>
      </c>
      <c r="Q15" s="832"/>
      <c r="R15" s="842">
        <f>+'ACCIONES 320201'!S47</f>
        <v>1149785969.724</v>
      </c>
    </row>
    <row r="16" spans="1:18" ht="39.75" customHeight="1" thickBot="1">
      <c r="A16" s="215">
        <v>3202004</v>
      </c>
      <c r="B16" s="548" t="s">
        <v>34</v>
      </c>
      <c r="C16" s="549" t="s">
        <v>215</v>
      </c>
      <c r="D16" s="549">
        <v>83</v>
      </c>
      <c r="E16" s="560">
        <f>+E17</f>
        <v>15293340</v>
      </c>
      <c r="F16" s="560">
        <f t="shared" ref="F16" si="4">+F17</f>
        <v>0</v>
      </c>
      <c r="G16" s="560">
        <f>+G17</f>
        <v>0</v>
      </c>
      <c r="H16" s="551">
        <f>+'ACCIONES 320201'!I56</f>
        <v>15293340</v>
      </c>
      <c r="I16" s="664">
        <f t="shared" si="1"/>
        <v>0</v>
      </c>
      <c r="J16" s="857">
        <f>+'ACCIONES 320201'!K56</f>
        <v>0</v>
      </c>
      <c r="K16" s="560">
        <f>+'ACCIONES 320201'!L56</f>
        <v>0</v>
      </c>
      <c r="L16" s="560">
        <f>+'ACCIONES 320201'!M56</f>
        <v>0</v>
      </c>
      <c r="M16" s="560">
        <f>+'ACCIONES 320201'!N56</f>
        <v>0</v>
      </c>
      <c r="N16" s="858">
        <f>+'ACCIONES 320201'!O56</f>
        <v>0</v>
      </c>
      <c r="O16" s="833"/>
      <c r="P16" s="843">
        <f>+'ACCIONES 320201'!Q56</f>
        <v>0</v>
      </c>
      <c r="Q16" s="833"/>
      <c r="R16" s="843">
        <f>+'ACCIONES 320201'!S56</f>
        <v>15293340</v>
      </c>
    </row>
    <row r="17" spans="1:18" ht="39.75" customHeight="1" thickBot="1">
      <c r="A17" s="33"/>
      <c r="B17" s="538" t="s">
        <v>216</v>
      </c>
      <c r="C17" s="556" t="s">
        <v>210</v>
      </c>
      <c r="D17" s="556">
        <v>1</v>
      </c>
      <c r="E17" s="561">
        <f>+'ACCIONES 320201'!F57</f>
        <v>15293340</v>
      </c>
      <c r="F17" s="561">
        <f>+'ACCIONES 320201'!G57</f>
        <v>0</v>
      </c>
      <c r="G17" s="561">
        <f>+'ACCIONES 320201'!H57</f>
        <v>0</v>
      </c>
      <c r="H17" s="558">
        <f>+'ACCIONES 320201'!I57</f>
        <v>15293340</v>
      </c>
      <c r="I17" s="664">
        <f t="shared" si="1"/>
        <v>0</v>
      </c>
      <c r="J17" s="859">
        <f>+'ACCIONES 320201'!K57</f>
        <v>0</v>
      </c>
      <c r="K17" s="561">
        <f>+'ACCIONES 320201'!L57</f>
        <v>0</v>
      </c>
      <c r="L17" s="561">
        <f>+'ACCIONES 320201'!M57</f>
        <v>0</v>
      </c>
      <c r="M17" s="561">
        <f>+'ACCIONES 320201'!N57</f>
        <v>0</v>
      </c>
      <c r="N17" s="860">
        <f>+'ACCIONES 320201'!O57</f>
        <v>0</v>
      </c>
      <c r="O17" s="830"/>
      <c r="P17" s="844">
        <f>+'ACCIONES 320201'!Q57</f>
        <v>0</v>
      </c>
      <c r="Q17" s="830"/>
      <c r="R17" s="844">
        <f>+'ACCIONES 320201'!S57</f>
        <v>15293340</v>
      </c>
    </row>
    <row r="18" spans="1:18" ht="60" customHeight="1" thickBot="1">
      <c r="A18" s="199">
        <v>3202040</v>
      </c>
      <c r="B18" s="468" t="s">
        <v>35</v>
      </c>
      <c r="C18" s="562" t="s">
        <v>215</v>
      </c>
      <c r="D18" s="562">
        <v>100</v>
      </c>
      <c r="E18" s="563">
        <f>+E19</f>
        <v>0</v>
      </c>
      <c r="F18" s="563">
        <f t="shared" ref="F18:G18" si="5">+F19</f>
        <v>0</v>
      </c>
      <c r="G18" s="563">
        <f t="shared" si="5"/>
        <v>13280342</v>
      </c>
      <c r="H18" s="564">
        <f>+'ACCIONES 320201'!I62</f>
        <v>13280342</v>
      </c>
      <c r="I18" s="664">
        <f t="shared" si="1"/>
        <v>0</v>
      </c>
      <c r="J18" s="861">
        <f>+'ACCIONES 320201'!K62</f>
        <v>0</v>
      </c>
      <c r="K18" s="563">
        <f>+'ACCIONES 320201'!L62</f>
        <v>0</v>
      </c>
      <c r="L18" s="563">
        <f>+'ACCIONES 320201'!M62</f>
        <v>0</v>
      </c>
      <c r="M18" s="563">
        <f>+'ACCIONES 320201'!N62</f>
        <v>0</v>
      </c>
      <c r="N18" s="564">
        <f>+'ACCIONES 320201'!O62</f>
        <v>0</v>
      </c>
      <c r="O18" s="830"/>
      <c r="P18" s="845">
        <f>+'ACCIONES 320201'!Q62</f>
        <v>0</v>
      </c>
      <c r="Q18" s="830"/>
      <c r="R18" s="845">
        <f>+'ACCIONES 320201'!S62</f>
        <v>13280342</v>
      </c>
    </row>
    <row r="19" spans="1:18" ht="39" thickBot="1">
      <c r="A19" s="33"/>
      <c r="B19" s="469" t="s">
        <v>217</v>
      </c>
      <c r="C19" s="556" t="s">
        <v>210</v>
      </c>
      <c r="D19" s="556">
        <v>1</v>
      </c>
      <c r="E19" s="557">
        <f>+'ACCIONES 320201'!F63</f>
        <v>0</v>
      </c>
      <c r="F19" s="557">
        <f>+'ACCIONES 320201'!G63</f>
        <v>0</v>
      </c>
      <c r="G19" s="557">
        <f>+'ACCIONES 320201'!H63</f>
        <v>13280342</v>
      </c>
      <c r="H19" s="558">
        <f>+'ACCIONES 320201'!I63</f>
        <v>13280342</v>
      </c>
      <c r="I19" s="664">
        <f t="shared" si="1"/>
        <v>0</v>
      </c>
      <c r="J19" s="854">
        <f>+'ACCIONES 320201'!K63</f>
        <v>0</v>
      </c>
      <c r="K19" s="557">
        <f>+'ACCIONES 320201'!L63</f>
        <v>0</v>
      </c>
      <c r="L19" s="557">
        <f>+'ACCIONES 320201'!M63</f>
        <v>0</v>
      </c>
      <c r="M19" s="557">
        <f>+'ACCIONES 320201'!N63</f>
        <v>0</v>
      </c>
      <c r="N19" s="558">
        <f>+'ACCIONES 320201'!O63</f>
        <v>0</v>
      </c>
      <c r="O19" s="830"/>
      <c r="P19" s="841">
        <f>+'ACCIONES 320201'!Q63</f>
        <v>0</v>
      </c>
      <c r="Q19" s="830"/>
      <c r="R19" s="841">
        <f>+'ACCIONES 320201'!S63</f>
        <v>13280342</v>
      </c>
    </row>
    <row r="20" spans="1:18" ht="44.25" customHeight="1" thickBot="1">
      <c r="A20" s="199">
        <v>3202008</v>
      </c>
      <c r="B20" s="468" t="s">
        <v>218</v>
      </c>
      <c r="C20" s="562" t="s">
        <v>215</v>
      </c>
      <c r="D20" s="566">
        <v>100</v>
      </c>
      <c r="E20" s="563">
        <f>SUM(E21:E23)</f>
        <v>868023018</v>
      </c>
      <c r="F20" s="563">
        <f t="shared" ref="F20:G20" si="6">SUM(F21:F23)</f>
        <v>70646248</v>
      </c>
      <c r="G20" s="563">
        <f t="shared" si="6"/>
        <v>122799703</v>
      </c>
      <c r="H20" s="564">
        <f>+'ACCIONES 320201'!I65</f>
        <v>1061468969</v>
      </c>
      <c r="I20" s="664">
        <f t="shared" si="1"/>
        <v>0</v>
      </c>
      <c r="J20" s="861">
        <f>+'ACCIONES 320201'!K65</f>
        <v>9480578</v>
      </c>
      <c r="K20" s="563">
        <f>+'ACCIONES 320201'!L65</f>
        <v>0</v>
      </c>
      <c r="L20" s="563">
        <f>+'ACCIONES 320201'!M65</f>
        <v>639718672</v>
      </c>
      <c r="M20" s="563">
        <f>+'ACCIONES 320201'!N65</f>
        <v>4519248</v>
      </c>
      <c r="N20" s="564">
        <f>+'ACCIONES 320201'!O65</f>
        <v>653718498</v>
      </c>
      <c r="O20" s="830"/>
      <c r="P20" s="845">
        <f>+'ACCIONES 320201'!Q65</f>
        <v>0</v>
      </c>
      <c r="Q20" s="830"/>
      <c r="R20" s="845">
        <f>+'ACCIONES 320201'!S65</f>
        <v>1715187467</v>
      </c>
    </row>
    <row r="21" spans="1:18" ht="75.75" customHeight="1">
      <c r="A21" s="33"/>
      <c r="B21" s="513" t="s">
        <v>219</v>
      </c>
      <c r="C21" s="545" t="s">
        <v>210</v>
      </c>
      <c r="D21" s="565">
        <v>1</v>
      </c>
      <c r="E21" s="546">
        <f>+'ACCIONES 320201'!F66</f>
        <v>96963095</v>
      </c>
      <c r="F21" s="546">
        <f>+'ACCIONES 320201'!G66</f>
        <v>0</v>
      </c>
      <c r="G21" s="546">
        <f>+'ACCIONES 320201'!H66</f>
        <v>0</v>
      </c>
      <c r="H21" s="547">
        <f>+'ACCIONES 320201'!I66</f>
        <v>96963095</v>
      </c>
      <c r="I21" s="664">
        <f t="shared" si="1"/>
        <v>0</v>
      </c>
      <c r="J21" s="850">
        <f>+'ACCIONES 320201'!K66</f>
        <v>0</v>
      </c>
      <c r="K21" s="546">
        <f>+'ACCIONES 320201'!L66</f>
        <v>0</v>
      </c>
      <c r="L21" s="546">
        <f>+'ACCIONES 320201'!M66</f>
        <v>0</v>
      </c>
      <c r="M21" s="546">
        <f>+'ACCIONES 320201'!N66</f>
        <v>0</v>
      </c>
      <c r="N21" s="547">
        <f>+'ACCIONES 320201'!O66</f>
        <v>0</v>
      </c>
      <c r="O21" s="830"/>
      <c r="P21" s="838">
        <f>+'ACCIONES 320201'!Q66</f>
        <v>0</v>
      </c>
      <c r="Q21" s="830"/>
      <c r="R21" s="838">
        <f>+'ACCIONES 320201'!S66</f>
        <v>96963095</v>
      </c>
    </row>
    <row r="22" spans="1:18" ht="74.25" customHeight="1">
      <c r="A22" s="33"/>
      <c r="B22" s="24" t="s">
        <v>220</v>
      </c>
      <c r="C22" s="34" t="s">
        <v>210</v>
      </c>
      <c r="D22" s="42">
        <v>1</v>
      </c>
      <c r="E22" s="282">
        <f>+'ACCIONES 320201'!F70</f>
        <v>480083728</v>
      </c>
      <c r="F22" s="282">
        <f>+'ACCIONES 320201'!G70</f>
        <v>0</v>
      </c>
      <c r="G22" s="282">
        <f>+'ACCIONES 320201'!H70</f>
        <v>0</v>
      </c>
      <c r="H22" s="283">
        <f>+'ACCIONES 320201'!I70</f>
        <v>480083728</v>
      </c>
      <c r="I22" s="664">
        <f t="shared" si="1"/>
        <v>0</v>
      </c>
      <c r="J22" s="862">
        <f>+'ACCIONES 320201'!K70</f>
        <v>0</v>
      </c>
      <c r="K22" s="282">
        <f>+'ACCIONES 320201'!L70</f>
        <v>0</v>
      </c>
      <c r="L22" s="282">
        <f>+'ACCIONES 320201'!M70</f>
        <v>578522892</v>
      </c>
      <c r="M22" s="282">
        <f>+'ACCIONES 320201'!N70</f>
        <v>0</v>
      </c>
      <c r="N22" s="283">
        <f>+'ACCIONES 320201'!O70</f>
        <v>578522892</v>
      </c>
      <c r="O22" s="830"/>
      <c r="P22" s="846">
        <f>+'ACCIONES 320201'!Q70</f>
        <v>0</v>
      </c>
      <c r="Q22" s="830"/>
      <c r="R22" s="846">
        <f>+'ACCIONES 320201'!S70</f>
        <v>1058606620</v>
      </c>
    </row>
    <row r="23" spans="1:18" s="71" customFormat="1" ht="39" thickBot="1">
      <c r="A23" s="698"/>
      <c r="B23" s="24" t="s">
        <v>221</v>
      </c>
      <c r="C23" s="34" t="s">
        <v>210</v>
      </c>
      <c r="D23" s="42">
        <v>1</v>
      </c>
      <c r="E23" s="282">
        <f>+'ACCIONES 320201'!F85</f>
        <v>290976195</v>
      </c>
      <c r="F23" s="282">
        <f>+'ACCIONES 320201'!G85</f>
        <v>70646248</v>
      </c>
      <c r="G23" s="282">
        <f>+'ACCIONES 320201'!H85</f>
        <v>122799703</v>
      </c>
      <c r="H23" s="283">
        <f>+'ACCIONES 320201'!I85</f>
        <v>484422146</v>
      </c>
      <c r="I23" s="699">
        <f t="shared" si="1"/>
        <v>0</v>
      </c>
      <c r="J23" s="862">
        <f>+'ACCIONES 320201'!K85</f>
        <v>9480578</v>
      </c>
      <c r="K23" s="282">
        <f>+'ACCIONES 320201'!L85</f>
        <v>0</v>
      </c>
      <c r="L23" s="282">
        <f>+'ACCIONES 320201'!M85</f>
        <v>61195780</v>
      </c>
      <c r="M23" s="282">
        <f>+'ACCIONES 320201'!N85</f>
        <v>4519248</v>
      </c>
      <c r="N23" s="283">
        <f>+'ACCIONES 320201'!O85</f>
        <v>75195606</v>
      </c>
      <c r="O23" s="830"/>
      <c r="P23" s="846">
        <f>+'ACCIONES 320201'!Q85</f>
        <v>0</v>
      </c>
      <c r="Q23" s="830"/>
      <c r="R23" s="846">
        <f>+'ACCIONES 320201'!S85</f>
        <v>559617752</v>
      </c>
    </row>
    <row r="24" spans="1:18" ht="69" customHeight="1" thickBot="1">
      <c r="A24" s="199">
        <v>3202005</v>
      </c>
      <c r="B24" s="187" t="s">
        <v>36</v>
      </c>
      <c r="C24" s="40" t="s">
        <v>215</v>
      </c>
      <c r="D24" s="41">
        <v>25</v>
      </c>
      <c r="E24" s="284">
        <f>SUM(E25:E26)</f>
        <v>244429240</v>
      </c>
      <c r="F24" s="284">
        <f t="shared" ref="F24:G24" si="7">SUM(F25:F26)</f>
        <v>0</v>
      </c>
      <c r="G24" s="284">
        <f t="shared" si="7"/>
        <v>25088299</v>
      </c>
      <c r="H24" s="285">
        <f>+'ACCIONES 320201'!I113</f>
        <v>269517539</v>
      </c>
      <c r="I24" s="664">
        <f t="shared" si="1"/>
        <v>0</v>
      </c>
      <c r="J24" s="863">
        <f>+'ACCIONES 320201'!K113</f>
        <v>0</v>
      </c>
      <c r="K24" s="284">
        <f>+'ACCIONES 320201'!L113</f>
        <v>27449962</v>
      </c>
      <c r="L24" s="284">
        <f>+'ACCIONES 320201'!M113</f>
        <v>0</v>
      </c>
      <c r="M24" s="284">
        <f>+'ACCIONES 320201'!N113</f>
        <v>0</v>
      </c>
      <c r="N24" s="285">
        <f>+'ACCIONES 320201'!O113</f>
        <v>27449962</v>
      </c>
      <c r="O24" s="830"/>
      <c r="P24" s="847">
        <f>+'ACCIONES 320201'!Q113</f>
        <v>0</v>
      </c>
      <c r="Q24" s="830"/>
      <c r="R24" s="847">
        <f>+'ACCIONES 320201'!S113</f>
        <v>296967501</v>
      </c>
    </row>
    <row r="25" spans="1:18" ht="63.75">
      <c r="A25" s="33"/>
      <c r="B25" s="24" t="s">
        <v>222</v>
      </c>
      <c r="C25" s="34" t="s">
        <v>210</v>
      </c>
      <c r="D25" s="42">
        <v>1</v>
      </c>
      <c r="E25" s="282">
        <f>+'ACCIONES 320201'!F114</f>
        <v>172397547</v>
      </c>
      <c r="F25" s="282">
        <f>+'ACCIONES 320201'!G114</f>
        <v>0</v>
      </c>
      <c r="G25" s="282">
        <f>+'ACCIONES 320201'!H114</f>
        <v>0</v>
      </c>
      <c r="H25" s="282">
        <f>+'ACCIONES 320201'!I114</f>
        <v>172397547</v>
      </c>
      <c r="I25" s="664">
        <f t="shared" si="1"/>
        <v>0</v>
      </c>
      <c r="J25" s="862">
        <f>+'ACCIONES 320201'!K114</f>
        <v>0</v>
      </c>
      <c r="K25" s="282">
        <f>+'ACCIONES 320201'!L114</f>
        <v>0</v>
      </c>
      <c r="L25" s="282">
        <f>+'ACCIONES 320201'!M114</f>
        <v>0</v>
      </c>
      <c r="M25" s="282">
        <f>+'ACCIONES 320201'!N114</f>
        <v>0</v>
      </c>
      <c r="N25" s="283">
        <f>+'ACCIONES 320201'!O114</f>
        <v>0</v>
      </c>
      <c r="O25" s="830"/>
      <c r="P25" s="846">
        <f>+'ACCIONES 320201'!Q114</f>
        <v>0</v>
      </c>
      <c r="Q25" s="830"/>
      <c r="R25" s="846">
        <f>+'ACCIONES 320201'!S114</f>
        <v>172397547</v>
      </c>
    </row>
    <row r="26" spans="1:18" ht="77.25" thickBot="1">
      <c r="A26" s="33"/>
      <c r="B26" s="528" t="s">
        <v>223</v>
      </c>
      <c r="C26" s="552" t="s">
        <v>210</v>
      </c>
      <c r="D26" s="567">
        <v>1</v>
      </c>
      <c r="E26" s="553">
        <f>+'ACCIONES 320201'!F120</f>
        <v>72031693</v>
      </c>
      <c r="F26" s="553">
        <f>+'ACCIONES 320201'!G120</f>
        <v>0</v>
      </c>
      <c r="G26" s="553">
        <f>+'ACCIONES 320201'!H120</f>
        <v>25088299</v>
      </c>
      <c r="H26" s="553">
        <f>+'ACCIONES 320201'!I120</f>
        <v>97119992</v>
      </c>
      <c r="I26" s="664">
        <f t="shared" si="1"/>
        <v>0</v>
      </c>
      <c r="J26" s="851">
        <f>+'ACCIONES 320201'!K120</f>
        <v>0</v>
      </c>
      <c r="K26" s="553">
        <f>+'ACCIONES 320201'!L120</f>
        <v>27449962</v>
      </c>
      <c r="L26" s="553">
        <f>+'ACCIONES 320201'!M120</f>
        <v>0</v>
      </c>
      <c r="M26" s="553">
        <f>+'ACCIONES 320201'!N120</f>
        <v>0</v>
      </c>
      <c r="N26" s="554">
        <f>+'ACCIONES 320201'!O120</f>
        <v>27449962</v>
      </c>
      <c r="O26" s="830"/>
      <c r="P26" s="839">
        <f>+'ACCIONES 320201'!Q120</f>
        <v>0</v>
      </c>
      <c r="Q26" s="830"/>
      <c r="R26" s="839">
        <f>+'ACCIONES 320201'!S120</f>
        <v>124569954</v>
      </c>
    </row>
    <row r="27" spans="1:18" ht="68.25" customHeight="1" thickBot="1">
      <c r="A27" s="199">
        <v>3202040</v>
      </c>
      <c r="B27" s="468" t="s">
        <v>37</v>
      </c>
      <c r="C27" s="562" t="s">
        <v>215</v>
      </c>
      <c r="D27" s="566">
        <v>100</v>
      </c>
      <c r="E27" s="563">
        <f>SUM(E28:E29)</f>
        <v>168774614</v>
      </c>
      <c r="F27" s="563">
        <f t="shared" ref="F27:G27" si="8">SUM(F28:F29)</f>
        <v>0</v>
      </c>
      <c r="G27" s="563">
        <f t="shared" si="8"/>
        <v>77635419</v>
      </c>
      <c r="H27" s="564">
        <f>+'ACCIONES 320201'!I133</f>
        <v>246410033</v>
      </c>
      <c r="I27" s="664">
        <f t="shared" si="1"/>
        <v>0</v>
      </c>
      <c r="J27" s="861">
        <f>+'ACCIONES 320201'!K133</f>
        <v>0</v>
      </c>
      <c r="K27" s="563">
        <f>+'ACCIONES 320201'!L133</f>
        <v>0</v>
      </c>
      <c r="L27" s="563">
        <f>+'ACCIONES 320201'!M133</f>
        <v>0</v>
      </c>
      <c r="M27" s="563">
        <f>+'ACCIONES 320201'!N133</f>
        <v>0</v>
      </c>
      <c r="N27" s="564">
        <f>+'ACCIONES 320201'!O133</f>
        <v>0</v>
      </c>
      <c r="O27" s="830"/>
      <c r="P27" s="845">
        <f>+'ACCIONES 320201'!Q133</f>
        <v>0</v>
      </c>
      <c r="Q27" s="830"/>
      <c r="R27" s="845">
        <f>+'ACCIONES 320201'!S133</f>
        <v>246410033</v>
      </c>
    </row>
    <row r="28" spans="1:18" ht="54" customHeight="1">
      <c r="A28" s="33"/>
      <c r="B28" s="513" t="s">
        <v>224</v>
      </c>
      <c r="C28" s="545" t="s">
        <v>210</v>
      </c>
      <c r="D28" s="565">
        <v>1</v>
      </c>
      <c r="E28" s="546">
        <f>+'ACCIONES 320201'!F134</f>
        <v>133887422</v>
      </c>
      <c r="F28" s="546">
        <f>+'ACCIONES 320201'!G134</f>
        <v>0</v>
      </c>
      <c r="G28" s="546">
        <f>+'ACCIONES 320201'!H134</f>
        <v>22037067</v>
      </c>
      <c r="H28" s="546">
        <f>+'ACCIONES 320201'!I134</f>
        <v>155924489</v>
      </c>
      <c r="I28" s="664">
        <f t="shared" si="1"/>
        <v>0</v>
      </c>
      <c r="J28" s="850">
        <f>+'ACCIONES 320201'!K134</f>
        <v>0</v>
      </c>
      <c r="K28" s="546">
        <f>+'ACCIONES 320201'!L134</f>
        <v>0</v>
      </c>
      <c r="L28" s="546">
        <f>+'ACCIONES 320201'!M134</f>
        <v>0</v>
      </c>
      <c r="M28" s="546">
        <f>+'ACCIONES 320201'!N134</f>
        <v>0</v>
      </c>
      <c r="N28" s="547">
        <f>+'ACCIONES 320201'!O134</f>
        <v>0</v>
      </c>
      <c r="O28" s="830"/>
      <c r="P28" s="838">
        <f>+'ACCIONES 320201'!Q134</f>
        <v>0</v>
      </c>
      <c r="Q28" s="830"/>
      <c r="R28" s="838">
        <f>+'ACCIONES 320201'!S134</f>
        <v>155924489</v>
      </c>
    </row>
    <row r="29" spans="1:18" ht="56.25" customHeight="1" thickBot="1">
      <c r="A29" s="33"/>
      <c r="B29" s="528" t="s">
        <v>225</v>
      </c>
      <c r="C29" s="552" t="s">
        <v>210</v>
      </c>
      <c r="D29" s="567">
        <v>1</v>
      </c>
      <c r="E29" s="553">
        <f>+'ACCIONES 320201'!F140</f>
        <v>34887192</v>
      </c>
      <c r="F29" s="553">
        <f>+'ACCIONES 320201'!G140</f>
        <v>0</v>
      </c>
      <c r="G29" s="553">
        <f>+'ACCIONES 320201'!H140</f>
        <v>55598352</v>
      </c>
      <c r="H29" s="553">
        <f>+'ACCIONES 320201'!I140</f>
        <v>90485544</v>
      </c>
      <c r="I29" s="664">
        <f t="shared" si="1"/>
        <v>0</v>
      </c>
      <c r="J29" s="851">
        <f>+'ACCIONES 320201'!K140</f>
        <v>0</v>
      </c>
      <c r="K29" s="553">
        <f>+'ACCIONES 320201'!L140</f>
        <v>0</v>
      </c>
      <c r="L29" s="553">
        <f>+'ACCIONES 320201'!M140</f>
        <v>0</v>
      </c>
      <c r="M29" s="553">
        <f>+'ACCIONES 320201'!N140</f>
        <v>0</v>
      </c>
      <c r="N29" s="554">
        <f>+'ACCIONES 320201'!O140</f>
        <v>0</v>
      </c>
      <c r="O29" s="830"/>
      <c r="P29" s="839">
        <f>+'ACCIONES 320201'!Q140</f>
        <v>0</v>
      </c>
      <c r="Q29" s="830"/>
      <c r="R29" s="839">
        <f>+'ACCIONES 320201'!S140</f>
        <v>90485544</v>
      </c>
    </row>
    <row r="30" spans="1:18" ht="43.5" customHeight="1" thickBot="1">
      <c r="A30" s="215">
        <v>3202008</v>
      </c>
      <c r="B30" s="548" t="s">
        <v>38</v>
      </c>
      <c r="C30" s="549" t="s">
        <v>210</v>
      </c>
      <c r="D30" s="568">
        <v>1</v>
      </c>
      <c r="E30" s="550">
        <f>SUM(E31:E33)</f>
        <v>0</v>
      </c>
      <c r="F30" s="550">
        <f>SUM(F31:F33)</f>
        <v>0</v>
      </c>
      <c r="G30" s="550">
        <f>SUM(G31:G33)</f>
        <v>210425038</v>
      </c>
      <c r="H30" s="551">
        <f>+'ACCIONES 320201'!I149</f>
        <v>210425038</v>
      </c>
      <c r="I30" s="664">
        <f t="shared" si="1"/>
        <v>0</v>
      </c>
      <c r="J30" s="849">
        <f>+'ACCIONES 320201'!K149</f>
        <v>0</v>
      </c>
      <c r="K30" s="550">
        <f>+'ACCIONES 320201'!L149</f>
        <v>0</v>
      </c>
      <c r="L30" s="550">
        <f>+'ACCIONES 320201'!M149</f>
        <v>0</v>
      </c>
      <c r="M30" s="550">
        <f>+'ACCIONES 320201'!N149</f>
        <v>0</v>
      </c>
      <c r="N30" s="551">
        <f>+'ACCIONES 320201'!O149</f>
        <v>0</v>
      </c>
      <c r="O30" s="830"/>
      <c r="P30" s="837">
        <f>+'ACCIONES 320201'!Q149</f>
        <v>0</v>
      </c>
      <c r="Q30" s="830"/>
      <c r="R30" s="837">
        <f>+'ACCIONES 320201'!S149</f>
        <v>210425038</v>
      </c>
    </row>
    <row r="31" spans="1:18" ht="63.75">
      <c r="A31" s="33"/>
      <c r="B31" s="24" t="s">
        <v>226</v>
      </c>
      <c r="C31" s="34" t="s">
        <v>210</v>
      </c>
      <c r="D31" s="42">
        <v>1</v>
      </c>
      <c r="E31" s="553">
        <f>+'ACCIONES 320201'!F150</f>
        <v>0</v>
      </c>
      <c r="F31" s="553">
        <f>+'ACCIONES 320201'!G150</f>
        <v>0</v>
      </c>
      <c r="G31" s="282">
        <f>+'ACCIONES 320201'!H150</f>
        <v>34802588</v>
      </c>
      <c r="H31" s="1424">
        <f>+'ACCIONES 320201'!I150</f>
        <v>34802588</v>
      </c>
      <c r="I31" s="664">
        <f t="shared" si="1"/>
        <v>0</v>
      </c>
      <c r="J31" s="851">
        <f>+'ACCIONES 320201'!K150</f>
        <v>0</v>
      </c>
      <c r="K31" s="553">
        <f>+'ACCIONES 320201'!L150</f>
        <v>0</v>
      </c>
      <c r="L31" s="553">
        <f>+'ACCIONES 320201'!M150</f>
        <v>0</v>
      </c>
      <c r="M31" s="553">
        <f>+'ACCIONES 320201'!N150</f>
        <v>0</v>
      </c>
      <c r="N31" s="554">
        <f>+'ACCIONES 320201'!O150</f>
        <v>0</v>
      </c>
      <c r="O31" s="830"/>
      <c r="P31" s="839">
        <f>+'ACCIONES 320201'!Q150</f>
        <v>0</v>
      </c>
      <c r="Q31" s="830"/>
      <c r="R31" s="839">
        <f>+'ACCIONES 320201'!S150</f>
        <v>34802588</v>
      </c>
    </row>
    <row r="32" spans="1:18" ht="63.75">
      <c r="A32" s="33"/>
      <c r="B32" s="24" t="s">
        <v>227</v>
      </c>
      <c r="C32" s="34" t="s">
        <v>210</v>
      </c>
      <c r="D32" s="42">
        <v>1</v>
      </c>
      <c r="E32" s="553">
        <f>+'ACCIONES 320201'!F154</f>
        <v>0</v>
      </c>
      <c r="F32" s="553">
        <f>+'ACCIONES 320201'!G154</f>
        <v>0</v>
      </c>
      <c r="G32" s="282">
        <f>+'ACCIONES 320201'!H154+'ACCIONES 320201'!H155</f>
        <v>33798167</v>
      </c>
      <c r="H32" s="1424">
        <f>+'ACCIONES 320201'!I154+'ACCIONES 320201'!I155</f>
        <v>33798167</v>
      </c>
      <c r="I32" s="664">
        <f t="shared" si="1"/>
        <v>0</v>
      </c>
      <c r="J32" s="851">
        <f>+'ACCIONES 320201'!K153</f>
        <v>0</v>
      </c>
      <c r="K32" s="553">
        <f>+'ACCIONES 320201'!L153</f>
        <v>0</v>
      </c>
      <c r="L32" s="553">
        <f>+'ACCIONES 320201'!M153</f>
        <v>0</v>
      </c>
      <c r="M32" s="553">
        <f>+'ACCIONES 320201'!N153</f>
        <v>0</v>
      </c>
      <c r="N32" s="554">
        <f>+'ACCIONES 320201'!O153</f>
        <v>0</v>
      </c>
      <c r="O32" s="830"/>
      <c r="P32" s="839">
        <f>+'ACCIONES 320201'!Q153</f>
        <v>0</v>
      </c>
      <c r="Q32" s="830"/>
      <c r="R32" s="839">
        <f>+'ACCIONES 320201'!S153</f>
        <v>175622450</v>
      </c>
    </row>
    <row r="33" spans="1:18" ht="24.75" customHeight="1" thickBot="1">
      <c r="A33" s="33"/>
      <c r="B33" s="286" t="s">
        <v>228</v>
      </c>
      <c r="C33" s="287" t="s">
        <v>210</v>
      </c>
      <c r="D33" s="288"/>
      <c r="E33" s="289">
        <v>0</v>
      </c>
      <c r="F33" s="290">
        <v>0</v>
      </c>
      <c r="G33" s="290">
        <v>141824283</v>
      </c>
      <c r="H33" s="291">
        <f>+'ACCIONES 320201'!I156</f>
        <v>141824283</v>
      </c>
      <c r="I33" s="664">
        <f t="shared" si="1"/>
        <v>0</v>
      </c>
      <c r="J33" s="864">
        <f>+'ACCIONES 320201'!K156</f>
        <v>0</v>
      </c>
      <c r="K33" s="289">
        <f>+'ACCIONES 320201'!L156</f>
        <v>0</v>
      </c>
      <c r="L33" s="289">
        <f>+'ACCIONES 320201'!M156</f>
        <v>0</v>
      </c>
      <c r="M33" s="289">
        <f>+'ACCIONES 320201'!N156</f>
        <v>0</v>
      </c>
      <c r="N33" s="865">
        <f>+'ACCIONES 320201'!O156</f>
        <v>0</v>
      </c>
      <c r="O33" s="834"/>
      <c r="P33" s="848">
        <f>+'ACCIONES 320201'!Q156</f>
        <v>0</v>
      </c>
      <c r="Q33" s="834"/>
      <c r="R33" s="848">
        <f>+'ACCIONES 320201'!S156</f>
        <v>141824283</v>
      </c>
    </row>
    <row r="34" spans="1:18" ht="27.75" customHeight="1" thickBot="1">
      <c r="A34" s="33"/>
      <c r="B34" s="2387" t="s">
        <v>278</v>
      </c>
      <c r="C34" s="2388"/>
      <c r="D34" s="2389"/>
      <c r="E34" s="1420">
        <f>+E30+E27+E24+E20+E18+E16+E14+E12+E10+E7</f>
        <v>2893162811.724</v>
      </c>
      <c r="F34" s="1420">
        <f>+F30+F27+F24+F20+F18+F16+F14+F12+F10+F7</f>
        <v>95000000</v>
      </c>
      <c r="G34" s="1420">
        <f>+G30+G27+G24+G20+G18+G16+G14+G12+G10+G7</f>
        <v>579908557.74160004</v>
      </c>
      <c r="H34" s="1421">
        <f>+H30+H27+H24+H20+H18+H16+H14+H12+H10+H7</f>
        <v>3568071369.4656</v>
      </c>
      <c r="I34" s="664">
        <f t="shared" si="1"/>
        <v>0</v>
      </c>
      <c r="J34" s="1422">
        <f>+J7+J10+J12+J14+J16+J18+J20+J24+J27+J30</f>
        <v>9480578</v>
      </c>
      <c r="K34" s="1420">
        <f t="shared" ref="K34:R34" si="9">+K7+K10+K12+K14+K16+K18+K20+K24+K27+K30</f>
        <v>27449962</v>
      </c>
      <c r="L34" s="1420">
        <f t="shared" si="9"/>
        <v>678292693</v>
      </c>
      <c r="M34" s="1420">
        <f t="shared" si="9"/>
        <v>56000000</v>
      </c>
      <c r="N34" s="1421">
        <f t="shared" si="9"/>
        <v>771223233</v>
      </c>
      <c r="O34" s="835"/>
      <c r="P34" s="1423">
        <f t="shared" si="9"/>
        <v>600000000</v>
      </c>
      <c r="Q34" s="835"/>
      <c r="R34" s="1423">
        <f t="shared" si="9"/>
        <v>4939294602.4656</v>
      </c>
    </row>
    <row r="35" spans="1:18" ht="15.75" thickBot="1">
      <c r="A35" s="33"/>
      <c r="B35" s="33"/>
      <c r="C35" s="33"/>
      <c r="D35" s="33"/>
      <c r="E35" s="33"/>
      <c r="F35" s="33"/>
      <c r="G35" s="33"/>
      <c r="H35" s="33"/>
    </row>
    <row r="36" spans="1:18" ht="15.75" thickBot="1">
      <c r="A36" s="33"/>
      <c r="B36" s="33"/>
      <c r="C36" s="33"/>
      <c r="D36" s="33"/>
      <c r="E36" s="825">
        <f>2529884718+416229997+36000000-88951903</f>
        <v>2893162812</v>
      </c>
      <c r="F36" s="825">
        <v>95000000</v>
      </c>
      <c r="G36" s="825">
        <f>592484329.004-12575772</f>
        <v>579908557.00399995</v>
      </c>
      <c r="H36" s="825">
        <f>SUM(E36:G36)</f>
        <v>3568071369.0039997</v>
      </c>
      <c r="I36" s="495"/>
      <c r="J36" s="825">
        <v>9480578</v>
      </c>
      <c r="K36" s="825">
        <f>50519422-23069460</f>
        <v>27449962</v>
      </c>
      <c r="L36" s="825">
        <f>678522892-230199</f>
        <v>678292693</v>
      </c>
      <c r="M36" s="825">
        <f>40000000+16000000</f>
        <v>56000000</v>
      </c>
      <c r="N36" s="825">
        <f>SUM(J36:M36)</f>
        <v>771223233</v>
      </c>
      <c r="O36" s="495"/>
      <c r="P36" s="825">
        <v>600000000</v>
      </c>
      <c r="Q36" s="495"/>
      <c r="R36" s="825">
        <f>+SUM(H36,N36)+600000000</f>
        <v>4939294602.0039997</v>
      </c>
    </row>
    <row r="37" spans="1:18">
      <c r="A37" s="33"/>
      <c r="B37" s="33"/>
      <c r="C37" s="33"/>
      <c r="D37" s="33"/>
      <c r="E37" s="33"/>
      <c r="F37" s="33"/>
      <c r="G37" s="33"/>
      <c r="H37" s="33"/>
    </row>
    <row r="38" spans="1:18">
      <c r="A38" s="33"/>
      <c r="B38" s="33"/>
      <c r="C38" s="33"/>
      <c r="D38" s="33"/>
      <c r="E38" s="664">
        <f>+E36-E34</f>
        <v>0.27600002288818359</v>
      </c>
      <c r="F38" s="664">
        <f t="shared" ref="F38:R38" si="10">+F36-F34</f>
        <v>0</v>
      </c>
      <c r="G38" s="664">
        <f t="shared" si="10"/>
        <v>-0.73760008811950684</v>
      </c>
      <c r="H38" s="664">
        <f t="shared" si="10"/>
        <v>-0.46160030364990234</v>
      </c>
      <c r="I38" s="664"/>
      <c r="J38" s="664">
        <f t="shared" si="10"/>
        <v>0</v>
      </c>
      <c r="K38" s="664">
        <f t="shared" si="10"/>
        <v>0</v>
      </c>
      <c r="L38" s="664">
        <f t="shared" si="10"/>
        <v>0</v>
      </c>
      <c r="M38" s="664">
        <f t="shared" si="10"/>
        <v>0</v>
      </c>
      <c r="N38" s="664">
        <f t="shared" si="10"/>
        <v>0</v>
      </c>
      <c r="O38" s="836"/>
      <c r="P38" s="664">
        <f>+P36-P34</f>
        <v>0</v>
      </c>
      <c r="Q38" s="836"/>
      <c r="R38" s="664">
        <f t="shared" si="10"/>
        <v>-0.46160030364990234</v>
      </c>
    </row>
    <row r="39" spans="1:18">
      <c r="A39" s="33"/>
      <c r="B39" s="33"/>
      <c r="C39" s="33"/>
      <c r="D39" s="33"/>
      <c r="E39" s="33"/>
      <c r="F39" s="33"/>
      <c r="G39" s="33"/>
      <c r="H39" s="33"/>
    </row>
    <row r="40" spans="1:18">
      <c r="A40" s="33"/>
      <c r="B40" s="33"/>
      <c r="C40" s="33"/>
      <c r="D40" s="33"/>
      <c r="E40" s="33"/>
      <c r="F40" s="33"/>
      <c r="G40" s="33"/>
      <c r="H40" s="33"/>
      <c r="M40" s="663"/>
      <c r="P40" s="663"/>
    </row>
    <row r="41" spans="1:18">
      <c r="A41" s="33"/>
      <c r="B41" s="33"/>
      <c r="C41" s="33"/>
      <c r="D41" s="33"/>
      <c r="E41" s="33"/>
      <c r="F41" s="33"/>
      <c r="G41" s="2149">
        <f>+H36+N36</f>
        <v>4339294602.0039997</v>
      </c>
      <c r="H41" s="33"/>
      <c r="K41" s="663">
        <f>+G34+M34</f>
        <v>635908557.74160004</v>
      </c>
    </row>
    <row r="42" spans="1:18">
      <c r="A42" s="33"/>
      <c r="B42" s="33"/>
      <c r="C42" s="33"/>
      <c r="D42" s="33"/>
      <c r="E42" s="33"/>
      <c r="F42" s="33"/>
      <c r="G42" s="33"/>
      <c r="H42" s="33"/>
    </row>
    <row r="43" spans="1:18">
      <c r="A43" s="33"/>
      <c r="B43" s="33"/>
      <c r="C43" s="33"/>
      <c r="D43" s="33"/>
      <c r="E43" s="33"/>
      <c r="F43" s="33"/>
      <c r="G43" s="33"/>
      <c r="H43" s="33"/>
    </row>
    <row r="44" spans="1:18">
      <c r="A44" s="33"/>
      <c r="B44" s="33"/>
      <c r="C44" s="33"/>
      <c r="D44" s="33"/>
      <c r="E44" s="33"/>
      <c r="F44" s="33"/>
      <c r="G44" s="33"/>
      <c r="H44" s="33"/>
    </row>
    <row r="45" spans="1:18">
      <c r="A45" s="33"/>
      <c r="B45" s="33"/>
      <c r="C45" s="33"/>
      <c r="D45" s="33"/>
      <c r="E45" s="33"/>
      <c r="F45" s="33"/>
      <c r="G45" s="33"/>
      <c r="H45" s="33"/>
    </row>
    <row r="46" spans="1:18">
      <c r="A46" s="33"/>
      <c r="B46" s="33"/>
      <c r="C46" s="33"/>
      <c r="D46" s="33"/>
      <c r="E46" s="33"/>
      <c r="F46" s="33"/>
      <c r="G46" s="33"/>
      <c r="H46" s="33"/>
    </row>
  </sheetData>
  <mergeCells count="18">
    <mergeCell ref="J4:M4"/>
    <mergeCell ref="N4:N6"/>
    <mergeCell ref="R4:R6"/>
    <mergeCell ref="J5:J6"/>
    <mergeCell ref="K5:K6"/>
    <mergeCell ref="L5:L6"/>
    <mergeCell ref="M5:M6"/>
    <mergeCell ref="P4:P6"/>
    <mergeCell ref="B34:D34"/>
    <mergeCell ref="C5:C6"/>
    <mergeCell ref="D5:D6"/>
    <mergeCell ref="B4:B6"/>
    <mergeCell ref="A1:H1"/>
    <mergeCell ref="A2:H2"/>
    <mergeCell ref="H4:H6"/>
    <mergeCell ref="C4:G4"/>
    <mergeCell ref="E5:G5"/>
    <mergeCell ref="A4:A6"/>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theme="7" tint="0.59999389629810485"/>
  </sheetPr>
  <dimension ref="A1:W171"/>
  <sheetViews>
    <sheetView topLeftCell="A154" zoomScale="80" zoomScaleNormal="80" workbookViewId="0">
      <selection activeCell="A4" sqref="A4:A6"/>
    </sheetView>
  </sheetViews>
  <sheetFormatPr baseColWidth="10" defaultRowHeight="15"/>
  <cols>
    <col min="1" max="1" width="31.7109375" style="495" customWidth="1"/>
    <col min="2" max="2" width="8.28515625" style="495" hidden="1" customWidth="1"/>
    <col min="3" max="3" width="4" style="495" hidden="1" customWidth="1"/>
    <col min="4" max="4" width="8.5703125" style="502" hidden="1" customWidth="1"/>
    <col min="5" max="5" width="9.85546875" style="502" hidden="1" customWidth="1"/>
    <col min="6" max="6" width="16.85546875" style="502" customWidth="1"/>
    <col min="7" max="7" width="13.85546875" style="502" bestFit="1" customWidth="1"/>
    <col min="8" max="8" width="15" style="502" bestFit="1" customWidth="1"/>
    <col min="9" max="9" width="18.28515625" style="503" customWidth="1"/>
    <col min="10" max="10" width="0.42578125" style="495" customWidth="1"/>
    <col min="11" max="11" width="12.42578125" style="502" customWidth="1"/>
    <col min="12" max="12" width="13.85546875" style="502" customWidth="1"/>
    <col min="13" max="13" width="15" style="502" bestFit="1" customWidth="1"/>
    <col min="14" max="14" width="13.28515625" style="502" customWidth="1"/>
    <col min="15" max="15" width="15" style="503" customWidth="1"/>
    <col min="16" max="16" width="5" style="495" hidden="1" customWidth="1"/>
    <col min="17" max="17" width="14.85546875" style="503" customWidth="1"/>
    <col min="18" max="18" width="5" style="495" hidden="1" customWidth="1"/>
    <col min="19" max="19" width="16.42578125" style="495" customWidth="1"/>
    <col min="20" max="20" width="25.7109375" style="495" customWidth="1"/>
    <col min="21" max="16384" width="11.42578125" style="495"/>
  </cols>
  <sheetData>
    <row r="1" spans="1:23" s="1" customFormat="1" ht="15" customHeight="1">
      <c r="A1" s="2311" t="s">
        <v>181</v>
      </c>
      <c r="B1" s="2311"/>
      <c r="C1" s="2311"/>
      <c r="D1" s="2311"/>
      <c r="E1" s="2311"/>
      <c r="F1" s="2311"/>
      <c r="G1" s="2311"/>
      <c r="H1" s="2311"/>
      <c r="I1" s="2311"/>
      <c r="T1" s="1663"/>
    </row>
    <row r="2" spans="1:23" s="1" customFormat="1" ht="15" customHeight="1">
      <c r="A2" s="2311" t="s">
        <v>182</v>
      </c>
      <c r="B2" s="2311"/>
      <c r="C2" s="2311"/>
      <c r="D2" s="2311"/>
      <c r="E2" s="2311"/>
      <c r="F2" s="2311"/>
      <c r="G2" s="2311"/>
      <c r="H2" s="2311"/>
      <c r="I2" s="2311"/>
      <c r="T2" s="1664"/>
      <c r="U2" s="418"/>
      <c r="V2" s="418"/>
      <c r="W2" s="418"/>
    </row>
    <row r="3" spans="1:23" customFormat="1" ht="25.5" customHeight="1" thickBot="1">
      <c r="F3">
        <v>64828198</v>
      </c>
      <c r="G3" s="1780">
        <v>14854884</v>
      </c>
      <c r="H3" s="768">
        <v>12922415</v>
      </c>
      <c r="T3" s="1664"/>
      <c r="U3" s="418"/>
      <c r="V3" s="418"/>
      <c r="W3" s="418"/>
    </row>
    <row r="4" spans="1:23" ht="15" customHeight="1" thickBot="1">
      <c r="A4" s="2339" t="s">
        <v>446</v>
      </c>
      <c r="B4" s="2312" t="s">
        <v>447</v>
      </c>
      <c r="C4" s="2312" t="s">
        <v>865</v>
      </c>
      <c r="D4" s="2339" t="s">
        <v>448</v>
      </c>
      <c r="E4" s="2339" t="s">
        <v>201</v>
      </c>
      <c r="F4" s="2339" t="s">
        <v>199</v>
      </c>
      <c r="G4" s="2339"/>
      <c r="H4" s="2339"/>
      <c r="I4" s="2396" t="s">
        <v>352</v>
      </c>
      <c r="K4" s="2390" t="s">
        <v>1003</v>
      </c>
      <c r="L4" s="2390"/>
      <c r="M4" s="2390"/>
      <c r="N4" s="2390"/>
      <c r="O4" s="2364" t="s">
        <v>1005</v>
      </c>
      <c r="P4" s="418"/>
      <c r="Q4" s="2364" t="s">
        <v>1199</v>
      </c>
      <c r="R4" s="418"/>
      <c r="S4" s="2364" t="s">
        <v>1006</v>
      </c>
      <c r="T4" s="1664"/>
      <c r="U4" s="418"/>
      <c r="V4" s="418"/>
      <c r="W4" s="418"/>
    </row>
    <row r="5" spans="1:23" ht="15" customHeight="1" thickBot="1">
      <c r="A5" s="2339"/>
      <c r="B5" s="2312"/>
      <c r="C5" s="2312"/>
      <c r="D5" s="2339"/>
      <c r="E5" s="2339"/>
      <c r="F5" s="2339" t="s">
        <v>202</v>
      </c>
      <c r="G5" s="2339" t="s">
        <v>203</v>
      </c>
      <c r="H5" s="2339" t="s">
        <v>233</v>
      </c>
      <c r="I5" s="2396"/>
      <c r="K5" s="2339" t="s">
        <v>203</v>
      </c>
      <c r="L5" s="2339" t="s">
        <v>385</v>
      </c>
      <c r="M5" s="2339" t="s">
        <v>202</v>
      </c>
      <c r="N5" s="2339" t="s">
        <v>204</v>
      </c>
      <c r="O5" s="2365"/>
      <c r="P5" s="418"/>
      <c r="Q5" s="2365"/>
      <c r="R5" s="418"/>
      <c r="S5" s="2365"/>
      <c r="T5" s="1664"/>
      <c r="U5" s="418"/>
      <c r="V5" s="418"/>
      <c r="W5" s="418"/>
    </row>
    <row r="6" spans="1:23" ht="15" customHeight="1" thickBot="1">
      <c r="A6" s="2395"/>
      <c r="B6" s="2330"/>
      <c r="C6" s="2330"/>
      <c r="D6" s="2395"/>
      <c r="E6" s="2395"/>
      <c r="F6" s="2395"/>
      <c r="G6" s="2395"/>
      <c r="H6" s="2395"/>
      <c r="I6" s="2397"/>
      <c r="K6" s="2395"/>
      <c r="L6" s="2395"/>
      <c r="M6" s="2395"/>
      <c r="N6" s="2395"/>
      <c r="O6" s="2391"/>
      <c r="P6" s="418"/>
      <c r="Q6" s="2391"/>
      <c r="R6" s="418"/>
      <c r="S6" s="2391"/>
      <c r="T6" s="1664"/>
      <c r="U6" s="418"/>
      <c r="V6" s="418"/>
      <c r="W6" s="418"/>
    </row>
    <row r="7" spans="1:23" ht="38.25" customHeight="1" thickBot="1">
      <c r="A7" s="1167" t="s">
        <v>206</v>
      </c>
      <c r="B7" s="1168"/>
      <c r="C7" s="1168"/>
      <c r="D7" s="549" t="s">
        <v>211</v>
      </c>
      <c r="E7" s="549">
        <v>30</v>
      </c>
      <c r="F7" s="1169">
        <f>+F8+F11</f>
        <v>94334556</v>
      </c>
      <c r="G7" s="1169">
        <f t="shared" ref="G7:H7" si="0">+G8+G11</f>
        <v>24353752</v>
      </c>
      <c r="H7" s="1169">
        <f t="shared" si="0"/>
        <v>93891647.741600007</v>
      </c>
      <c r="I7" s="1170">
        <f>+I8+I11</f>
        <v>212579955.74160001</v>
      </c>
      <c r="K7" s="1171">
        <f>+K8+K11</f>
        <v>0</v>
      </c>
      <c r="L7" s="1169">
        <f t="shared" ref="L7:N7" si="1">+L8+L11</f>
        <v>0</v>
      </c>
      <c r="M7" s="1169">
        <f>+M8+M11</f>
        <v>0</v>
      </c>
      <c r="N7" s="1169">
        <f t="shared" si="1"/>
        <v>0</v>
      </c>
      <c r="O7" s="1170">
        <f>+O8+O11</f>
        <v>0</v>
      </c>
      <c r="Q7" s="1170">
        <f>+Q8+Q11</f>
        <v>0</v>
      </c>
      <c r="S7" s="1166">
        <f>+S8+S11</f>
        <v>212579955.74160001</v>
      </c>
    </row>
    <row r="8" spans="1:23" ht="26.25" customHeight="1">
      <c r="A8" s="1177" t="s">
        <v>207</v>
      </c>
      <c r="B8" s="1090" t="s">
        <v>479</v>
      </c>
      <c r="C8" s="1090"/>
      <c r="D8" s="1090" t="s">
        <v>208</v>
      </c>
      <c r="E8" s="1090">
        <v>10</v>
      </c>
      <c r="F8" s="1165">
        <f>SUM(F9:F10)</f>
        <v>84063636</v>
      </c>
      <c r="G8" s="1165">
        <f t="shared" ref="G8:H8" si="2">SUM(G9:G10)</f>
        <v>0</v>
      </c>
      <c r="H8" s="1165">
        <f t="shared" si="2"/>
        <v>0</v>
      </c>
      <c r="I8" s="1178">
        <f>SUM(I9:I10)</f>
        <v>84063636</v>
      </c>
      <c r="K8" s="1196">
        <f>SUM(K9:K10)</f>
        <v>0</v>
      </c>
      <c r="L8" s="1165">
        <f t="shared" ref="L8:N8" si="3">SUM(L9:L10)</f>
        <v>0</v>
      </c>
      <c r="M8" s="1165">
        <f>SUM(M9:M10)</f>
        <v>0</v>
      </c>
      <c r="N8" s="1165">
        <f t="shared" si="3"/>
        <v>0</v>
      </c>
      <c r="O8" s="1178">
        <f>SUM(O9:O10)</f>
        <v>0</v>
      </c>
      <c r="Q8" s="1178">
        <f>SUM(Q9:Q10)</f>
        <v>0</v>
      </c>
      <c r="S8" s="1207">
        <f>SUM(S9:S10)</f>
        <v>84063636</v>
      </c>
    </row>
    <row r="9" spans="1:23" s="682" customFormat="1" ht="39.950000000000003" customHeight="1">
      <c r="A9" s="758" t="s">
        <v>952</v>
      </c>
      <c r="B9" s="763" t="s">
        <v>237</v>
      </c>
      <c r="C9" s="763">
        <v>83990</v>
      </c>
      <c r="D9" s="763" t="s">
        <v>208</v>
      </c>
      <c r="E9" s="763">
        <v>11</v>
      </c>
      <c r="F9" s="685">
        <v>42031818</v>
      </c>
      <c r="G9" s="763"/>
      <c r="H9" s="763"/>
      <c r="I9" s="1179">
        <f>SUM(F9:H9)</f>
        <v>42031818</v>
      </c>
      <c r="K9" s="1197"/>
      <c r="L9" s="685"/>
      <c r="M9" s="685"/>
      <c r="N9" s="685"/>
      <c r="O9" s="1179">
        <f>SUM(K9:N9)</f>
        <v>0</v>
      </c>
      <c r="Q9" s="1179"/>
      <c r="S9" s="1208">
        <f t="shared" ref="S9:S10" si="4">+I9+O9+Q9</f>
        <v>42031818</v>
      </c>
    </row>
    <row r="10" spans="1:23" s="682" customFormat="1" ht="39.950000000000003" customHeight="1">
      <c r="A10" s="758" t="s">
        <v>953</v>
      </c>
      <c r="B10" s="763" t="s">
        <v>237</v>
      </c>
      <c r="C10" s="763">
        <v>83990</v>
      </c>
      <c r="D10" s="763" t="s">
        <v>208</v>
      </c>
      <c r="E10" s="763">
        <v>11</v>
      </c>
      <c r="F10" s="685">
        <v>42031818</v>
      </c>
      <c r="G10" s="763"/>
      <c r="H10" s="763"/>
      <c r="I10" s="1179">
        <f>SUM(F10:H10)</f>
        <v>42031818</v>
      </c>
      <c r="K10" s="1197"/>
      <c r="L10" s="685"/>
      <c r="M10" s="685"/>
      <c r="N10" s="685"/>
      <c r="O10" s="1179">
        <f>SUM(K10:N10)</f>
        <v>0</v>
      </c>
      <c r="Q10" s="1179"/>
      <c r="S10" s="1208">
        <f t="shared" si="4"/>
        <v>42031818</v>
      </c>
    </row>
    <row r="11" spans="1:23" ht="39.950000000000003" customHeight="1">
      <c r="A11" s="1180" t="s">
        <v>209</v>
      </c>
      <c r="B11" s="178"/>
      <c r="C11" s="178"/>
      <c r="D11" s="178" t="s">
        <v>210</v>
      </c>
      <c r="E11" s="178">
        <v>1</v>
      </c>
      <c r="F11" s="497">
        <f>SUM(F12:F23)</f>
        <v>10270920</v>
      </c>
      <c r="G11" s="497">
        <f t="shared" ref="G11:H11" si="5">SUM(G12:G23)</f>
        <v>24353752</v>
      </c>
      <c r="H11" s="497">
        <f t="shared" si="5"/>
        <v>93891647.741600007</v>
      </c>
      <c r="I11" s="1181">
        <f>SUM(I12:I23)</f>
        <v>128516319.74160001</v>
      </c>
      <c r="K11" s="1198">
        <f>SUM(K12:K23)</f>
        <v>0</v>
      </c>
      <c r="L11" s="497">
        <f t="shared" ref="L11:N11" si="6">SUM(L12:L23)</f>
        <v>0</v>
      </c>
      <c r="M11" s="497">
        <f>SUM(M12:M23)</f>
        <v>0</v>
      </c>
      <c r="N11" s="497">
        <f t="shared" si="6"/>
        <v>0</v>
      </c>
      <c r="O11" s="1181">
        <f>SUM(O12:O23)</f>
        <v>0</v>
      </c>
      <c r="Q11" s="1181">
        <f>SUM(Q12:Q23)</f>
        <v>0</v>
      </c>
      <c r="S11" s="1209">
        <f>SUM(S12:S23)</f>
        <v>128516319.74160001</v>
      </c>
    </row>
    <row r="12" spans="1:23" s="679" customFormat="1" ht="39.950000000000003" customHeight="1">
      <c r="A12" s="760" t="s">
        <v>954</v>
      </c>
      <c r="B12" s="1626" t="s">
        <v>237</v>
      </c>
      <c r="C12" s="30">
        <v>83990</v>
      </c>
      <c r="D12" s="30" t="s">
        <v>210</v>
      </c>
      <c r="E12" s="30">
        <v>1</v>
      </c>
      <c r="F12" s="685">
        <v>4016000</v>
      </c>
      <c r="G12" s="685"/>
      <c r="H12" s="685"/>
      <c r="I12" s="1182">
        <f>SUM(F12:H12)</f>
        <v>4016000</v>
      </c>
      <c r="K12" s="1197"/>
      <c r="L12" s="685"/>
      <c r="M12" s="685"/>
      <c r="N12" s="685"/>
      <c r="O12" s="1182">
        <f>SUM(K12:N12)</f>
        <v>0</v>
      </c>
      <c r="Q12" s="1182"/>
      <c r="S12" s="1210">
        <f t="shared" ref="S12:S23" si="7">+I12+O12+Q12</f>
        <v>4016000</v>
      </c>
    </row>
    <row r="13" spans="1:23" s="679" customFormat="1" ht="39.950000000000003" customHeight="1">
      <c r="A13" s="227" t="s">
        <v>480</v>
      </c>
      <c r="B13" s="1627" t="s">
        <v>906</v>
      </c>
      <c r="C13" s="30" t="s">
        <v>1083</v>
      </c>
      <c r="D13" s="30" t="s">
        <v>210</v>
      </c>
      <c r="E13" s="30">
        <v>1</v>
      </c>
      <c r="F13" s="685"/>
      <c r="G13" s="685"/>
      <c r="H13" s="685">
        <f>1973362-512095</f>
        <v>1461267</v>
      </c>
      <c r="I13" s="1182">
        <f t="shared" ref="I13:I16" si="8">SUM(F13:H13)</f>
        <v>1461267</v>
      </c>
      <c r="K13" s="1197"/>
      <c r="L13" s="685"/>
      <c r="M13" s="685"/>
      <c r="N13" s="685"/>
      <c r="O13" s="1182">
        <f t="shared" ref="O13:O20" si="9">SUM(K13:N13)</f>
        <v>0</v>
      </c>
      <c r="Q13" s="1182"/>
      <c r="S13" s="1210">
        <f t="shared" si="7"/>
        <v>1461267</v>
      </c>
    </row>
    <row r="14" spans="1:23" s="679" customFormat="1" ht="39.950000000000003" customHeight="1">
      <c r="A14" s="227" t="s">
        <v>480</v>
      </c>
      <c r="B14" s="1627" t="s">
        <v>287</v>
      </c>
      <c r="C14" s="30" t="s">
        <v>1083</v>
      </c>
      <c r="D14" s="30" t="s">
        <v>210</v>
      </c>
      <c r="E14" s="30">
        <v>1</v>
      </c>
      <c r="F14" s="685"/>
      <c r="G14" s="685"/>
      <c r="H14" s="685">
        <f>808220-208131</f>
        <v>600089</v>
      </c>
      <c r="I14" s="1182">
        <f t="shared" si="8"/>
        <v>600089</v>
      </c>
      <c r="K14" s="1197"/>
      <c r="L14" s="685"/>
      <c r="M14" s="685"/>
      <c r="N14" s="685"/>
      <c r="O14" s="1182">
        <f t="shared" si="9"/>
        <v>0</v>
      </c>
      <c r="Q14" s="1182"/>
      <c r="S14" s="1210">
        <f t="shared" si="7"/>
        <v>600089</v>
      </c>
    </row>
    <row r="15" spans="1:23" s="679" customFormat="1" ht="39.950000000000003" customHeight="1">
      <c r="A15" s="227" t="s">
        <v>480</v>
      </c>
      <c r="B15" s="1627" t="s">
        <v>870</v>
      </c>
      <c r="C15" s="30" t="s">
        <v>1083</v>
      </c>
      <c r="D15" s="30" t="s">
        <v>210</v>
      </c>
      <c r="E15" s="30">
        <v>1</v>
      </c>
      <c r="F15" s="685"/>
      <c r="G15" s="685"/>
      <c r="H15" s="685">
        <f>10595435-2698812</f>
        <v>7896623</v>
      </c>
      <c r="I15" s="1182">
        <f t="shared" si="8"/>
        <v>7896623</v>
      </c>
      <c r="K15" s="1197"/>
      <c r="L15" s="685"/>
      <c r="M15" s="685"/>
      <c r="N15" s="685"/>
      <c r="O15" s="1182">
        <f t="shared" si="9"/>
        <v>0</v>
      </c>
      <c r="Q15" s="1182"/>
      <c r="S15" s="1210">
        <f t="shared" si="7"/>
        <v>7896623</v>
      </c>
    </row>
    <row r="16" spans="1:23" s="679" customFormat="1" ht="39.950000000000003" customHeight="1">
      <c r="A16" s="1649" t="s">
        <v>480</v>
      </c>
      <c r="B16" s="30" t="s">
        <v>1087</v>
      </c>
      <c r="C16" s="1779" t="s">
        <v>1083</v>
      </c>
      <c r="D16" s="30" t="s">
        <v>210</v>
      </c>
      <c r="E16" s="30">
        <v>1</v>
      </c>
      <c r="F16" s="1780"/>
      <c r="G16" s="768"/>
      <c r="H16" s="685">
        <f>1329798-338264</f>
        <v>991534</v>
      </c>
      <c r="I16" s="1182">
        <f t="shared" si="8"/>
        <v>991534</v>
      </c>
      <c r="K16" s="1781"/>
      <c r="L16" s="1780"/>
      <c r="M16" s="1780"/>
      <c r="N16" s="1780"/>
      <c r="O16" s="1182">
        <f t="shared" si="9"/>
        <v>0</v>
      </c>
      <c r="Q16" s="1182"/>
      <c r="S16" s="1210">
        <f t="shared" si="7"/>
        <v>991534</v>
      </c>
    </row>
    <row r="17" spans="1:20" s="679" customFormat="1" ht="39.950000000000003" customHeight="1">
      <c r="A17" s="1649" t="s">
        <v>480</v>
      </c>
      <c r="B17" s="30" t="s">
        <v>1094</v>
      </c>
      <c r="C17" s="30" t="s">
        <v>1084</v>
      </c>
      <c r="D17" s="30" t="s">
        <v>210</v>
      </c>
      <c r="E17" s="30">
        <v>1</v>
      </c>
      <c r="F17" s="1780"/>
      <c r="G17" s="768"/>
      <c r="H17" s="685">
        <f>144159.7416-21470</f>
        <v>122689.74160000001</v>
      </c>
      <c r="I17" s="1182">
        <f t="shared" ref="I17:I23" si="10">SUM(F17:H17)</f>
        <v>122689.74160000001</v>
      </c>
      <c r="K17" s="1781"/>
      <c r="L17" s="1780"/>
      <c r="M17" s="1780"/>
      <c r="N17" s="1780"/>
      <c r="O17" s="1182">
        <f t="shared" si="9"/>
        <v>0</v>
      </c>
      <c r="Q17" s="1182"/>
      <c r="S17" s="1210">
        <f t="shared" si="7"/>
        <v>122689.74160000001</v>
      </c>
    </row>
    <row r="18" spans="1:20" s="679" customFormat="1" ht="39.950000000000003" customHeight="1">
      <c r="A18" s="1649" t="s">
        <v>1085</v>
      </c>
      <c r="B18" s="30" t="s">
        <v>1095</v>
      </c>
      <c r="C18" s="30">
        <v>196106</v>
      </c>
      <c r="D18" s="30" t="s">
        <v>210</v>
      </c>
      <c r="E18" s="30">
        <v>1</v>
      </c>
      <c r="F18" s="685">
        <f>2590320-200800</f>
        <v>2389520</v>
      </c>
      <c r="G18" s="768"/>
      <c r="H18" s="1564"/>
      <c r="I18" s="1182">
        <f t="shared" si="10"/>
        <v>2389520</v>
      </c>
      <c r="K18" s="1781"/>
      <c r="L18" s="1780"/>
      <c r="M18" s="1780"/>
      <c r="N18" s="1780"/>
      <c r="O18" s="1182">
        <f t="shared" si="9"/>
        <v>0</v>
      </c>
      <c r="Q18" s="1182"/>
      <c r="S18" s="1210">
        <f t="shared" si="7"/>
        <v>2389520</v>
      </c>
    </row>
    <row r="19" spans="1:20" s="679" customFormat="1" ht="39.950000000000003" customHeight="1">
      <c r="A19" s="1810" t="s">
        <v>1085</v>
      </c>
      <c r="B19" s="30" t="s">
        <v>1096</v>
      </c>
      <c r="C19" s="30">
        <v>196104</v>
      </c>
      <c r="D19" s="30" t="s">
        <v>210</v>
      </c>
      <c r="E19" s="30">
        <v>1</v>
      </c>
      <c r="F19" s="685">
        <f>150600+200800</f>
        <v>351400</v>
      </c>
      <c r="G19" s="768"/>
      <c r="H19" s="1782"/>
      <c r="I19" s="1182">
        <f t="shared" si="10"/>
        <v>351400</v>
      </c>
      <c r="K19" s="1781"/>
      <c r="L19" s="1780"/>
      <c r="M19" s="1780"/>
      <c r="N19" s="1780"/>
      <c r="O19" s="1182">
        <f t="shared" si="9"/>
        <v>0</v>
      </c>
      <c r="Q19" s="1182"/>
      <c r="S19" s="1210">
        <f t="shared" si="7"/>
        <v>351400</v>
      </c>
    </row>
    <row r="20" spans="1:20" s="1628" customFormat="1" ht="39.950000000000003" customHeight="1">
      <c r="A20" s="758" t="s">
        <v>978</v>
      </c>
      <c r="B20" s="1627" t="s">
        <v>475</v>
      </c>
      <c r="C20" s="769">
        <v>94900</v>
      </c>
      <c r="D20" s="1627" t="s">
        <v>210</v>
      </c>
      <c r="E20" s="1627">
        <v>1</v>
      </c>
      <c r="F20" s="685"/>
      <c r="G20" s="685"/>
      <c r="H20" s="685">
        <v>80320000</v>
      </c>
      <c r="I20" s="1182">
        <f t="shared" si="10"/>
        <v>80320000</v>
      </c>
      <c r="K20" s="1197"/>
      <c r="L20" s="685"/>
      <c r="M20" s="685"/>
      <c r="N20" s="685"/>
      <c r="O20" s="1182">
        <f t="shared" si="9"/>
        <v>0</v>
      </c>
      <c r="Q20" s="1182"/>
      <c r="S20" s="1210">
        <f t="shared" si="7"/>
        <v>80320000</v>
      </c>
    </row>
    <row r="21" spans="1:20" s="679" customFormat="1" ht="39.950000000000003" customHeight="1">
      <c r="A21" s="1934" t="s">
        <v>481</v>
      </c>
      <c r="B21" s="30" t="s">
        <v>888</v>
      </c>
      <c r="C21" s="30">
        <v>54342</v>
      </c>
      <c r="D21" s="34" t="s">
        <v>482</v>
      </c>
      <c r="E21" s="34">
        <v>5</v>
      </c>
      <c r="F21" s="685"/>
      <c r="G21" s="685">
        <f>25000000-646248</f>
        <v>24353752</v>
      </c>
      <c r="H21" s="685"/>
      <c r="I21" s="1182">
        <f>SUM(F21:H21)</f>
        <v>24353752</v>
      </c>
      <c r="K21" s="1197"/>
      <c r="L21" s="685"/>
      <c r="M21" s="685"/>
      <c r="N21" s="685"/>
      <c r="O21" s="1182">
        <f t="shared" ref="O21:O22" si="11">SUM(K21:N21)</f>
        <v>0</v>
      </c>
      <c r="Q21" s="1182"/>
      <c r="S21" s="1210">
        <f t="shared" si="7"/>
        <v>24353752</v>
      </c>
    </row>
    <row r="22" spans="1:20" s="680" customFormat="1" ht="39.950000000000003" customHeight="1">
      <c r="A22" s="1934" t="s">
        <v>483</v>
      </c>
      <c r="B22" s="1626" t="s">
        <v>237</v>
      </c>
      <c r="C22" s="30">
        <v>83990</v>
      </c>
      <c r="D22" s="34" t="s">
        <v>210</v>
      </c>
      <c r="E22" s="34">
        <v>1</v>
      </c>
      <c r="F22" s="685"/>
      <c r="G22" s="685"/>
      <c r="H22" s="685">
        <f>2500000-555</f>
        <v>2499445</v>
      </c>
      <c r="I22" s="1182">
        <f>SUM(F22:H22)</f>
        <v>2499445</v>
      </c>
      <c r="K22" s="1197"/>
      <c r="L22" s="685"/>
      <c r="M22" s="685"/>
      <c r="N22" s="685"/>
      <c r="O22" s="1182">
        <f t="shared" si="11"/>
        <v>0</v>
      </c>
      <c r="Q22" s="1182"/>
      <c r="S22" s="1210">
        <f t="shared" si="7"/>
        <v>2499445</v>
      </c>
    </row>
    <row r="23" spans="1:20" s="679" customFormat="1" ht="39.950000000000003" customHeight="1" thickBot="1">
      <c r="A23" s="1933" t="s">
        <v>979</v>
      </c>
      <c r="B23" s="537" t="s">
        <v>237</v>
      </c>
      <c r="C23" s="537">
        <v>83990</v>
      </c>
      <c r="D23" s="537" t="s">
        <v>210</v>
      </c>
      <c r="E23" s="537">
        <v>1</v>
      </c>
      <c r="F23" s="1648">
        <v>3514000</v>
      </c>
      <c r="G23" s="212"/>
      <c r="H23" s="212"/>
      <c r="I23" s="1184">
        <f t="shared" si="10"/>
        <v>3514000</v>
      </c>
      <c r="K23" s="1199"/>
      <c r="L23" s="212"/>
      <c r="M23" s="212"/>
      <c r="N23" s="212"/>
      <c r="O23" s="1184">
        <f>SUM(K23:N23)</f>
        <v>0</v>
      </c>
      <c r="Q23" s="1184"/>
      <c r="S23" s="1211">
        <f t="shared" si="7"/>
        <v>3514000</v>
      </c>
    </row>
    <row r="24" spans="1:20" s="418" customFormat="1" ht="39.950000000000003" customHeight="1" thickBot="1">
      <c r="A24" s="1167" t="s">
        <v>33</v>
      </c>
      <c r="B24" s="1168"/>
      <c r="C24" s="1168"/>
      <c r="D24" s="549" t="s">
        <v>211</v>
      </c>
      <c r="E24" s="549">
        <v>3</v>
      </c>
      <c r="F24" s="1169">
        <f>+F25</f>
        <v>886452505</v>
      </c>
      <c r="G24" s="1169">
        <f>+G25</f>
        <v>0</v>
      </c>
      <c r="H24" s="1169">
        <f>+H25</f>
        <v>7857678</v>
      </c>
      <c r="I24" s="1170">
        <f>+I25</f>
        <v>894310183</v>
      </c>
      <c r="K24" s="1171">
        <f>+K25</f>
        <v>0</v>
      </c>
      <c r="L24" s="1169">
        <f t="shared" ref="L24:N24" si="12">+L25</f>
        <v>0</v>
      </c>
      <c r="M24" s="1169">
        <f t="shared" si="12"/>
        <v>38574021</v>
      </c>
      <c r="N24" s="1169">
        <f t="shared" si="12"/>
        <v>51480752</v>
      </c>
      <c r="O24" s="1170">
        <f>+O25</f>
        <v>90054773</v>
      </c>
      <c r="Q24" s="1170">
        <f>+Q25</f>
        <v>0</v>
      </c>
      <c r="S24" s="1166">
        <f>+S25</f>
        <v>984364956</v>
      </c>
      <c r="T24" s="669"/>
    </row>
    <row r="25" spans="1:20" s="418" customFormat="1" ht="39.950000000000003" customHeight="1">
      <c r="A25" s="1177" t="s">
        <v>470</v>
      </c>
      <c r="B25" s="1090"/>
      <c r="C25" s="1090"/>
      <c r="D25" s="1090" t="s">
        <v>210</v>
      </c>
      <c r="E25" s="1090">
        <v>1</v>
      </c>
      <c r="F25" s="1165">
        <f t="shared" ref="F25:O25" si="13">SUM(F26:F42)</f>
        <v>886452505</v>
      </c>
      <c r="G25" s="1165">
        <f t="shared" si="13"/>
        <v>0</v>
      </c>
      <c r="H25" s="1165">
        <f t="shared" si="13"/>
        <v>7857678</v>
      </c>
      <c r="I25" s="1165">
        <f t="shared" si="13"/>
        <v>894310183</v>
      </c>
      <c r="J25" s="1165">
        <f t="shared" si="13"/>
        <v>0</v>
      </c>
      <c r="K25" s="1165">
        <f t="shared" si="13"/>
        <v>0</v>
      </c>
      <c r="L25" s="1165">
        <f t="shared" si="13"/>
        <v>0</v>
      </c>
      <c r="M25" s="1165">
        <f t="shared" si="13"/>
        <v>38574021</v>
      </c>
      <c r="N25" s="1165">
        <f t="shared" si="13"/>
        <v>51480752</v>
      </c>
      <c r="O25" s="1165">
        <f t="shared" si="13"/>
        <v>90054773</v>
      </c>
      <c r="P25" s="1165">
        <f>SUM(P26:P40)</f>
        <v>0</v>
      </c>
      <c r="Q25" s="1165">
        <f>SUM(Q26:Q42)</f>
        <v>0</v>
      </c>
      <c r="R25" s="1165"/>
      <c r="S25" s="1165">
        <f>SUM(S26:S42)</f>
        <v>984364956</v>
      </c>
    </row>
    <row r="26" spans="1:20" s="679" customFormat="1" ht="39.950000000000003" customHeight="1">
      <c r="A26" s="1783" t="s">
        <v>1063</v>
      </c>
      <c r="B26" s="533" t="s">
        <v>906</v>
      </c>
      <c r="C26" s="533" t="s">
        <v>1083</v>
      </c>
      <c r="D26" s="533" t="s">
        <v>210</v>
      </c>
      <c r="E26" s="533">
        <v>1</v>
      </c>
      <c r="F26" s="1784">
        <f>25971572+2401134-13077231</f>
        <v>15295475</v>
      </c>
      <c r="G26" s="1784"/>
      <c r="H26" s="1785"/>
      <c r="I26" s="1786">
        <f t="shared" ref="I26:I33" si="14">SUM(F26:H26)</f>
        <v>15295475</v>
      </c>
      <c r="K26" s="1787"/>
      <c r="L26" s="1784"/>
      <c r="M26" s="1784"/>
      <c r="N26" s="1784"/>
      <c r="O26" s="1788">
        <f>SUM(K26:N26)</f>
        <v>0</v>
      </c>
      <c r="Q26" s="1788"/>
      <c r="S26" s="1789">
        <f t="shared" ref="S26:S42" si="15">+I26+O26+Q26</f>
        <v>15295475</v>
      </c>
    </row>
    <row r="27" spans="1:20" s="679" customFormat="1" ht="39.950000000000003" customHeight="1">
      <c r="A27" s="1783" t="s">
        <v>1063</v>
      </c>
      <c r="B27" s="533" t="s">
        <v>287</v>
      </c>
      <c r="C27" s="533" t="s">
        <v>1083</v>
      </c>
      <c r="D27" s="533" t="s">
        <v>210</v>
      </c>
      <c r="E27" s="533">
        <v>1</v>
      </c>
      <c r="F27" s="1784">
        <f>5819184-1498540</f>
        <v>4320644</v>
      </c>
      <c r="G27" s="1784"/>
      <c r="H27" s="1785"/>
      <c r="I27" s="1786">
        <f t="shared" si="14"/>
        <v>4320644</v>
      </c>
      <c r="K27" s="1787"/>
      <c r="L27" s="1784"/>
      <c r="M27" s="1784"/>
      <c r="N27" s="1784"/>
      <c r="O27" s="1788">
        <f t="shared" ref="O27:O35" si="16">SUM(K27:N27)</f>
        <v>0</v>
      </c>
      <c r="Q27" s="1788"/>
      <c r="S27" s="1789">
        <f t="shared" si="15"/>
        <v>4320644</v>
      </c>
    </row>
    <row r="28" spans="1:20" s="679" customFormat="1" ht="39.950000000000003" customHeight="1">
      <c r="A28" s="1783" t="s">
        <v>1063</v>
      </c>
      <c r="B28" s="533" t="s">
        <v>870</v>
      </c>
      <c r="C28" s="533" t="s">
        <v>1083</v>
      </c>
      <c r="D28" s="533" t="s">
        <v>210</v>
      </c>
      <c r="E28" s="533">
        <v>1</v>
      </c>
      <c r="F28" s="1784">
        <f>99742788-25401293</f>
        <v>74341495</v>
      </c>
      <c r="G28" s="1784"/>
      <c r="H28" s="1785"/>
      <c r="I28" s="1786">
        <f t="shared" si="14"/>
        <v>74341495</v>
      </c>
      <c r="K28" s="1787"/>
      <c r="L28" s="1784"/>
      <c r="M28" s="1784"/>
      <c r="N28" s="1784"/>
      <c r="O28" s="1788">
        <f t="shared" si="16"/>
        <v>0</v>
      </c>
      <c r="Q28" s="1788"/>
      <c r="S28" s="1789">
        <f t="shared" si="15"/>
        <v>74341495</v>
      </c>
    </row>
    <row r="29" spans="1:20" s="679" customFormat="1" ht="39.950000000000003" customHeight="1">
      <c r="A29" s="1783" t="s">
        <v>1063</v>
      </c>
      <c r="B29" s="533" t="s">
        <v>1087</v>
      </c>
      <c r="C29" s="533" t="s">
        <v>1083</v>
      </c>
      <c r="D29" s="533" t="s">
        <v>210</v>
      </c>
      <c r="E29" s="533">
        <v>1</v>
      </c>
      <c r="F29" s="1784">
        <f>17533454+4220597-9339054</f>
        <v>12414997</v>
      </c>
      <c r="G29" s="1784"/>
      <c r="H29" s="1785"/>
      <c r="I29" s="1786">
        <f t="shared" si="14"/>
        <v>12414997</v>
      </c>
      <c r="K29" s="1787"/>
      <c r="L29" s="1784"/>
      <c r="M29" s="1784"/>
      <c r="N29" s="1784"/>
      <c r="O29" s="1788">
        <f t="shared" si="16"/>
        <v>0</v>
      </c>
      <c r="Q29" s="1788"/>
      <c r="S29" s="1789">
        <f t="shared" si="15"/>
        <v>12414997</v>
      </c>
    </row>
    <row r="30" spans="1:20" s="679" customFormat="1" ht="39.950000000000003" customHeight="1">
      <c r="A30" s="1783" t="s">
        <v>1063</v>
      </c>
      <c r="B30" s="533" t="s">
        <v>1097</v>
      </c>
      <c r="C30" s="533" t="s">
        <v>1084</v>
      </c>
      <c r="D30" s="533" t="s">
        <v>210</v>
      </c>
      <c r="E30" s="533">
        <v>1</v>
      </c>
      <c r="F30" s="1784">
        <f>1808054-1808054</f>
        <v>0</v>
      </c>
      <c r="G30" s="1784"/>
      <c r="H30" s="1785"/>
      <c r="I30" s="1187">
        <f t="shared" si="14"/>
        <v>0</v>
      </c>
      <c r="K30" s="1787"/>
      <c r="L30" s="1784"/>
      <c r="M30" s="1784"/>
      <c r="N30" s="1784"/>
      <c r="O30" s="1788">
        <f t="shared" si="16"/>
        <v>0</v>
      </c>
      <c r="Q30" s="1788"/>
      <c r="S30" s="1213">
        <f t="shared" si="15"/>
        <v>0</v>
      </c>
    </row>
    <row r="31" spans="1:20" s="679" customFormat="1" ht="39.950000000000003" customHeight="1">
      <c r="A31" s="1783" t="s">
        <v>1063</v>
      </c>
      <c r="B31" s="533" t="s">
        <v>1098</v>
      </c>
      <c r="C31" s="533" t="s">
        <v>1084</v>
      </c>
      <c r="D31" s="533" t="s">
        <v>210</v>
      </c>
      <c r="E31" s="533">
        <v>1</v>
      </c>
      <c r="F31" s="1784">
        <f>1037950-154583</f>
        <v>883367</v>
      </c>
      <c r="G31" s="1784"/>
      <c r="H31" s="1785"/>
      <c r="I31" s="1786">
        <f t="shared" si="14"/>
        <v>883367</v>
      </c>
      <c r="K31" s="1787"/>
      <c r="L31" s="1784"/>
      <c r="M31" s="1784"/>
      <c r="N31" s="1784"/>
      <c r="O31" s="1788">
        <f t="shared" si="16"/>
        <v>0</v>
      </c>
      <c r="Q31" s="1788"/>
      <c r="S31" s="1789">
        <f t="shared" si="15"/>
        <v>883367</v>
      </c>
    </row>
    <row r="32" spans="1:20" s="682" customFormat="1" ht="39.950000000000003" customHeight="1">
      <c r="A32" s="1649" t="s">
        <v>1063</v>
      </c>
      <c r="B32" s="30" t="s">
        <v>1087</v>
      </c>
      <c r="C32" s="1779" t="s">
        <v>1084</v>
      </c>
      <c r="D32" s="30" t="s">
        <v>210</v>
      </c>
      <c r="E32" s="30">
        <v>1</v>
      </c>
      <c r="F32" s="1935">
        <f>8353276-4144746</f>
        <v>4208530</v>
      </c>
      <c r="G32" s="768"/>
      <c r="H32" s="1780"/>
      <c r="I32" s="1786">
        <f t="shared" ref="I32:I36" si="17">SUM(F32:H32)</f>
        <v>4208530</v>
      </c>
      <c r="K32" s="1200"/>
      <c r="L32" s="681"/>
      <c r="M32" s="681"/>
      <c r="N32" s="681"/>
      <c r="O32" s="1788">
        <f t="shared" si="16"/>
        <v>0</v>
      </c>
      <c r="Q32" s="1788"/>
      <c r="S32" s="1789">
        <f t="shared" si="15"/>
        <v>4208530</v>
      </c>
    </row>
    <row r="33" spans="1:20" s="682" customFormat="1" ht="39.950000000000003" customHeight="1">
      <c r="A33" s="1649" t="s">
        <v>1063</v>
      </c>
      <c r="B33" s="30" t="s">
        <v>1099</v>
      </c>
      <c r="C33" s="1779" t="s">
        <v>1084</v>
      </c>
      <c r="D33" s="30" t="s">
        <v>210</v>
      </c>
      <c r="E33" s="30">
        <v>1</v>
      </c>
      <c r="F33" s="1935">
        <f>8173433-484600</f>
        <v>7688833</v>
      </c>
      <c r="G33" s="768"/>
      <c r="H33" s="1780"/>
      <c r="I33" s="1786">
        <f t="shared" si="14"/>
        <v>7688833</v>
      </c>
      <c r="K33" s="1200"/>
      <c r="L33" s="681"/>
      <c r="M33" s="681"/>
      <c r="N33" s="681"/>
      <c r="O33" s="1788">
        <f t="shared" si="16"/>
        <v>0</v>
      </c>
      <c r="Q33" s="1788"/>
      <c r="S33" s="1789">
        <f t="shared" si="15"/>
        <v>7688833</v>
      </c>
    </row>
    <row r="34" spans="1:20" s="682" customFormat="1" ht="39.950000000000003" customHeight="1">
      <c r="A34" s="1649" t="s">
        <v>1085</v>
      </c>
      <c r="B34" s="30" t="s">
        <v>1095</v>
      </c>
      <c r="C34" s="30">
        <v>196106</v>
      </c>
      <c r="D34" s="30" t="s">
        <v>210</v>
      </c>
      <c r="E34" s="30">
        <v>1</v>
      </c>
      <c r="F34" s="768">
        <v>21505680</v>
      </c>
      <c r="G34" s="768"/>
      <c r="H34" s="768"/>
      <c r="I34" s="1786">
        <f t="shared" si="17"/>
        <v>21505680</v>
      </c>
      <c r="K34" s="1200"/>
      <c r="L34" s="681"/>
      <c r="M34" s="681"/>
      <c r="N34" s="681"/>
      <c r="O34" s="1788">
        <f t="shared" si="16"/>
        <v>0</v>
      </c>
      <c r="Q34" s="1788"/>
      <c r="S34" s="1789">
        <f t="shared" si="15"/>
        <v>21505680</v>
      </c>
    </row>
    <row r="35" spans="1:20" s="682" customFormat="1" ht="39.950000000000003" customHeight="1">
      <c r="A35" s="1649" t="s">
        <v>1085</v>
      </c>
      <c r="B35" s="30" t="s">
        <v>1096</v>
      </c>
      <c r="C35" s="30">
        <v>196104</v>
      </c>
      <c r="D35" s="30" t="s">
        <v>210</v>
      </c>
      <c r="E35" s="30">
        <v>1</v>
      </c>
      <c r="F35" s="768">
        <v>3383480</v>
      </c>
      <c r="G35" s="768"/>
      <c r="H35" s="1782"/>
      <c r="I35" s="1786">
        <f t="shared" si="17"/>
        <v>3383480</v>
      </c>
      <c r="K35" s="1200"/>
      <c r="L35" s="681"/>
      <c r="M35" s="681"/>
      <c r="N35" s="681"/>
      <c r="O35" s="1788">
        <f t="shared" si="16"/>
        <v>0</v>
      </c>
      <c r="Q35" s="1788"/>
      <c r="S35" s="1789">
        <f t="shared" si="15"/>
        <v>3383480</v>
      </c>
    </row>
    <row r="36" spans="1:20" s="680" customFormat="1" ht="39.950000000000003" customHeight="1">
      <c r="A36" s="1649" t="s">
        <v>1100</v>
      </c>
      <c r="B36" s="30" t="s">
        <v>237</v>
      </c>
      <c r="C36" s="30">
        <v>83990</v>
      </c>
      <c r="D36" s="30" t="s">
        <v>210</v>
      </c>
      <c r="E36" s="30">
        <v>1</v>
      </c>
      <c r="F36" s="768"/>
      <c r="G36" s="768"/>
      <c r="H36" s="768"/>
      <c r="I36" s="1187">
        <f t="shared" si="17"/>
        <v>0</v>
      </c>
      <c r="K36" s="1641"/>
      <c r="L36" s="498"/>
      <c r="M36" s="498">
        <f>26756651-1179066-230199</f>
        <v>25347386</v>
      </c>
      <c r="N36" s="498"/>
      <c r="O36" s="1187">
        <f>SUM(K36:N36)</f>
        <v>25347386</v>
      </c>
      <c r="Q36" s="1187"/>
      <c r="S36" s="1213">
        <f t="shared" si="15"/>
        <v>25347386</v>
      </c>
    </row>
    <row r="37" spans="1:20" s="679" customFormat="1" ht="39.950000000000003" customHeight="1">
      <c r="A37" s="1649" t="s">
        <v>980</v>
      </c>
      <c r="B37" s="30" t="s">
        <v>237</v>
      </c>
      <c r="C37" s="30">
        <v>83990</v>
      </c>
      <c r="D37" s="30" t="s">
        <v>208</v>
      </c>
      <c r="E37" s="30">
        <v>6</v>
      </c>
      <c r="F37" s="768">
        <f>30519717-10519717-2932000</f>
        <v>17068000</v>
      </c>
      <c r="G37" s="768"/>
      <c r="H37" s="768"/>
      <c r="I37" s="1187">
        <f t="shared" ref="I37:I38" si="18">SUM(F37:H37)</f>
        <v>17068000</v>
      </c>
      <c r="K37" s="1641"/>
      <c r="L37" s="498"/>
      <c r="M37" s="498"/>
      <c r="N37" s="498"/>
      <c r="O37" s="1187">
        <f t="shared" ref="O37:O39" si="19">SUM(K37:N37)</f>
        <v>0</v>
      </c>
      <c r="Q37" s="1187"/>
      <c r="S37" s="1213">
        <f t="shared" si="15"/>
        <v>17068000</v>
      </c>
    </row>
    <row r="38" spans="1:20" s="679" customFormat="1" ht="39.950000000000003" customHeight="1">
      <c r="A38" s="67" t="s">
        <v>954</v>
      </c>
      <c r="B38" s="30" t="s">
        <v>237</v>
      </c>
      <c r="C38" s="30">
        <v>83990</v>
      </c>
      <c r="D38" s="30" t="s">
        <v>208</v>
      </c>
      <c r="E38" s="30">
        <v>9</v>
      </c>
      <c r="F38" s="498">
        <v>6024000</v>
      </c>
      <c r="G38" s="498"/>
      <c r="H38" s="498"/>
      <c r="I38" s="1187">
        <f t="shared" si="18"/>
        <v>6024000</v>
      </c>
      <c r="K38" s="1641"/>
      <c r="L38" s="498"/>
      <c r="M38" s="498"/>
      <c r="N38" s="498"/>
      <c r="O38" s="1187">
        <f t="shared" si="19"/>
        <v>0</v>
      </c>
      <c r="Q38" s="1187"/>
      <c r="S38" s="1213">
        <f t="shared" si="15"/>
        <v>6024000</v>
      </c>
    </row>
    <row r="39" spans="1:20" s="680" customFormat="1" ht="39.950000000000003" customHeight="1">
      <c r="A39" s="67" t="s">
        <v>485</v>
      </c>
      <c r="B39" s="30" t="s">
        <v>475</v>
      </c>
      <c r="C39" s="30">
        <v>94900</v>
      </c>
      <c r="D39" s="30" t="s">
        <v>210</v>
      </c>
      <c r="E39" s="30">
        <v>1</v>
      </c>
      <c r="F39" s="498">
        <f>190000000-11745</f>
        <v>189988255</v>
      </c>
      <c r="G39" s="498"/>
      <c r="H39" s="1936">
        <f>2936381-11699</f>
        <v>2924682</v>
      </c>
      <c r="I39" s="1187">
        <f>SUM(F39:H39)</f>
        <v>192912937</v>
      </c>
      <c r="K39" s="1641"/>
      <c r="L39" s="498"/>
      <c r="M39" s="498"/>
      <c r="N39" s="498"/>
      <c r="O39" s="1187">
        <f t="shared" si="19"/>
        <v>0</v>
      </c>
      <c r="Q39" s="1187"/>
      <c r="S39" s="1213">
        <f t="shared" si="15"/>
        <v>192912937</v>
      </c>
    </row>
    <row r="40" spans="1:20" s="679" customFormat="1" ht="39.950000000000003" customHeight="1">
      <c r="A40" s="67" t="s">
        <v>1187</v>
      </c>
      <c r="B40" s="67" t="s">
        <v>237</v>
      </c>
      <c r="C40" s="30">
        <v>83990</v>
      </c>
      <c r="D40" s="30"/>
      <c r="E40" s="30"/>
      <c r="F40" s="1935">
        <f>416229997+36000000+64828198+12271554</f>
        <v>529329749</v>
      </c>
      <c r="G40" s="768"/>
      <c r="H40" s="1936">
        <v>4932996</v>
      </c>
      <c r="I40" s="1939">
        <f>SUM(F40:H40)</f>
        <v>534262745</v>
      </c>
      <c r="J40" s="390"/>
      <c r="K40" s="768"/>
      <c r="L40" s="768"/>
      <c r="M40" s="768">
        <f>12922415+304220</f>
        <v>13226635</v>
      </c>
      <c r="N40" s="768">
        <v>51480752</v>
      </c>
      <c r="O40" s="1937">
        <f>SUM(K40:N40)</f>
        <v>64707387</v>
      </c>
      <c r="P40" s="390"/>
      <c r="Q40" s="1937"/>
      <c r="R40" s="2040"/>
      <c r="S40" s="1938">
        <f t="shared" si="15"/>
        <v>598970132</v>
      </c>
      <c r="T40" s="1662"/>
    </row>
    <row r="41" spans="1:20" s="679" customFormat="1" ht="36" customHeight="1">
      <c r="A41" s="2085"/>
      <c r="B41" s="1627"/>
      <c r="C41" s="1627"/>
      <c r="D41" s="1913"/>
      <c r="E41" s="1913"/>
      <c r="F41" s="1935"/>
      <c r="G41" s="768"/>
      <c r="H41" s="1780"/>
      <c r="I41" s="1939">
        <f>SUM(F41:H41)</f>
        <v>0</v>
      </c>
      <c r="J41" s="390"/>
      <c r="K41" s="768"/>
      <c r="L41" s="768"/>
      <c r="M41" s="768"/>
      <c r="N41" s="1994"/>
      <c r="O41" s="1937">
        <f t="shared" ref="O41:O42" si="20">SUM(K41:N41)</f>
        <v>0</v>
      </c>
      <c r="P41" s="829"/>
      <c r="Q41" s="1937"/>
      <c r="R41" s="829"/>
      <c r="S41" s="1938">
        <f t="shared" si="15"/>
        <v>0</v>
      </c>
      <c r="T41" s="1662"/>
    </row>
    <row r="42" spans="1:20" s="679" customFormat="1" ht="36" customHeight="1" thickBot="1">
      <c r="A42" s="2085"/>
      <c r="B42" s="1627"/>
      <c r="C42" s="1627"/>
      <c r="D42" s="1913"/>
      <c r="E42" s="1913"/>
      <c r="F42" s="1935"/>
      <c r="G42" s="768"/>
      <c r="H42" s="1780"/>
      <c r="I42" s="1939">
        <f>SUM(F42:H42)</f>
        <v>0</v>
      </c>
      <c r="J42" s="390"/>
      <c r="K42" s="768"/>
      <c r="L42" s="768"/>
      <c r="M42" s="768"/>
      <c r="N42" s="1994"/>
      <c r="O42" s="1937">
        <f t="shared" si="20"/>
        <v>0</v>
      </c>
      <c r="P42" s="829"/>
      <c r="Q42" s="1937"/>
      <c r="R42" s="829"/>
      <c r="S42" s="1938">
        <f t="shared" si="15"/>
        <v>0</v>
      </c>
      <c r="T42" s="1662"/>
    </row>
    <row r="43" spans="1:20" ht="39.950000000000003" customHeight="1" thickBot="1">
      <c r="A43" s="1167" t="s">
        <v>212</v>
      </c>
      <c r="B43" s="1168"/>
      <c r="C43" s="1168"/>
      <c r="D43" s="1168" t="s">
        <v>211</v>
      </c>
      <c r="E43" s="549">
        <v>2</v>
      </c>
      <c r="F43" s="1169">
        <f>+F44</f>
        <v>95000000</v>
      </c>
      <c r="G43" s="1169">
        <f t="shared" ref="G43:H43" si="21">+G44</f>
        <v>0</v>
      </c>
      <c r="H43" s="1169">
        <f t="shared" si="21"/>
        <v>0</v>
      </c>
      <c r="I43" s="1170">
        <f>+I44</f>
        <v>95000000</v>
      </c>
      <c r="K43" s="1171">
        <f>+K44</f>
        <v>0</v>
      </c>
      <c r="L43" s="1169">
        <f t="shared" ref="L43:N43" si="22">+L44</f>
        <v>0</v>
      </c>
      <c r="M43" s="1169">
        <f t="shared" si="22"/>
        <v>0</v>
      </c>
      <c r="N43" s="1169">
        <f t="shared" si="22"/>
        <v>0</v>
      </c>
      <c r="O43" s="1170">
        <f>+O44</f>
        <v>0</v>
      </c>
      <c r="Q43" s="1170">
        <f>+Q44</f>
        <v>0</v>
      </c>
      <c r="S43" s="1166">
        <f>+S44</f>
        <v>95000000</v>
      </c>
    </row>
    <row r="44" spans="1:20" s="418" customFormat="1" ht="39.950000000000003" customHeight="1">
      <c r="A44" s="1177" t="s">
        <v>213</v>
      </c>
      <c r="B44" s="1090"/>
      <c r="C44" s="1090"/>
      <c r="D44" s="1090" t="s">
        <v>210</v>
      </c>
      <c r="E44" s="1090">
        <v>2</v>
      </c>
      <c r="F44" s="1165">
        <f>SUM(F45:F45)</f>
        <v>95000000</v>
      </c>
      <c r="G44" s="1165">
        <f>SUM(G45:G45)</f>
        <v>0</v>
      </c>
      <c r="H44" s="1165">
        <f t="shared" ref="H44" si="23">SUM(H45:H45)</f>
        <v>0</v>
      </c>
      <c r="I44" s="1178">
        <f>SUM(I45:I45)</f>
        <v>95000000</v>
      </c>
      <c r="K44" s="1196">
        <f>SUM(K45:K45)</f>
        <v>0</v>
      </c>
      <c r="L44" s="1165">
        <f t="shared" ref="L44:N44" si="24">SUM(L45:L45)</f>
        <v>0</v>
      </c>
      <c r="M44" s="1165">
        <f t="shared" si="24"/>
        <v>0</v>
      </c>
      <c r="N44" s="1165">
        <f t="shared" si="24"/>
        <v>0</v>
      </c>
      <c r="O44" s="1178">
        <f>SUM(O45:O45)</f>
        <v>0</v>
      </c>
      <c r="Q44" s="1178">
        <f>SUM(Q45:Q45)</f>
        <v>0</v>
      </c>
      <c r="S44" s="1207">
        <f>SUM(S45:S45)</f>
        <v>95000000</v>
      </c>
    </row>
    <row r="45" spans="1:20" s="679" customFormat="1" ht="39.950000000000003" customHeight="1" thickBot="1">
      <c r="A45" s="1183" t="s">
        <v>486</v>
      </c>
      <c r="B45" s="537" t="s">
        <v>237</v>
      </c>
      <c r="C45" s="537">
        <v>83931</v>
      </c>
      <c r="D45" s="537" t="s">
        <v>210</v>
      </c>
      <c r="E45" s="537">
        <v>1</v>
      </c>
      <c r="F45" s="1164">
        <v>95000000</v>
      </c>
      <c r="G45" s="537"/>
      <c r="H45" s="537"/>
      <c r="I45" s="1185">
        <f>SUM(F45:H45)</f>
        <v>95000000</v>
      </c>
      <c r="K45" s="1202"/>
      <c r="L45" s="1164"/>
      <c r="M45" s="1164"/>
      <c r="N45" s="1164"/>
      <c r="O45" s="1185">
        <f>SUM(K45:N45)</f>
        <v>0</v>
      </c>
      <c r="Q45" s="1185"/>
      <c r="S45" s="1212">
        <f>+I45+O45+Q45</f>
        <v>95000000</v>
      </c>
    </row>
    <row r="46" spans="1:20" s="418" customFormat="1" ht="39.950000000000003" customHeight="1" thickBot="1">
      <c r="A46" s="1167" t="s">
        <v>214</v>
      </c>
      <c r="B46" s="1168"/>
      <c r="C46" s="1168"/>
      <c r="D46" s="549" t="s">
        <v>211</v>
      </c>
      <c r="E46" s="549">
        <v>2</v>
      </c>
      <c r="F46" s="1169">
        <f>+F47</f>
        <v>520855538.72399998</v>
      </c>
      <c r="G46" s="1169">
        <f t="shared" ref="G46:H46" si="25">+G47</f>
        <v>0</v>
      </c>
      <c r="H46" s="1169">
        <f t="shared" si="25"/>
        <v>28930431</v>
      </c>
      <c r="I46" s="1170">
        <f>+I47</f>
        <v>549785969.72399998</v>
      </c>
      <c r="K46" s="1171">
        <f>+K47</f>
        <v>0</v>
      </c>
      <c r="L46" s="1169">
        <f t="shared" ref="L46:N46" si="26">+L47</f>
        <v>0</v>
      </c>
      <c r="M46" s="1169">
        <f t="shared" si="26"/>
        <v>0</v>
      </c>
      <c r="N46" s="1169">
        <f t="shared" si="26"/>
        <v>0</v>
      </c>
      <c r="O46" s="1170">
        <f>+O47</f>
        <v>0</v>
      </c>
      <c r="Q46" s="1170">
        <f>+Q47</f>
        <v>600000000</v>
      </c>
      <c r="S46" s="1166">
        <f>+S47</f>
        <v>1149785969.724</v>
      </c>
    </row>
    <row r="47" spans="1:20" ht="39.950000000000003" customHeight="1" thickBot="1">
      <c r="A47" s="1177" t="s">
        <v>454</v>
      </c>
      <c r="B47" s="1090"/>
      <c r="C47" s="1090"/>
      <c r="D47" s="1090" t="s">
        <v>211</v>
      </c>
      <c r="E47" s="1090">
        <v>2</v>
      </c>
      <c r="F47" s="1165">
        <f>SUM(F48:F55)</f>
        <v>520855538.72399998</v>
      </c>
      <c r="G47" s="1165">
        <f t="shared" ref="G47" si="27">SUM(G48:G49)</f>
        <v>0</v>
      </c>
      <c r="H47" s="1165">
        <f>SUM(H48:H55)</f>
        <v>28930431</v>
      </c>
      <c r="I47" s="1178">
        <f>SUM(I48:I55)</f>
        <v>549785969.72399998</v>
      </c>
      <c r="K47" s="1645">
        <f>SUM(K48:K49)</f>
        <v>0</v>
      </c>
      <c r="L47" s="1646">
        <f t="shared" ref="L47:N47" si="28">SUM(L48:L49)</f>
        <v>0</v>
      </c>
      <c r="M47" s="1646">
        <f>SUM(M48:M55)</f>
        <v>0</v>
      </c>
      <c r="N47" s="1646">
        <f t="shared" si="28"/>
        <v>0</v>
      </c>
      <c r="O47" s="1647">
        <f>SUM(O48:O55)</f>
        <v>0</v>
      </c>
      <c r="Q47" s="1647">
        <f>SUM(Q48:Q55)</f>
        <v>600000000</v>
      </c>
      <c r="S47" s="1207">
        <f>SUM(S48:S55)</f>
        <v>1149785969.724</v>
      </c>
    </row>
    <row r="48" spans="1:20" s="680" customFormat="1" ht="39.950000000000003" customHeight="1">
      <c r="A48" s="67" t="s">
        <v>981</v>
      </c>
      <c r="B48" s="30" t="s">
        <v>237</v>
      </c>
      <c r="C48" s="30">
        <v>83931</v>
      </c>
      <c r="D48" s="30" t="s">
        <v>210</v>
      </c>
      <c r="E48" s="30">
        <v>1</v>
      </c>
      <c r="F48" s="768">
        <f>377262667-18</f>
        <v>377262649</v>
      </c>
      <c r="G48" s="768"/>
      <c r="H48" s="768"/>
      <c r="I48" s="1186">
        <f>SUM(F48:H48)</f>
        <v>377262649</v>
      </c>
      <c r="K48" s="1940"/>
      <c r="L48" s="1941"/>
      <c r="M48" s="1941"/>
      <c r="N48" s="1941"/>
      <c r="O48" s="1942">
        <f>SUM(K48:N48)</f>
        <v>0</v>
      </c>
      <c r="Q48" s="1942"/>
      <c r="S48" s="1943">
        <f t="shared" ref="S48:S51" si="29">+I48+O48+Q48</f>
        <v>377262649</v>
      </c>
    </row>
    <row r="49" spans="1:19" s="679" customFormat="1" ht="39.950000000000003" customHeight="1">
      <c r="A49" s="1649" t="s">
        <v>982</v>
      </c>
      <c r="B49" s="30" t="s">
        <v>237</v>
      </c>
      <c r="C49" s="30">
        <v>83931</v>
      </c>
      <c r="D49" s="30" t="s">
        <v>210</v>
      </c>
      <c r="E49" s="30">
        <v>1</v>
      </c>
      <c r="F49" s="681">
        <v>36625348.723999999</v>
      </c>
      <c r="G49" s="768"/>
      <c r="H49" s="768"/>
      <c r="I49" s="1185">
        <f>SUM(F49:H49)</f>
        <v>36625348.723999999</v>
      </c>
      <c r="K49" s="1201"/>
      <c r="L49" s="768"/>
      <c r="M49" s="768"/>
      <c r="N49" s="768"/>
      <c r="O49" s="1186">
        <f>SUM(K49:N49)</f>
        <v>0</v>
      </c>
      <c r="Q49" s="1186"/>
      <c r="S49" s="1212">
        <f t="shared" si="29"/>
        <v>36625348.723999999</v>
      </c>
    </row>
    <row r="50" spans="1:19" s="679" customFormat="1" ht="39.950000000000003" customHeight="1">
      <c r="A50" s="1649" t="s">
        <v>1064</v>
      </c>
      <c r="B50" s="30" t="s">
        <v>237</v>
      </c>
      <c r="C50" s="30">
        <v>83990</v>
      </c>
      <c r="D50" s="30" t="s">
        <v>210</v>
      </c>
      <c r="E50" s="30">
        <v>1</v>
      </c>
      <c r="F50" s="768"/>
      <c r="G50" s="768"/>
      <c r="H50" s="681">
        <v>3662535</v>
      </c>
      <c r="I50" s="1185">
        <f t="shared" ref="I50:I55" si="30">SUM(F50:H50)</f>
        <v>3662535</v>
      </c>
      <c r="K50" s="1201"/>
      <c r="L50" s="768"/>
      <c r="M50" s="768"/>
      <c r="N50" s="768"/>
      <c r="O50" s="1186">
        <f t="shared" ref="O50:O55" si="31">SUM(K50:N50)</f>
        <v>0</v>
      </c>
      <c r="Q50" s="1186"/>
      <c r="S50" s="1212">
        <f t="shared" si="29"/>
        <v>3662535</v>
      </c>
    </row>
    <row r="51" spans="1:19" s="679" customFormat="1" ht="39.950000000000003" customHeight="1">
      <c r="A51" s="1649" t="s">
        <v>1065</v>
      </c>
      <c r="B51" s="30" t="s">
        <v>237</v>
      </c>
      <c r="C51" s="30">
        <v>83931</v>
      </c>
      <c r="D51" s="30" t="s">
        <v>210</v>
      </c>
      <c r="E51" s="30">
        <v>1</v>
      </c>
      <c r="F51" s="681">
        <f>33831463</f>
        <v>33831463</v>
      </c>
      <c r="G51" s="768"/>
      <c r="H51" s="768"/>
      <c r="I51" s="1185">
        <f t="shared" si="30"/>
        <v>33831463</v>
      </c>
      <c r="K51" s="1201"/>
      <c r="L51" s="768"/>
      <c r="M51" s="768"/>
      <c r="N51" s="768"/>
      <c r="O51" s="1186">
        <f t="shared" si="31"/>
        <v>0</v>
      </c>
      <c r="Q51" s="1186"/>
      <c r="S51" s="1212">
        <f t="shared" si="29"/>
        <v>33831463</v>
      </c>
    </row>
    <row r="52" spans="1:19" s="679" customFormat="1" ht="39.950000000000003" customHeight="1">
      <c r="A52" s="1649" t="s">
        <v>1066</v>
      </c>
      <c r="B52" s="30" t="s">
        <v>237</v>
      </c>
      <c r="C52" s="30">
        <v>83990</v>
      </c>
      <c r="D52" s="30" t="s">
        <v>210</v>
      </c>
      <c r="E52" s="30">
        <v>1</v>
      </c>
      <c r="F52" s="768"/>
      <c r="G52" s="768"/>
      <c r="H52" s="681">
        <v>9096388</v>
      </c>
      <c r="I52" s="1185">
        <f t="shared" si="30"/>
        <v>9096388</v>
      </c>
      <c r="K52" s="1201"/>
      <c r="L52" s="768"/>
      <c r="M52" s="768"/>
      <c r="N52" s="768"/>
      <c r="O52" s="1186">
        <f t="shared" si="31"/>
        <v>0</v>
      </c>
      <c r="Q52" s="1186"/>
      <c r="S52" s="1212">
        <f t="shared" ref="S52:S55" si="32">+I52+O52+Q52</f>
        <v>9096388</v>
      </c>
    </row>
    <row r="53" spans="1:19" s="679" customFormat="1" ht="39.950000000000003" customHeight="1">
      <c r="A53" s="1649" t="s">
        <v>1197</v>
      </c>
      <c r="B53" s="30" t="s">
        <v>237</v>
      </c>
      <c r="C53" s="30">
        <v>83931</v>
      </c>
      <c r="D53" s="30" t="s">
        <v>210</v>
      </c>
      <c r="E53" s="30">
        <v>1</v>
      </c>
      <c r="F53" s="768"/>
      <c r="G53" s="768"/>
      <c r="H53" s="681"/>
      <c r="I53" s="1185"/>
      <c r="K53" s="1199"/>
      <c r="L53" s="212"/>
      <c r="M53" s="212"/>
      <c r="N53" s="212"/>
      <c r="O53" s="1186"/>
      <c r="Q53" s="1186">
        <v>545639118</v>
      </c>
      <c r="S53" s="1212">
        <f t="shared" si="32"/>
        <v>545639118</v>
      </c>
    </row>
    <row r="54" spans="1:19" s="679" customFormat="1" ht="39.950000000000003" customHeight="1">
      <c r="A54" s="1649" t="s">
        <v>1198</v>
      </c>
      <c r="B54" s="30" t="s">
        <v>237</v>
      </c>
      <c r="C54" s="30">
        <v>83990</v>
      </c>
      <c r="D54" s="30" t="s">
        <v>210</v>
      </c>
      <c r="E54" s="30">
        <v>1</v>
      </c>
      <c r="F54" s="768"/>
      <c r="G54" s="768"/>
      <c r="H54" s="681"/>
      <c r="I54" s="1185"/>
      <c r="K54" s="1199"/>
      <c r="L54" s="212"/>
      <c r="M54" s="212"/>
      <c r="N54" s="212"/>
      <c r="O54" s="1186"/>
      <c r="Q54" s="1186">
        <v>54360882</v>
      </c>
      <c r="S54" s="1212">
        <f t="shared" si="32"/>
        <v>54360882</v>
      </c>
    </row>
    <row r="55" spans="1:19" s="679" customFormat="1" ht="39.950000000000003" customHeight="1" thickBot="1">
      <c r="A55" s="1649" t="s">
        <v>1067</v>
      </c>
      <c r="B55" s="30" t="s">
        <v>237</v>
      </c>
      <c r="C55" s="30">
        <v>83931</v>
      </c>
      <c r="D55" s="30" t="s">
        <v>210</v>
      </c>
      <c r="E55" s="30">
        <v>1</v>
      </c>
      <c r="F55" s="681">
        <f>43562449+6840830+22732799</f>
        <v>73136078</v>
      </c>
      <c r="G55" s="768"/>
      <c r="H55" s="681">
        <f>32140000+14465562-H52-5612298-11727-15713641</f>
        <v>16171508</v>
      </c>
      <c r="I55" s="1185">
        <f t="shared" si="30"/>
        <v>89307586</v>
      </c>
      <c r="K55" s="1944"/>
      <c r="L55" s="1945"/>
      <c r="M55" s="1945">
        <f>61943349-61943349</f>
        <v>0</v>
      </c>
      <c r="N55" s="1945"/>
      <c r="O55" s="1186">
        <f t="shared" si="31"/>
        <v>0</v>
      </c>
      <c r="Q55" s="1186"/>
      <c r="S55" s="1212">
        <f t="shared" si="32"/>
        <v>89307586</v>
      </c>
    </row>
    <row r="56" spans="1:19" s="418" customFormat="1" ht="39.950000000000003" customHeight="1" thickBot="1">
      <c r="A56" s="1167" t="s">
        <v>34</v>
      </c>
      <c r="B56" s="1168"/>
      <c r="C56" s="1168"/>
      <c r="D56" s="549" t="s">
        <v>215</v>
      </c>
      <c r="E56" s="549">
        <v>83</v>
      </c>
      <c r="F56" s="1169">
        <f>+F57</f>
        <v>15293340</v>
      </c>
      <c r="G56" s="1169">
        <f t="shared" ref="G56:H56" si="33">+G57</f>
        <v>0</v>
      </c>
      <c r="H56" s="1169">
        <f t="shared" si="33"/>
        <v>0</v>
      </c>
      <c r="I56" s="1170">
        <f>+I57</f>
        <v>15293340</v>
      </c>
      <c r="K56" s="1644">
        <f>+K57</f>
        <v>0</v>
      </c>
      <c r="L56" s="1642">
        <f t="shared" ref="L56:N56" si="34">+L57</f>
        <v>0</v>
      </c>
      <c r="M56" s="1642">
        <f t="shared" si="34"/>
        <v>0</v>
      </c>
      <c r="N56" s="1642">
        <f t="shared" si="34"/>
        <v>0</v>
      </c>
      <c r="O56" s="1643">
        <f>+O57</f>
        <v>0</v>
      </c>
      <c r="Q56" s="1643">
        <f>+Q57</f>
        <v>0</v>
      </c>
      <c r="S56" s="1166">
        <f>+S57</f>
        <v>15293340</v>
      </c>
    </row>
    <row r="57" spans="1:19" s="418" customFormat="1" ht="39.950000000000003" customHeight="1">
      <c r="A57" s="1177" t="s">
        <v>216</v>
      </c>
      <c r="B57" s="1090"/>
      <c r="C57" s="1090"/>
      <c r="D57" s="1090" t="s">
        <v>210</v>
      </c>
      <c r="E57" s="1090">
        <v>1</v>
      </c>
      <c r="F57" s="1165">
        <f>SUM(F58:F61)</f>
        <v>15293340</v>
      </c>
      <c r="G57" s="1165">
        <f t="shared" ref="G57:H57" si="35">SUM(G58:G61)</f>
        <v>0</v>
      </c>
      <c r="H57" s="1165">
        <f t="shared" si="35"/>
        <v>0</v>
      </c>
      <c r="I57" s="1178">
        <f>SUM(I58:I61)</f>
        <v>15293340</v>
      </c>
      <c r="K57" s="1196">
        <f>SUM(K58:K61)</f>
        <v>0</v>
      </c>
      <c r="L57" s="1165">
        <f t="shared" ref="L57:N57" si="36">SUM(L58:L61)</f>
        <v>0</v>
      </c>
      <c r="M57" s="1165">
        <f t="shared" si="36"/>
        <v>0</v>
      </c>
      <c r="N57" s="1165">
        <f t="shared" si="36"/>
        <v>0</v>
      </c>
      <c r="O57" s="1178">
        <f>SUM(O58:O61)</f>
        <v>0</v>
      </c>
      <c r="Q57" s="1178">
        <f>SUM(Q58:Q61)</f>
        <v>0</v>
      </c>
      <c r="S57" s="1207">
        <f>SUM(S58:S61)</f>
        <v>15293340</v>
      </c>
    </row>
    <row r="58" spans="1:19" s="680" customFormat="1" ht="39.950000000000003" customHeight="1">
      <c r="A58" s="1649" t="s">
        <v>983</v>
      </c>
      <c r="B58" s="30" t="s">
        <v>237</v>
      </c>
      <c r="C58" s="30">
        <v>83931</v>
      </c>
      <c r="D58" s="30" t="s">
        <v>487</v>
      </c>
      <c r="E58" s="30">
        <v>1</v>
      </c>
      <c r="F58" s="681">
        <f>26606000-26606000</f>
        <v>0</v>
      </c>
      <c r="G58" s="768"/>
      <c r="H58" s="768"/>
      <c r="I58" s="1187">
        <f>SUM(F58:H58)</f>
        <v>0</v>
      </c>
      <c r="K58" s="1201"/>
      <c r="L58" s="768"/>
      <c r="M58" s="768"/>
      <c r="N58" s="768"/>
      <c r="O58" s="1187">
        <f>SUM(K58:N58)</f>
        <v>0</v>
      </c>
      <c r="Q58" s="1187"/>
      <c r="S58" s="1213">
        <f t="shared" ref="S58:S59" si="37">+I58+O58+Q58</f>
        <v>0</v>
      </c>
    </row>
    <row r="59" spans="1:19" s="680" customFormat="1" ht="39.950000000000003" customHeight="1">
      <c r="A59" s="1649" t="s">
        <v>920</v>
      </c>
      <c r="B59" s="30" t="s">
        <v>237</v>
      </c>
      <c r="C59" s="30">
        <v>83931</v>
      </c>
      <c r="D59" s="30" t="s">
        <v>488</v>
      </c>
      <c r="E59" s="30">
        <v>1</v>
      </c>
      <c r="F59" s="681">
        <v>0</v>
      </c>
      <c r="G59" s="768"/>
      <c r="H59" s="768"/>
      <c r="I59" s="1187">
        <f>SUM(F59:H59)</f>
        <v>0</v>
      </c>
      <c r="K59" s="1201"/>
      <c r="L59" s="768"/>
      <c r="M59" s="768"/>
      <c r="N59" s="768"/>
      <c r="O59" s="1187">
        <f t="shared" ref="O59:O61" si="38">SUM(K59:N59)</f>
        <v>0</v>
      </c>
      <c r="Q59" s="1187"/>
      <c r="S59" s="1213">
        <f t="shared" si="37"/>
        <v>0</v>
      </c>
    </row>
    <row r="60" spans="1:19" s="679" customFormat="1" ht="39.950000000000003" customHeight="1">
      <c r="A60" s="67" t="s">
        <v>984</v>
      </c>
      <c r="B60" s="30" t="s">
        <v>237</v>
      </c>
      <c r="C60" s="30">
        <v>83931</v>
      </c>
      <c r="D60" s="30" t="s">
        <v>488</v>
      </c>
      <c r="E60" s="30">
        <v>1</v>
      </c>
      <c r="F60" s="768">
        <f>30120000-30120000</f>
        <v>0</v>
      </c>
      <c r="G60" s="768"/>
      <c r="H60" s="768"/>
      <c r="I60" s="1187">
        <f>SUM(F60:H60)</f>
        <v>0</v>
      </c>
      <c r="K60" s="1201"/>
      <c r="L60" s="768"/>
      <c r="M60" s="768"/>
      <c r="N60" s="768"/>
      <c r="O60" s="1187">
        <f t="shared" si="38"/>
        <v>0</v>
      </c>
      <c r="Q60" s="1187"/>
      <c r="S60" s="1213">
        <f>+I60+O60+Q60</f>
        <v>0</v>
      </c>
    </row>
    <row r="61" spans="1:19" s="679" customFormat="1" ht="39.950000000000003" customHeight="1" thickBot="1">
      <c r="A61" s="2027" t="s">
        <v>985</v>
      </c>
      <c r="B61" s="537" t="s">
        <v>237</v>
      </c>
      <c r="C61" s="537">
        <v>83931</v>
      </c>
      <c r="D61" s="537" t="s">
        <v>487</v>
      </c>
      <c r="E61" s="537">
        <v>1</v>
      </c>
      <c r="F61" s="212">
        <f>17933680-2640340</f>
        <v>15293340</v>
      </c>
      <c r="G61" s="212"/>
      <c r="H61" s="212">
        <f>7126477-7126477</f>
        <v>0</v>
      </c>
      <c r="I61" s="1937">
        <f>SUM(F61:H61)</f>
        <v>15293340</v>
      </c>
      <c r="K61" s="1199"/>
      <c r="L61" s="212"/>
      <c r="M61" s="212"/>
      <c r="N61" s="212"/>
      <c r="O61" s="1937">
        <f t="shared" si="38"/>
        <v>0</v>
      </c>
      <c r="Q61" s="1937"/>
      <c r="S61" s="1938">
        <f>+I61+O61+Q61</f>
        <v>15293340</v>
      </c>
    </row>
    <row r="62" spans="1:19" s="418" customFormat="1" ht="39.950000000000003" customHeight="1" thickBot="1">
      <c r="A62" s="1176" t="s">
        <v>35</v>
      </c>
      <c r="B62" s="1100"/>
      <c r="C62" s="1100"/>
      <c r="D62" s="1100" t="s">
        <v>215</v>
      </c>
      <c r="E62" s="562">
        <v>100</v>
      </c>
      <c r="F62" s="1174">
        <f t="shared" ref="F62:H62" si="39">+F63</f>
        <v>0</v>
      </c>
      <c r="G62" s="1174">
        <f t="shared" si="39"/>
        <v>0</v>
      </c>
      <c r="H62" s="1174">
        <f t="shared" si="39"/>
        <v>13280342</v>
      </c>
      <c r="I62" s="1175">
        <f>+I63</f>
        <v>13280342</v>
      </c>
      <c r="K62" s="1173">
        <f>+K63</f>
        <v>0</v>
      </c>
      <c r="L62" s="1174">
        <f t="shared" ref="L62:N62" si="40">+L63</f>
        <v>0</v>
      </c>
      <c r="M62" s="1174">
        <f t="shared" si="40"/>
        <v>0</v>
      </c>
      <c r="N62" s="1174">
        <f t="shared" si="40"/>
        <v>0</v>
      </c>
      <c r="O62" s="1175">
        <f>+O63</f>
        <v>0</v>
      </c>
      <c r="Q62" s="1175">
        <f>+Q63</f>
        <v>0</v>
      </c>
      <c r="S62" s="1172">
        <f>+S63</f>
        <v>13280342</v>
      </c>
    </row>
    <row r="63" spans="1:19" s="418" customFormat="1" ht="39.950000000000003" customHeight="1">
      <c r="A63" s="1177" t="s">
        <v>217</v>
      </c>
      <c r="B63" s="1090"/>
      <c r="C63" s="1090"/>
      <c r="D63" s="1090" t="s">
        <v>210</v>
      </c>
      <c r="E63" s="1090">
        <v>1</v>
      </c>
      <c r="F63" s="1165">
        <f>SUM(F64:F64)</f>
        <v>0</v>
      </c>
      <c r="G63" s="1165">
        <f>SUM(G64:G64)</f>
        <v>0</v>
      </c>
      <c r="H63" s="1165">
        <f>SUM(H64:H64)</f>
        <v>13280342</v>
      </c>
      <c r="I63" s="1178">
        <f>SUM(I64:I64)</f>
        <v>13280342</v>
      </c>
      <c r="K63" s="1196">
        <f>SUM(K64:K64)</f>
        <v>0</v>
      </c>
      <c r="L63" s="1165">
        <f t="shared" ref="L63:N63" si="41">SUM(L64:L64)</f>
        <v>0</v>
      </c>
      <c r="M63" s="1165">
        <f t="shared" si="41"/>
        <v>0</v>
      </c>
      <c r="N63" s="1165">
        <f t="shared" si="41"/>
        <v>0</v>
      </c>
      <c r="O63" s="1178">
        <f>SUM(O64:O64)</f>
        <v>0</v>
      </c>
      <c r="Q63" s="1178">
        <f>SUM(Q64:Q64)</f>
        <v>0</v>
      </c>
      <c r="S63" s="1207">
        <f>SUM(S64:S64)</f>
        <v>13280342</v>
      </c>
    </row>
    <row r="64" spans="1:19" s="680" customFormat="1" ht="39.950000000000003" customHeight="1" thickBot="1">
      <c r="A64" s="1649" t="s">
        <v>1068</v>
      </c>
      <c r="B64" s="30" t="s">
        <v>237</v>
      </c>
      <c r="C64" s="30">
        <v>83990</v>
      </c>
      <c r="D64" s="30" t="s">
        <v>208</v>
      </c>
      <c r="E64" s="30">
        <v>5</v>
      </c>
      <c r="F64" s="768"/>
      <c r="G64" s="768"/>
      <c r="H64" s="681">
        <f>18525738-5245396</f>
        <v>13280342</v>
      </c>
      <c r="I64" s="1184">
        <f>SUM(F64:H64)</f>
        <v>13280342</v>
      </c>
      <c r="K64" s="1946"/>
      <c r="L64" s="537"/>
      <c r="M64" s="537"/>
      <c r="N64" s="537"/>
      <c r="O64" s="1184">
        <f>SUM(K64:N64)</f>
        <v>0</v>
      </c>
      <c r="Q64" s="1184"/>
      <c r="S64" s="1211">
        <f>+I64+O64+Q64</f>
        <v>13280342</v>
      </c>
    </row>
    <row r="65" spans="1:19" s="418" customFormat="1" ht="39.950000000000003" customHeight="1" thickBot="1">
      <c r="A65" s="1176" t="s">
        <v>218</v>
      </c>
      <c r="B65" s="1100"/>
      <c r="C65" s="1100"/>
      <c r="D65" s="562" t="s">
        <v>215</v>
      </c>
      <c r="E65" s="566">
        <v>100</v>
      </c>
      <c r="F65" s="1174">
        <f>+F66+F70+F85</f>
        <v>868023018</v>
      </c>
      <c r="G65" s="1174">
        <f>+G66+G70+G85</f>
        <v>70646248</v>
      </c>
      <c r="H65" s="1174">
        <f>+H66+H70+H85</f>
        <v>122799703</v>
      </c>
      <c r="I65" s="1175">
        <f>+I66+I70+I85</f>
        <v>1061468969</v>
      </c>
      <c r="K65" s="1173">
        <f>+K66+K70+K85</f>
        <v>9480578</v>
      </c>
      <c r="L65" s="1174">
        <f>+L66+L70+L85</f>
        <v>0</v>
      </c>
      <c r="M65" s="1174">
        <f>+M66+M70+M85</f>
        <v>639718672</v>
      </c>
      <c r="N65" s="1174">
        <f>+N66+N70+N85</f>
        <v>4519248</v>
      </c>
      <c r="O65" s="1175">
        <f>+O66+O70+O85</f>
        <v>653718498</v>
      </c>
      <c r="Q65" s="1175">
        <f>+Q66+Q70+Q85</f>
        <v>0</v>
      </c>
      <c r="S65" s="1172">
        <f>+S66+S70+S85</f>
        <v>1715187467</v>
      </c>
    </row>
    <row r="66" spans="1:19" s="418" customFormat="1" ht="39.950000000000003" customHeight="1">
      <c r="A66" s="1177" t="s">
        <v>219</v>
      </c>
      <c r="B66" s="1090"/>
      <c r="C66" s="1090"/>
      <c r="D66" s="1090" t="s">
        <v>210</v>
      </c>
      <c r="E66" s="1090">
        <v>1</v>
      </c>
      <c r="F66" s="1165">
        <f>SUM(F67:F69)</f>
        <v>96963095</v>
      </c>
      <c r="G66" s="1165">
        <f>SUM(G67:G69)</f>
        <v>0</v>
      </c>
      <c r="H66" s="1165">
        <f>SUM(H67:H69)</f>
        <v>0</v>
      </c>
      <c r="I66" s="1178">
        <f>SUM(I67:I69)</f>
        <v>96963095</v>
      </c>
      <c r="K66" s="1196">
        <f>SUM(K67:K69)</f>
        <v>0</v>
      </c>
      <c r="L66" s="1165">
        <f>SUM(L67:L69)</f>
        <v>0</v>
      </c>
      <c r="M66" s="1165">
        <f>SUM(M67:M69)</f>
        <v>0</v>
      </c>
      <c r="N66" s="1165">
        <f>SUM(N67:N69)</f>
        <v>0</v>
      </c>
      <c r="O66" s="1178">
        <f>SUM(O67:O69)</f>
        <v>0</v>
      </c>
      <c r="Q66" s="1178">
        <f>SUM(Q67:Q69)</f>
        <v>0</v>
      </c>
      <c r="S66" s="1207">
        <f>SUM(S67:S69)</f>
        <v>96963095</v>
      </c>
    </row>
    <row r="67" spans="1:19" s="65" customFormat="1" ht="39.950000000000003" customHeight="1">
      <c r="A67" s="1188" t="s">
        <v>489</v>
      </c>
      <c r="B67" s="11" t="s">
        <v>237</v>
      </c>
      <c r="C67" s="763">
        <v>83990</v>
      </c>
      <c r="D67" s="763" t="s">
        <v>208</v>
      </c>
      <c r="E67" s="763">
        <v>11</v>
      </c>
      <c r="F67" s="681">
        <v>48481548</v>
      </c>
      <c r="G67" s="763"/>
      <c r="H67" s="763"/>
      <c r="I67" s="1189">
        <f>SUM(F67:H67)</f>
        <v>48481548</v>
      </c>
      <c r="K67" s="1200"/>
      <c r="L67" s="681"/>
      <c r="M67" s="681"/>
      <c r="N67" s="681"/>
      <c r="O67" s="1189">
        <f>SUM(K67:N67)</f>
        <v>0</v>
      </c>
      <c r="Q67" s="1189"/>
      <c r="R67" s="1628"/>
      <c r="S67" s="1214">
        <f t="shared" ref="S67:S69" si="42">+I67+O67+Q67</f>
        <v>48481548</v>
      </c>
    </row>
    <row r="68" spans="1:19" s="1628" customFormat="1" ht="39.950000000000003" customHeight="1">
      <c r="A68" s="1649" t="s">
        <v>490</v>
      </c>
      <c r="B68" s="30" t="s">
        <v>237</v>
      </c>
      <c r="C68" s="30">
        <v>83990</v>
      </c>
      <c r="D68" s="30" t="s">
        <v>208</v>
      </c>
      <c r="E68" s="30">
        <v>6</v>
      </c>
      <c r="F68" s="681">
        <v>22037067</v>
      </c>
      <c r="G68" s="768"/>
      <c r="H68" s="768"/>
      <c r="I68" s="1189">
        <f t="shared" ref="I68:I69" si="43">SUM(F68:H68)</f>
        <v>22037067</v>
      </c>
      <c r="K68" s="1201"/>
      <c r="L68" s="768"/>
      <c r="M68" s="768"/>
      <c r="N68" s="768"/>
      <c r="O68" s="1189">
        <f t="shared" ref="O68:O69" si="44">SUM(K68:N68)</f>
        <v>0</v>
      </c>
      <c r="Q68" s="1189"/>
      <c r="S68" s="1214">
        <f t="shared" si="42"/>
        <v>22037067</v>
      </c>
    </row>
    <row r="69" spans="1:19" s="1628" customFormat="1" ht="39.950000000000003" customHeight="1">
      <c r="A69" s="67" t="s">
        <v>491</v>
      </c>
      <c r="B69" s="30" t="s">
        <v>237</v>
      </c>
      <c r="C69" s="30">
        <v>83990</v>
      </c>
      <c r="D69" s="30" t="s">
        <v>208</v>
      </c>
      <c r="E69" s="30">
        <v>6</v>
      </c>
      <c r="F69" s="681">
        <v>26444480</v>
      </c>
      <c r="G69" s="768"/>
      <c r="H69" s="768"/>
      <c r="I69" s="1189">
        <f t="shared" si="43"/>
        <v>26444480</v>
      </c>
      <c r="K69" s="1201"/>
      <c r="L69" s="768"/>
      <c r="M69" s="768"/>
      <c r="N69" s="768"/>
      <c r="O69" s="1189">
        <f t="shared" si="44"/>
        <v>0</v>
      </c>
      <c r="Q69" s="1189"/>
      <c r="S69" s="1214">
        <f t="shared" si="42"/>
        <v>26444480</v>
      </c>
    </row>
    <row r="70" spans="1:19" s="418" customFormat="1" ht="39.950000000000003" customHeight="1">
      <c r="A70" s="1180" t="s">
        <v>220</v>
      </c>
      <c r="B70" s="178"/>
      <c r="C70" s="178"/>
      <c r="D70" s="178" t="s">
        <v>210</v>
      </c>
      <c r="E70" s="178">
        <v>1</v>
      </c>
      <c r="F70" s="497">
        <f>SUM(F71:F84)</f>
        <v>480083728</v>
      </c>
      <c r="G70" s="497">
        <f>SUM(G71:G84)</f>
        <v>0</v>
      </c>
      <c r="H70" s="497">
        <f>SUM(H71:H84)</f>
        <v>0</v>
      </c>
      <c r="I70" s="1181">
        <f>SUM(I71:I84)</f>
        <v>480083728</v>
      </c>
      <c r="K70" s="1198">
        <f>SUM(K71:K84)</f>
        <v>0</v>
      </c>
      <c r="L70" s="497">
        <f>SUM(L71:L84)</f>
        <v>0</v>
      </c>
      <c r="M70" s="497">
        <f>SUM(M71:M84)</f>
        <v>578522892</v>
      </c>
      <c r="N70" s="497">
        <f>SUM(N71:N84)</f>
        <v>0</v>
      </c>
      <c r="O70" s="1181">
        <f>SUM(O71:O84)</f>
        <v>578522892</v>
      </c>
      <c r="Q70" s="1181">
        <f>SUM(Q71:Q84)</f>
        <v>0</v>
      </c>
      <c r="S70" s="1209">
        <f>SUM(S71:S84)</f>
        <v>1058606620</v>
      </c>
    </row>
    <row r="71" spans="1:19" s="65" customFormat="1" ht="39.950000000000003" customHeight="1">
      <c r="A71" s="1188" t="s">
        <v>492</v>
      </c>
      <c r="B71" s="11" t="s">
        <v>237</v>
      </c>
      <c r="C71" s="763">
        <v>83990</v>
      </c>
      <c r="D71" s="763" t="s">
        <v>208</v>
      </c>
      <c r="E71" s="763">
        <v>11</v>
      </c>
      <c r="F71" s="681">
        <v>48481548</v>
      </c>
      <c r="G71" s="763"/>
      <c r="H71" s="763"/>
      <c r="I71" s="1189">
        <f>SUM(F71:H71)</f>
        <v>48481548</v>
      </c>
      <c r="K71" s="1200"/>
      <c r="L71" s="681"/>
      <c r="M71" s="681"/>
      <c r="N71" s="681"/>
      <c r="O71" s="1189">
        <f>SUM(K71:N71)</f>
        <v>0</v>
      </c>
      <c r="Q71" s="1189"/>
      <c r="R71" s="1628"/>
      <c r="S71" s="1214">
        <f t="shared" ref="S71:S84" si="45">+I71+O71+Q71</f>
        <v>48481548</v>
      </c>
    </row>
    <row r="72" spans="1:19" s="65" customFormat="1" ht="39.950000000000003" customHeight="1">
      <c r="A72" s="925" t="s">
        <v>493</v>
      </c>
      <c r="B72" s="30" t="s">
        <v>237</v>
      </c>
      <c r="C72" s="30">
        <v>83990</v>
      </c>
      <c r="D72" s="30" t="s">
        <v>208</v>
      </c>
      <c r="E72" s="30">
        <v>11</v>
      </c>
      <c r="F72" s="681">
        <v>48481548</v>
      </c>
      <c r="G72" s="768"/>
      <c r="H72" s="768"/>
      <c r="I72" s="1189">
        <f t="shared" ref="I72:I84" si="46">SUM(F72:H72)</f>
        <v>48481548</v>
      </c>
      <c r="K72" s="1201"/>
      <c r="L72" s="768"/>
      <c r="M72" s="768"/>
      <c r="N72" s="768"/>
      <c r="O72" s="1189">
        <f t="shared" ref="O72:O84" si="47">SUM(K72:N72)</f>
        <v>0</v>
      </c>
      <c r="Q72" s="1189"/>
      <c r="R72" s="1628"/>
      <c r="S72" s="1214">
        <f t="shared" si="45"/>
        <v>48481548</v>
      </c>
    </row>
    <row r="73" spans="1:19" s="65" customFormat="1" ht="39.950000000000003" customHeight="1">
      <c r="A73" s="67" t="s">
        <v>494</v>
      </c>
      <c r="B73" s="30" t="s">
        <v>237</v>
      </c>
      <c r="C73" s="30">
        <v>83990</v>
      </c>
      <c r="D73" s="30" t="s">
        <v>208</v>
      </c>
      <c r="E73" s="30">
        <v>11</v>
      </c>
      <c r="F73" s="681">
        <v>48481548</v>
      </c>
      <c r="G73" s="768"/>
      <c r="H73" s="768"/>
      <c r="I73" s="1189">
        <f t="shared" si="46"/>
        <v>48481548</v>
      </c>
      <c r="K73" s="1201"/>
      <c r="L73" s="768"/>
      <c r="M73" s="768"/>
      <c r="N73" s="768"/>
      <c r="O73" s="1189">
        <f t="shared" si="47"/>
        <v>0</v>
      </c>
      <c r="Q73" s="1189"/>
      <c r="R73" s="1628"/>
      <c r="S73" s="1214">
        <f t="shared" si="45"/>
        <v>48481548</v>
      </c>
    </row>
    <row r="74" spans="1:19" s="65" customFormat="1" ht="39.950000000000003" customHeight="1">
      <c r="A74" s="67" t="s">
        <v>1069</v>
      </c>
      <c r="B74" s="30" t="s">
        <v>237</v>
      </c>
      <c r="C74" s="30">
        <v>83990</v>
      </c>
      <c r="D74" s="30" t="s">
        <v>208</v>
      </c>
      <c r="E74" s="30">
        <v>11</v>
      </c>
      <c r="F74" s="681">
        <v>48481548</v>
      </c>
      <c r="G74" s="768"/>
      <c r="H74" s="768"/>
      <c r="I74" s="1189">
        <f t="shared" si="46"/>
        <v>48481548</v>
      </c>
      <c r="K74" s="1201"/>
      <c r="L74" s="768"/>
      <c r="M74" s="768"/>
      <c r="N74" s="768"/>
      <c r="O74" s="1189">
        <f t="shared" si="47"/>
        <v>0</v>
      </c>
      <c r="Q74" s="1189"/>
      <c r="R74" s="1628"/>
      <c r="S74" s="1214">
        <f t="shared" si="45"/>
        <v>48481548</v>
      </c>
    </row>
    <row r="75" spans="1:19" s="1628" customFormat="1" ht="39.950000000000003" customHeight="1">
      <c r="A75" s="67" t="s">
        <v>955</v>
      </c>
      <c r="B75" s="30" t="s">
        <v>237</v>
      </c>
      <c r="C75" s="30">
        <v>83990</v>
      </c>
      <c r="D75" s="30" t="s">
        <v>208</v>
      </c>
      <c r="E75" s="30">
        <v>6</v>
      </c>
      <c r="F75" s="681">
        <v>26444480</v>
      </c>
      <c r="G75" s="768"/>
      <c r="H75" s="768"/>
      <c r="I75" s="1189">
        <f t="shared" si="46"/>
        <v>26444480</v>
      </c>
      <c r="K75" s="1201"/>
      <c r="L75" s="768"/>
      <c r="M75" s="768"/>
      <c r="N75" s="768"/>
      <c r="O75" s="1189">
        <f t="shared" si="47"/>
        <v>0</v>
      </c>
      <c r="Q75" s="1189"/>
      <c r="S75" s="1214">
        <f t="shared" si="45"/>
        <v>26444480</v>
      </c>
    </row>
    <row r="76" spans="1:19" s="1628" customFormat="1" ht="39.950000000000003" customHeight="1">
      <c r="A76" s="67" t="s">
        <v>956</v>
      </c>
      <c r="B76" s="30" t="s">
        <v>237</v>
      </c>
      <c r="C76" s="30">
        <v>83990</v>
      </c>
      <c r="D76" s="30" t="s">
        <v>208</v>
      </c>
      <c r="E76" s="30">
        <v>11</v>
      </c>
      <c r="F76" s="681">
        <v>48481548</v>
      </c>
      <c r="G76" s="768"/>
      <c r="H76" s="768"/>
      <c r="I76" s="1189">
        <f t="shared" si="46"/>
        <v>48481548</v>
      </c>
      <c r="K76" s="1201"/>
      <c r="L76" s="768"/>
      <c r="M76" s="768"/>
      <c r="N76" s="768"/>
      <c r="O76" s="1189">
        <f t="shared" si="47"/>
        <v>0</v>
      </c>
      <c r="Q76" s="1189"/>
      <c r="S76" s="1214">
        <f t="shared" si="45"/>
        <v>48481548</v>
      </c>
    </row>
    <row r="77" spans="1:19" s="679" customFormat="1" ht="39.950000000000003" customHeight="1">
      <c r="A77" s="1947" t="s">
        <v>1070</v>
      </c>
      <c r="B77" s="34" t="s">
        <v>237</v>
      </c>
      <c r="C77" s="30">
        <v>83931</v>
      </c>
      <c r="D77" s="30" t="s">
        <v>487</v>
      </c>
      <c r="E77" s="30">
        <v>1</v>
      </c>
      <c r="F77" s="498">
        <f>108377788-14</f>
        <v>108377774</v>
      </c>
      <c r="G77" s="30"/>
      <c r="H77" s="30"/>
      <c r="I77" s="1948">
        <f>SUM(F77:H77)</f>
        <v>108377774</v>
      </c>
      <c r="K77" s="1641"/>
      <c r="L77" s="498"/>
      <c r="M77" s="498">
        <v>578522892</v>
      </c>
      <c r="N77" s="498"/>
      <c r="O77" s="1948">
        <f t="shared" si="47"/>
        <v>578522892</v>
      </c>
      <c r="Q77" s="1948"/>
      <c r="S77" s="1949">
        <f t="shared" si="45"/>
        <v>686900666</v>
      </c>
    </row>
    <row r="78" spans="1:19" s="1628" customFormat="1" ht="39.950000000000003" customHeight="1">
      <c r="A78" s="67" t="s">
        <v>1071</v>
      </c>
      <c r="B78" s="30" t="s">
        <v>237</v>
      </c>
      <c r="C78" s="30">
        <v>83990</v>
      </c>
      <c r="D78" s="30" t="s">
        <v>208</v>
      </c>
      <c r="E78" s="30">
        <v>8.5</v>
      </c>
      <c r="F78" s="681">
        <v>26965375</v>
      </c>
      <c r="G78" s="768"/>
      <c r="H78" s="768"/>
      <c r="I78" s="1189">
        <f t="shared" si="46"/>
        <v>26965375</v>
      </c>
      <c r="K78" s="1201"/>
      <c r="L78" s="768"/>
      <c r="M78" s="768"/>
      <c r="N78" s="768"/>
      <c r="O78" s="1189">
        <f t="shared" si="47"/>
        <v>0</v>
      </c>
      <c r="Q78" s="1189"/>
      <c r="S78" s="1214">
        <f t="shared" si="45"/>
        <v>26965375</v>
      </c>
    </row>
    <row r="79" spans="1:19" s="1628" customFormat="1" ht="39.950000000000003" customHeight="1">
      <c r="A79" s="67" t="s">
        <v>495</v>
      </c>
      <c r="B79" s="30" t="s">
        <v>237</v>
      </c>
      <c r="C79" s="30">
        <v>83990</v>
      </c>
      <c r="D79" s="30" t="s">
        <v>208</v>
      </c>
      <c r="E79" s="30">
        <v>6</v>
      </c>
      <c r="F79" s="681">
        <v>26444480</v>
      </c>
      <c r="G79" s="768"/>
      <c r="H79" s="768"/>
      <c r="I79" s="1189">
        <f t="shared" si="46"/>
        <v>26444480</v>
      </c>
      <c r="K79" s="1201"/>
      <c r="L79" s="768"/>
      <c r="M79" s="768"/>
      <c r="N79" s="768"/>
      <c r="O79" s="1189">
        <f t="shared" si="47"/>
        <v>0</v>
      </c>
      <c r="Q79" s="1189"/>
      <c r="S79" s="1214">
        <f t="shared" si="45"/>
        <v>26444480</v>
      </c>
    </row>
    <row r="80" spans="1:19" s="1628" customFormat="1" ht="39.950000000000003" customHeight="1">
      <c r="A80" s="67" t="s">
        <v>496</v>
      </c>
      <c r="B80" s="30" t="s">
        <v>237</v>
      </c>
      <c r="C80" s="30">
        <v>83990</v>
      </c>
      <c r="D80" s="30" t="s">
        <v>208</v>
      </c>
      <c r="E80" s="30">
        <v>6</v>
      </c>
      <c r="F80" s="681">
        <v>21383316</v>
      </c>
      <c r="G80" s="768"/>
      <c r="H80" s="768"/>
      <c r="I80" s="1189">
        <f t="shared" si="46"/>
        <v>21383316</v>
      </c>
      <c r="K80" s="1201"/>
      <c r="L80" s="768"/>
      <c r="M80" s="768"/>
      <c r="N80" s="768"/>
      <c r="O80" s="1189">
        <f t="shared" si="47"/>
        <v>0</v>
      </c>
      <c r="Q80" s="1189"/>
      <c r="S80" s="1214">
        <f t="shared" si="45"/>
        <v>21383316</v>
      </c>
    </row>
    <row r="81" spans="1:19" s="1628" customFormat="1" ht="39.950000000000003" customHeight="1">
      <c r="A81" s="1950" t="s">
        <v>1072</v>
      </c>
      <c r="B81" s="30" t="s">
        <v>237</v>
      </c>
      <c r="C81" s="30">
        <v>83990</v>
      </c>
      <c r="D81" s="30" t="s">
        <v>208</v>
      </c>
      <c r="E81" s="30">
        <v>5</v>
      </c>
      <c r="F81" s="681">
        <f>18525738-18525738</f>
        <v>0</v>
      </c>
      <c r="G81" s="768"/>
      <c r="H81" s="768"/>
      <c r="I81" s="1189">
        <f t="shared" si="46"/>
        <v>0</v>
      </c>
      <c r="K81" s="1201"/>
      <c r="L81" s="768"/>
      <c r="M81" s="768"/>
      <c r="N81" s="768"/>
      <c r="O81" s="1189">
        <f t="shared" si="47"/>
        <v>0</v>
      </c>
      <c r="Q81" s="1189"/>
      <c r="S81" s="1214">
        <f t="shared" si="45"/>
        <v>0</v>
      </c>
    </row>
    <row r="82" spans="1:19" s="1628" customFormat="1" ht="39.950000000000003" customHeight="1">
      <c r="A82" s="1950" t="s">
        <v>1073</v>
      </c>
      <c r="B82" s="30" t="s">
        <v>237</v>
      </c>
      <c r="C82" s="30">
        <v>83990</v>
      </c>
      <c r="D82" s="30" t="s">
        <v>208</v>
      </c>
      <c r="E82" s="30">
        <v>5</v>
      </c>
      <c r="F82" s="681">
        <f t="shared" ref="F82:F83" si="48">18525738-18525738</f>
        <v>0</v>
      </c>
      <c r="G82" s="768"/>
      <c r="H82" s="768"/>
      <c r="I82" s="1189">
        <f t="shared" si="46"/>
        <v>0</v>
      </c>
      <c r="K82" s="1201"/>
      <c r="L82" s="768"/>
      <c r="M82" s="768"/>
      <c r="N82" s="768"/>
      <c r="O82" s="1189">
        <f t="shared" si="47"/>
        <v>0</v>
      </c>
      <c r="Q82" s="1189"/>
      <c r="S82" s="1214">
        <f t="shared" si="45"/>
        <v>0</v>
      </c>
    </row>
    <row r="83" spans="1:19" s="682" customFormat="1" ht="39.950000000000003" customHeight="1">
      <c r="A83" s="1950" t="s">
        <v>1074</v>
      </c>
      <c r="B83" s="1951" t="s">
        <v>237</v>
      </c>
      <c r="C83" s="1627">
        <v>83990</v>
      </c>
      <c r="D83" s="1627" t="s">
        <v>208</v>
      </c>
      <c r="E83" s="1627">
        <v>5</v>
      </c>
      <c r="F83" s="681">
        <f t="shared" si="48"/>
        <v>0</v>
      </c>
      <c r="G83" s="1627"/>
      <c r="H83" s="1627"/>
      <c r="I83" s="1189">
        <f>SUM(F83:H83)</f>
        <v>0</v>
      </c>
      <c r="K83" s="1200"/>
      <c r="L83" s="681"/>
      <c r="M83" s="681"/>
      <c r="N83" s="681"/>
      <c r="O83" s="1189">
        <f t="shared" si="47"/>
        <v>0</v>
      </c>
      <c r="Q83" s="1189"/>
      <c r="S83" s="1214">
        <f t="shared" si="45"/>
        <v>0</v>
      </c>
    </row>
    <row r="84" spans="1:19" s="1628" customFormat="1" ht="39.950000000000003" customHeight="1">
      <c r="A84" s="67" t="s">
        <v>954</v>
      </c>
      <c r="B84" s="30" t="s">
        <v>237</v>
      </c>
      <c r="C84" s="30">
        <v>83990</v>
      </c>
      <c r="D84" s="30" t="s">
        <v>208</v>
      </c>
      <c r="E84" s="30">
        <v>11</v>
      </c>
      <c r="F84" s="681">
        <v>28060563</v>
      </c>
      <c r="G84" s="768"/>
      <c r="H84" s="768"/>
      <c r="I84" s="1189">
        <f t="shared" si="46"/>
        <v>28060563</v>
      </c>
      <c r="K84" s="1201"/>
      <c r="L84" s="768"/>
      <c r="M84" s="768"/>
      <c r="N84" s="768"/>
      <c r="O84" s="1189">
        <f t="shared" si="47"/>
        <v>0</v>
      </c>
      <c r="Q84" s="1189"/>
      <c r="S84" s="1214">
        <f t="shared" si="45"/>
        <v>28060563</v>
      </c>
    </row>
    <row r="85" spans="1:19" ht="39.950000000000003" customHeight="1">
      <c r="A85" s="1180" t="s">
        <v>221</v>
      </c>
      <c r="B85" s="178"/>
      <c r="C85" s="178"/>
      <c r="D85" s="178" t="s">
        <v>210</v>
      </c>
      <c r="E85" s="178">
        <v>1</v>
      </c>
      <c r="F85" s="497">
        <f>SUM(F86:F112)</f>
        <v>290976195</v>
      </c>
      <c r="G85" s="497">
        <f>SUM(G86:G112)</f>
        <v>70646248</v>
      </c>
      <c r="H85" s="497">
        <f>SUM(H86:H112)</f>
        <v>122799703</v>
      </c>
      <c r="I85" s="497">
        <f>SUM(I86:I112)</f>
        <v>484422146</v>
      </c>
      <c r="J85" s="497">
        <f>SUM(J86:J111)</f>
        <v>0</v>
      </c>
      <c r="K85" s="497">
        <f>SUM(K86:K112)</f>
        <v>9480578</v>
      </c>
      <c r="L85" s="497">
        <f>SUM(L86:L112)</f>
        <v>0</v>
      </c>
      <c r="M85" s="497">
        <f>SUM(M86:M112)</f>
        <v>61195780</v>
      </c>
      <c r="N85" s="497">
        <f>SUM(N86:N112)</f>
        <v>4519248</v>
      </c>
      <c r="O85" s="497">
        <f>SUM(O86:O112)</f>
        <v>75195606</v>
      </c>
      <c r="P85" s="497">
        <f>SUM(P86:P111)</f>
        <v>0</v>
      </c>
      <c r="Q85" s="497">
        <f>SUM(Q86:Q112)</f>
        <v>0</v>
      </c>
      <c r="R85" s="497"/>
      <c r="S85" s="497">
        <f>SUM(S86:S112)</f>
        <v>559617752</v>
      </c>
    </row>
    <row r="86" spans="1:19" s="680" customFormat="1" ht="39.950000000000003" customHeight="1">
      <c r="A86" s="67" t="s">
        <v>497</v>
      </c>
      <c r="B86" s="30" t="s">
        <v>906</v>
      </c>
      <c r="C86" s="30" t="s">
        <v>1083</v>
      </c>
      <c r="D86" s="30" t="s">
        <v>210</v>
      </c>
      <c r="E86" s="30">
        <v>1</v>
      </c>
      <c r="F86" s="1785">
        <f>27057398-1692195</f>
        <v>25365203</v>
      </c>
      <c r="G86" s="1785"/>
      <c r="H86" s="1785"/>
      <c r="I86" s="1190">
        <f t="shared" ref="I86:I92" si="49">SUM(F86:H86)</f>
        <v>25365203</v>
      </c>
      <c r="K86" s="1790"/>
      <c r="L86" s="1785"/>
      <c r="M86" s="1785"/>
      <c r="N86" s="1785"/>
      <c r="O86" s="1190">
        <f t="shared" ref="O86:O92" si="50">SUM(K86:N86)</f>
        <v>0</v>
      </c>
      <c r="Q86" s="1190"/>
      <c r="S86" s="1215">
        <f t="shared" ref="S86:S112" si="51">+I86+O86+Q86</f>
        <v>25365203</v>
      </c>
    </row>
    <row r="87" spans="1:19" s="680" customFormat="1" ht="39.950000000000003" customHeight="1">
      <c r="A87" s="67" t="s">
        <v>497</v>
      </c>
      <c r="B87" s="30" t="s">
        <v>1101</v>
      </c>
      <c r="C87" s="30" t="s">
        <v>1083</v>
      </c>
      <c r="D87" s="30" t="s">
        <v>210</v>
      </c>
      <c r="E87" s="30">
        <v>1</v>
      </c>
      <c r="F87" s="1785">
        <f>8243844-2122932</f>
        <v>6120912</v>
      </c>
      <c r="G87" s="1785"/>
      <c r="H87" s="1785"/>
      <c r="I87" s="1190">
        <f t="shared" si="49"/>
        <v>6120912</v>
      </c>
      <c r="K87" s="1790"/>
      <c r="L87" s="1785"/>
      <c r="M87" s="1785"/>
      <c r="N87" s="1785"/>
      <c r="O87" s="1190">
        <f t="shared" si="50"/>
        <v>0</v>
      </c>
      <c r="Q87" s="1190"/>
      <c r="S87" s="1215">
        <f t="shared" si="51"/>
        <v>6120912</v>
      </c>
    </row>
    <row r="88" spans="1:19" s="680" customFormat="1" ht="39.950000000000003" customHeight="1">
      <c r="A88" s="67" t="s">
        <v>497</v>
      </c>
      <c r="B88" s="30" t="s">
        <v>1102</v>
      </c>
      <c r="C88" s="30" t="s">
        <v>1083</v>
      </c>
      <c r="D88" s="30" t="s">
        <v>210</v>
      </c>
      <c r="E88" s="30">
        <v>1</v>
      </c>
      <c r="F88" s="1785">
        <f>93217437-23730297-19294</f>
        <v>69467846</v>
      </c>
      <c r="G88" s="1785"/>
      <c r="H88" s="1785"/>
      <c r="I88" s="1190">
        <f t="shared" si="49"/>
        <v>69467846</v>
      </c>
      <c r="K88" s="1790"/>
      <c r="L88" s="1785"/>
      <c r="M88" s="1785"/>
      <c r="N88" s="1785"/>
      <c r="O88" s="1190">
        <f t="shared" si="50"/>
        <v>0</v>
      </c>
      <c r="Q88" s="1190"/>
      <c r="S88" s="1215">
        <f t="shared" si="51"/>
        <v>69467846</v>
      </c>
    </row>
    <row r="89" spans="1:19" s="680" customFormat="1" ht="39.950000000000003" customHeight="1">
      <c r="A89" s="67" t="s">
        <v>497</v>
      </c>
      <c r="B89" s="30" t="s">
        <v>1103</v>
      </c>
      <c r="C89" s="30" t="s">
        <v>1083</v>
      </c>
      <c r="D89" s="30" t="s">
        <v>210</v>
      </c>
      <c r="E89" s="30">
        <v>1</v>
      </c>
      <c r="F89" s="1785">
        <f>13563940-879577-1</f>
        <v>12684362</v>
      </c>
      <c r="G89" s="1785"/>
      <c r="H89" s="1785"/>
      <c r="I89" s="1190">
        <f t="shared" si="49"/>
        <v>12684362</v>
      </c>
      <c r="K89" s="1790"/>
      <c r="L89" s="1785"/>
      <c r="M89" s="1785"/>
      <c r="N89" s="1785"/>
      <c r="O89" s="1190">
        <f t="shared" si="50"/>
        <v>0</v>
      </c>
      <c r="Q89" s="1190"/>
      <c r="S89" s="1215">
        <f t="shared" si="51"/>
        <v>12684362</v>
      </c>
    </row>
    <row r="90" spans="1:19" s="680" customFormat="1" ht="39.950000000000003" customHeight="1">
      <c r="A90" s="67" t="s">
        <v>497</v>
      </c>
      <c r="B90" s="30" t="s">
        <v>1094</v>
      </c>
      <c r="C90" s="30" t="s">
        <v>1084</v>
      </c>
      <c r="D90" s="30" t="s">
        <v>210</v>
      </c>
      <c r="E90" s="30">
        <v>1</v>
      </c>
      <c r="F90" s="1785">
        <f>1470429-218992</f>
        <v>1251437</v>
      </c>
      <c r="G90" s="1785"/>
      <c r="H90" s="1785"/>
      <c r="I90" s="1186">
        <f t="shared" si="49"/>
        <v>1251437</v>
      </c>
      <c r="K90" s="1790"/>
      <c r="L90" s="1785"/>
      <c r="M90" s="1785"/>
      <c r="N90" s="1785"/>
      <c r="O90" s="1186">
        <f t="shared" si="50"/>
        <v>0</v>
      </c>
      <c r="Q90" s="1186"/>
      <c r="S90" s="1943">
        <f t="shared" si="51"/>
        <v>1251437</v>
      </c>
    </row>
    <row r="91" spans="1:19" s="680" customFormat="1" ht="39.950000000000003" customHeight="1">
      <c r="A91" s="67" t="s">
        <v>1104</v>
      </c>
      <c r="B91" s="30" t="s">
        <v>1096</v>
      </c>
      <c r="C91" s="30">
        <v>196104</v>
      </c>
      <c r="D91" s="30" t="s">
        <v>210</v>
      </c>
      <c r="E91" s="30">
        <v>1</v>
      </c>
      <c r="F91" s="1785">
        <f>8700000-320</f>
        <v>8699680</v>
      </c>
      <c r="G91" s="1785"/>
      <c r="H91" s="1785"/>
      <c r="I91" s="1190">
        <f t="shared" si="49"/>
        <v>8699680</v>
      </c>
      <c r="K91" s="1790"/>
      <c r="L91" s="1785"/>
      <c r="M91" s="1785">
        <v>11300000</v>
      </c>
      <c r="N91" s="1785"/>
      <c r="O91" s="1190">
        <f t="shared" si="50"/>
        <v>11300000</v>
      </c>
      <c r="Q91" s="1190"/>
      <c r="S91" s="1215">
        <f t="shared" si="51"/>
        <v>19999680</v>
      </c>
    </row>
    <row r="92" spans="1:19" s="680" customFormat="1" ht="39.950000000000003" customHeight="1">
      <c r="A92" s="67" t="s">
        <v>1085</v>
      </c>
      <c r="B92" s="30" t="s">
        <v>1095</v>
      </c>
      <c r="C92" s="30">
        <v>196106</v>
      </c>
      <c r="D92" s="30" t="s">
        <v>210</v>
      </c>
      <c r="E92" s="30">
        <v>1</v>
      </c>
      <c r="F92" s="1785">
        <v>5833240</v>
      </c>
      <c r="G92" s="1785"/>
      <c r="H92" s="1785"/>
      <c r="I92" s="1190">
        <f t="shared" si="49"/>
        <v>5833240</v>
      </c>
      <c r="K92" s="1790"/>
      <c r="L92" s="1785"/>
      <c r="M92" s="1785"/>
      <c r="N92" s="1785"/>
      <c r="O92" s="1190">
        <f t="shared" si="50"/>
        <v>0</v>
      </c>
      <c r="Q92" s="1190"/>
      <c r="S92" s="1215">
        <f t="shared" si="51"/>
        <v>5833240</v>
      </c>
    </row>
    <row r="93" spans="1:19" s="1628" customFormat="1" ht="39.950000000000003" customHeight="1">
      <c r="A93" s="67" t="s">
        <v>1085</v>
      </c>
      <c r="B93" s="30" t="s">
        <v>1096</v>
      </c>
      <c r="C93" s="30">
        <v>196104</v>
      </c>
      <c r="D93" s="30" t="s">
        <v>210</v>
      </c>
      <c r="E93" s="30">
        <v>1</v>
      </c>
      <c r="F93" s="681">
        <v>2901560</v>
      </c>
      <c r="G93" s="681"/>
      <c r="H93" s="681"/>
      <c r="I93" s="1190">
        <f t="shared" ref="I93:I109" si="52">SUM(F93:H93)</f>
        <v>2901560</v>
      </c>
      <c r="K93" s="1201"/>
      <c r="L93" s="768"/>
      <c r="M93" s="768"/>
      <c r="N93" s="768"/>
      <c r="O93" s="1190">
        <f t="shared" ref="O93:O109" si="53">SUM(K93:N93)</f>
        <v>0</v>
      </c>
      <c r="Q93" s="1190"/>
      <c r="S93" s="1215">
        <f t="shared" si="51"/>
        <v>2901560</v>
      </c>
    </row>
    <row r="94" spans="1:19" s="1628" customFormat="1" ht="39.950000000000003" customHeight="1">
      <c r="A94" s="67" t="s">
        <v>826</v>
      </c>
      <c r="B94" s="30" t="s">
        <v>251</v>
      </c>
      <c r="C94" s="30">
        <v>43410</v>
      </c>
      <c r="D94" s="30" t="s">
        <v>210</v>
      </c>
      <c r="E94" s="30">
        <v>1</v>
      </c>
      <c r="F94" s="681">
        <f>129700951-9370</f>
        <v>129691581</v>
      </c>
      <c r="G94" s="681"/>
      <c r="H94" s="681"/>
      <c r="I94" s="1190">
        <f t="shared" si="52"/>
        <v>129691581</v>
      </c>
      <c r="K94" s="1201"/>
      <c r="L94" s="768"/>
      <c r="M94" s="768"/>
      <c r="N94" s="768"/>
      <c r="O94" s="1190">
        <f t="shared" si="53"/>
        <v>0</v>
      </c>
      <c r="Q94" s="1190"/>
      <c r="S94" s="1215">
        <f t="shared" si="51"/>
        <v>129691581</v>
      </c>
    </row>
    <row r="95" spans="1:19" s="1628" customFormat="1" ht="39.950000000000003" customHeight="1">
      <c r="A95" s="67" t="s">
        <v>653</v>
      </c>
      <c r="B95" s="30" t="s">
        <v>237</v>
      </c>
      <c r="C95" s="30">
        <v>83990</v>
      </c>
      <c r="D95" s="30" t="s">
        <v>210</v>
      </c>
      <c r="E95" s="30">
        <v>2</v>
      </c>
      <c r="F95" s="681"/>
      <c r="G95" s="681"/>
      <c r="H95" s="681">
        <v>12970071</v>
      </c>
      <c r="I95" s="1190">
        <f t="shared" si="52"/>
        <v>12970071</v>
      </c>
      <c r="K95" s="1201"/>
      <c r="L95" s="768"/>
      <c r="M95" s="768"/>
      <c r="N95" s="768"/>
      <c r="O95" s="1190">
        <f t="shared" si="53"/>
        <v>0</v>
      </c>
      <c r="Q95" s="1190"/>
      <c r="S95" s="1215">
        <f t="shared" si="51"/>
        <v>12970071</v>
      </c>
    </row>
    <row r="96" spans="1:19" s="1628" customFormat="1" ht="39.950000000000003" customHeight="1">
      <c r="A96" s="67" t="s">
        <v>921</v>
      </c>
      <c r="B96" s="30" t="s">
        <v>888</v>
      </c>
      <c r="C96" s="30">
        <v>54342</v>
      </c>
      <c r="D96" s="30" t="s">
        <v>210</v>
      </c>
      <c r="E96" s="30">
        <v>1</v>
      </c>
      <c r="F96" s="681"/>
      <c r="G96" s="681">
        <f>70000000-2217521</f>
        <v>67782479</v>
      </c>
      <c r="H96" s="681"/>
      <c r="I96" s="1190">
        <f t="shared" si="52"/>
        <v>67782479</v>
      </c>
      <c r="K96" s="1201"/>
      <c r="L96" s="768"/>
      <c r="M96" s="768"/>
      <c r="N96" s="768"/>
      <c r="O96" s="1190">
        <f t="shared" si="53"/>
        <v>0</v>
      </c>
      <c r="Q96" s="1190"/>
      <c r="S96" s="1215">
        <f t="shared" si="51"/>
        <v>67782479</v>
      </c>
    </row>
    <row r="97" spans="1:19" s="1628" customFormat="1" ht="39.950000000000003" customHeight="1">
      <c r="A97" s="67" t="s">
        <v>922</v>
      </c>
      <c r="B97" s="30" t="s">
        <v>237</v>
      </c>
      <c r="C97" s="30">
        <v>83990</v>
      </c>
      <c r="D97" s="30" t="s">
        <v>210</v>
      </c>
      <c r="E97" s="30">
        <v>1</v>
      </c>
      <c r="F97" s="681"/>
      <c r="G97" s="681"/>
      <c r="H97" s="681">
        <f>7000000-1553</f>
        <v>6998447</v>
      </c>
      <c r="I97" s="1190">
        <f t="shared" si="52"/>
        <v>6998447</v>
      </c>
      <c r="K97" s="1201"/>
      <c r="L97" s="768"/>
      <c r="M97" s="768"/>
      <c r="N97" s="768"/>
      <c r="O97" s="1190">
        <f t="shared" si="53"/>
        <v>0</v>
      </c>
      <c r="Q97" s="1190"/>
      <c r="S97" s="1215">
        <f t="shared" si="51"/>
        <v>6998447</v>
      </c>
    </row>
    <row r="98" spans="1:19" s="1628" customFormat="1" ht="39.950000000000003" customHeight="1">
      <c r="A98" s="67" t="s">
        <v>957</v>
      </c>
      <c r="B98" s="30" t="s">
        <v>237</v>
      </c>
      <c r="C98" s="30">
        <v>83990</v>
      </c>
      <c r="D98" s="30" t="s">
        <v>210</v>
      </c>
      <c r="E98" s="30">
        <v>1</v>
      </c>
      <c r="F98" s="681"/>
      <c r="G98" s="681"/>
      <c r="H98" s="681">
        <v>18172400</v>
      </c>
      <c r="I98" s="1190">
        <f t="shared" si="52"/>
        <v>18172400</v>
      </c>
      <c r="K98" s="1201"/>
      <c r="L98" s="768"/>
      <c r="M98" s="768"/>
      <c r="N98" s="768"/>
      <c r="O98" s="1190">
        <f t="shared" si="53"/>
        <v>0</v>
      </c>
      <c r="Q98" s="1190"/>
      <c r="S98" s="1215">
        <f t="shared" si="51"/>
        <v>18172400</v>
      </c>
    </row>
    <row r="99" spans="1:19" s="1628" customFormat="1" ht="39.950000000000003" customHeight="1">
      <c r="A99" s="67" t="s">
        <v>958</v>
      </c>
      <c r="B99" s="30" t="s">
        <v>237</v>
      </c>
      <c r="C99" s="30">
        <v>83990</v>
      </c>
      <c r="D99" s="30" t="s">
        <v>210</v>
      </c>
      <c r="E99" s="30">
        <v>1</v>
      </c>
      <c r="F99" s="681"/>
      <c r="G99" s="681"/>
      <c r="H99" s="681">
        <f>8273542-28031</f>
        <v>8245511</v>
      </c>
      <c r="I99" s="1190">
        <f t="shared" si="52"/>
        <v>8245511</v>
      </c>
      <c r="K99" s="1201"/>
      <c r="L99" s="768"/>
      <c r="M99" s="768"/>
      <c r="N99" s="768"/>
      <c r="O99" s="1190">
        <f t="shared" si="53"/>
        <v>0</v>
      </c>
      <c r="Q99" s="1190"/>
      <c r="S99" s="1215">
        <f t="shared" si="51"/>
        <v>8245511</v>
      </c>
    </row>
    <row r="100" spans="1:19" s="1628" customFormat="1" ht="39.950000000000003" customHeight="1">
      <c r="A100" s="67" t="s">
        <v>1015</v>
      </c>
      <c r="B100" s="30" t="s">
        <v>888</v>
      </c>
      <c r="C100" s="30">
        <v>54342</v>
      </c>
      <c r="D100" s="30" t="s">
        <v>210</v>
      </c>
      <c r="E100" s="30">
        <v>1</v>
      </c>
      <c r="F100" s="681"/>
      <c r="G100" s="681">
        <v>2863769</v>
      </c>
      <c r="H100" s="681"/>
      <c r="I100" s="1190">
        <f t="shared" si="52"/>
        <v>2863769</v>
      </c>
      <c r="K100" s="681">
        <v>9480578</v>
      </c>
      <c r="L100" s="681">
        <f>8353095-8353095</f>
        <v>0</v>
      </c>
      <c r="M100" s="768"/>
      <c r="N100" s="768"/>
      <c r="O100" s="1190">
        <f t="shared" si="53"/>
        <v>9480578</v>
      </c>
      <c r="Q100" s="1190"/>
      <c r="S100" s="1215">
        <f t="shared" si="51"/>
        <v>12344347</v>
      </c>
    </row>
    <row r="101" spans="1:19" s="1628" customFormat="1" ht="39.950000000000003" customHeight="1">
      <c r="A101" s="67" t="s">
        <v>1016</v>
      </c>
      <c r="B101" s="30" t="s">
        <v>237</v>
      </c>
      <c r="C101" s="30">
        <v>83990</v>
      </c>
      <c r="D101" s="30" t="s">
        <v>210</v>
      </c>
      <c r="E101" s="30">
        <v>1</v>
      </c>
      <c r="F101" s="681"/>
      <c r="G101" s="681"/>
      <c r="H101" s="681">
        <f>1783367-1783367</f>
        <v>0</v>
      </c>
      <c r="I101" s="1190">
        <f t="shared" si="52"/>
        <v>0</v>
      </c>
      <c r="K101" s="1201"/>
      <c r="L101" s="768"/>
      <c r="M101" s="768"/>
      <c r="N101" s="768"/>
      <c r="O101" s="1190">
        <f t="shared" si="53"/>
        <v>0</v>
      </c>
      <c r="Q101" s="1190"/>
      <c r="S101" s="1215">
        <f t="shared" si="51"/>
        <v>0</v>
      </c>
    </row>
    <row r="102" spans="1:19" s="1628" customFormat="1" ht="39.950000000000003" customHeight="1">
      <c r="A102" s="67" t="s">
        <v>498</v>
      </c>
      <c r="B102" s="1650" t="s">
        <v>242</v>
      </c>
      <c r="C102" s="1650">
        <v>63391</v>
      </c>
      <c r="D102" s="1650" t="s">
        <v>210</v>
      </c>
      <c r="E102" s="1650">
        <v>1</v>
      </c>
      <c r="F102" s="681"/>
      <c r="G102" s="681"/>
      <c r="H102" s="681">
        <v>10040000</v>
      </c>
      <c r="I102" s="1190">
        <f t="shared" si="52"/>
        <v>10040000</v>
      </c>
      <c r="K102" s="1203"/>
      <c r="L102" s="826"/>
      <c r="M102" s="768"/>
      <c r="N102" s="768"/>
      <c r="O102" s="1190">
        <f t="shared" si="53"/>
        <v>0</v>
      </c>
      <c r="Q102" s="1190"/>
      <c r="S102" s="1215">
        <f t="shared" si="51"/>
        <v>10040000</v>
      </c>
    </row>
    <row r="103" spans="1:19" s="1628" customFormat="1" ht="39.950000000000003" customHeight="1">
      <c r="A103" s="67" t="s">
        <v>499</v>
      </c>
      <c r="B103" s="1650" t="s">
        <v>870</v>
      </c>
      <c r="C103" s="1650" t="s">
        <v>1083</v>
      </c>
      <c r="D103" s="1650" t="s">
        <v>210</v>
      </c>
      <c r="E103" s="1650">
        <v>1</v>
      </c>
      <c r="F103" s="681"/>
      <c r="G103" s="681"/>
      <c r="H103" s="681">
        <f>220880-56811</f>
        <v>164069</v>
      </c>
      <c r="I103" s="1190">
        <f t="shared" si="52"/>
        <v>164069</v>
      </c>
      <c r="K103" s="1203"/>
      <c r="L103" s="826"/>
      <c r="M103" s="768"/>
      <c r="N103" s="768"/>
      <c r="O103" s="1190">
        <f t="shared" si="53"/>
        <v>0</v>
      </c>
      <c r="Q103" s="1190"/>
      <c r="S103" s="1215">
        <f t="shared" si="51"/>
        <v>164069</v>
      </c>
    </row>
    <row r="104" spans="1:19" s="1628" customFormat="1" ht="39.950000000000003" customHeight="1">
      <c r="A104" s="67" t="s">
        <v>499</v>
      </c>
      <c r="B104" s="1650" t="s">
        <v>1087</v>
      </c>
      <c r="C104" s="1650" t="s">
        <v>1083</v>
      </c>
      <c r="D104" s="1650" t="s">
        <v>210</v>
      </c>
      <c r="E104" s="1650">
        <v>1</v>
      </c>
      <c r="F104" s="681"/>
      <c r="G104" s="681"/>
      <c r="H104" s="681">
        <f>999217-254434</f>
        <v>744783</v>
      </c>
      <c r="I104" s="1190">
        <f t="shared" si="52"/>
        <v>744783</v>
      </c>
      <c r="K104" s="1203"/>
      <c r="L104" s="826"/>
      <c r="M104" s="768"/>
      <c r="N104" s="768"/>
      <c r="O104" s="1190">
        <f t="shared" si="53"/>
        <v>0</v>
      </c>
      <c r="Q104" s="1190"/>
      <c r="S104" s="1215">
        <f t="shared" si="51"/>
        <v>744783</v>
      </c>
    </row>
    <row r="105" spans="1:19" s="679" customFormat="1" ht="39.950000000000003" customHeight="1">
      <c r="A105" s="67" t="s">
        <v>499</v>
      </c>
      <c r="B105" s="30" t="s">
        <v>1082</v>
      </c>
      <c r="C105" s="30" t="s">
        <v>1083</v>
      </c>
      <c r="D105" s="30" t="s">
        <v>210</v>
      </c>
      <c r="E105" s="30">
        <v>1</v>
      </c>
      <c r="F105" s="498"/>
      <c r="G105" s="498"/>
      <c r="H105" s="498">
        <f>1360992-316545</f>
        <v>1044447</v>
      </c>
      <c r="I105" s="1186">
        <f t="shared" si="52"/>
        <v>1044447</v>
      </c>
      <c r="K105" s="1201"/>
      <c r="L105" s="768"/>
      <c r="M105" s="768"/>
      <c r="N105" s="768"/>
      <c r="O105" s="1186">
        <f t="shared" si="53"/>
        <v>0</v>
      </c>
      <c r="Q105" s="1186"/>
      <c r="S105" s="1943">
        <f t="shared" si="51"/>
        <v>1044447</v>
      </c>
    </row>
    <row r="106" spans="1:19" s="679" customFormat="1" ht="39.950000000000003" customHeight="1">
      <c r="A106" s="67" t="s">
        <v>499</v>
      </c>
      <c r="B106" s="30" t="s">
        <v>1082</v>
      </c>
      <c r="C106" s="30" t="s">
        <v>1083</v>
      </c>
      <c r="D106" s="30" t="s">
        <v>210</v>
      </c>
      <c r="E106" s="30">
        <v>1</v>
      </c>
      <c r="F106" s="498"/>
      <c r="G106" s="498"/>
      <c r="H106" s="498">
        <f>10526122-2484831</f>
        <v>8041291</v>
      </c>
      <c r="I106" s="1186">
        <f t="shared" si="52"/>
        <v>8041291</v>
      </c>
      <c r="K106" s="1201"/>
      <c r="L106" s="768"/>
      <c r="M106" s="768"/>
      <c r="N106" s="768"/>
      <c r="O106" s="1186">
        <f t="shared" si="53"/>
        <v>0</v>
      </c>
      <c r="Q106" s="1186"/>
      <c r="S106" s="1943">
        <f t="shared" si="51"/>
        <v>8041291</v>
      </c>
    </row>
    <row r="107" spans="1:19" s="682" customFormat="1" ht="39.950000000000003" customHeight="1">
      <c r="A107" s="67" t="s">
        <v>499</v>
      </c>
      <c r="B107" s="30" t="s">
        <v>1082</v>
      </c>
      <c r="C107" s="30" t="s">
        <v>1083</v>
      </c>
      <c r="D107" s="30" t="s">
        <v>210</v>
      </c>
      <c r="E107" s="30">
        <v>1</v>
      </c>
      <c r="F107" s="681"/>
      <c r="G107" s="681"/>
      <c r="H107" s="681">
        <v>272245</v>
      </c>
      <c r="I107" s="1190">
        <f t="shared" si="52"/>
        <v>272245</v>
      </c>
      <c r="K107" s="1201"/>
      <c r="L107" s="768"/>
      <c r="M107" s="768"/>
      <c r="N107" s="768"/>
      <c r="O107" s="1190">
        <f t="shared" si="53"/>
        <v>0</v>
      </c>
      <c r="Q107" s="1190"/>
      <c r="S107" s="1215">
        <f t="shared" si="51"/>
        <v>272245</v>
      </c>
    </row>
    <row r="108" spans="1:19" s="682" customFormat="1" ht="39.950000000000003" customHeight="1">
      <c r="A108" s="67" t="s">
        <v>986</v>
      </c>
      <c r="B108" s="30" t="s">
        <v>247</v>
      </c>
      <c r="C108" s="30">
        <v>53342</v>
      </c>
      <c r="D108" s="30" t="s">
        <v>210</v>
      </c>
      <c r="E108" s="30">
        <v>1</v>
      </c>
      <c r="F108" s="681"/>
      <c r="G108" s="681"/>
      <c r="H108" s="681">
        <f>50775269+1421475</f>
        <v>52196744</v>
      </c>
      <c r="I108" s="1190">
        <f t="shared" si="52"/>
        <v>52196744</v>
      </c>
      <c r="K108" s="1201"/>
      <c r="L108" s="768"/>
      <c r="M108" s="768"/>
      <c r="N108" s="768"/>
      <c r="O108" s="1190">
        <f t="shared" si="53"/>
        <v>0</v>
      </c>
      <c r="Q108" s="1190"/>
      <c r="S108" s="1215">
        <f t="shared" si="51"/>
        <v>52196744</v>
      </c>
    </row>
    <row r="109" spans="1:19" s="679" customFormat="1" ht="39.950000000000003" customHeight="1">
      <c r="A109" s="67" t="s">
        <v>987</v>
      </c>
      <c r="B109" s="30" t="s">
        <v>237</v>
      </c>
      <c r="C109" s="30">
        <v>83990</v>
      </c>
      <c r="D109" s="30" t="s">
        <v>210</v>
      </c>
      <c r="E109" s="30">
        <v>1</v>
      </c>
      <c r="F109" s="498"/>
      <c r="G109" s="498"/>
      <c r="H109" s="498">
        <f>5077527-1167832</f>
        <v>3909695</v>
      </c>
      <c r="I109" s="1186">
        <f t="shared" si="52"/>
        <v>3909695</v>
      </c>
      <c r="K109" s="1201"/>
      <c r="L109" s="768"/>
      <c r="M109" s="768"/>
      <c r="N109" s="768"/>
      <c r="O109" s="1186">
        <f t="shared" si="53"/>
        <v>0</v>
      </c>
      <c r="Q109" s="1186"/>
      <c r="S109" s="1943">
        <f t="shared" si="51"/>
        <v>3909695</v>
      </c>
    </row>
    <row r="110" spans="1:19" s="1628" customFormat="1" ht="39.950000000000003" customHeight="1">
      <c r="A110" s="2034" t="s">
        <v>1179</v>
      </c>
      <c r="B110" s="1913" t="s">
        <v>927</v>
      </c>
      <c r="C110" s="1913"/>
      <c r="D110" s="1913"/>
      <c r="E110" s="1913"/>
      <c r="F110" s="2035">
        <f>22318876-10693376</f>
        <v>11625500</v>
      </c>
      <c r="G110" s="2035">
        <f>2863769-2863769</f>
        <v>0</v>
      </c>
      <c r="I110" s="2036">
        <f>SUM(F110:H110)</f>
        <v>11625500</v>
      </c>
      <c r="K110" s="2037">
        <f>9480578-9480578</f>
        <v>0</v>
      </c>
      <c r="L110" s="1994"/>
      <c r="M110" s="1994"/>
      <c r="N110" s="1994"/>
      <c r="O110" s="2036">
        <f>SUM(K110:N110)</f>
        <v>0</v>
      </c>
      <c r="Q110" s="2036"/>
      <c r="S110" s="1215">
        <f t="shared" si="51"/>
        <v>11625500</v>
      </c>
    </row>
    <row r="111" spans="1:19" s="1628" customFormat="1" ht="39.950000000000003" customHeight="1">
      <c r="A111" s="1649" t="s">
        <v>1180</v>
      </c>
      <c r="B111" s="30" t="s">
        <v>870</v>
      </c>
      <c r="C111" s="30"/>
      <c r="D111" s="30"/>
      <c r="E111" s="30"/>
      <c r="F111" s="681">
        <v>90000</v>
      </c>
      <c r="G111" s="681"/>
      <c r="H111" s="681"/>
      <c r="I111" s="2036">
        <f t="shared" ref="I111" si="54">SUM(F111:H111)</f>
        <v>90000</v>
      </c>
      <c r="K111" s="768"/>
      <c r="L111" s="768"/>
      <c r="M111" s="768">
        <f>50200000-214129-90091</f>
        <v>49895780</v>
      </c>
      <c r="N111" s="768"/>
      <c r="O111" s="2036">
        <f>SUM(K111:N111)</f>
        <v>49895780</v>
      </c>
      <c r="Q111" s="2036"/>
      <c r="S111" s="1215">
        <f t="shared" si="51"/>
        <v>49985780</v>
      </c>
    </row>
    <row r="112" spans="1:19" s="679" customFormat="1" ht="39.950000000000003" customHeight="1" thickBot="1">
      <c r="A112" s="2033" t="s">
        <v>1183</v>
      </c>
      <c r="B112" s="537"/>
      <c r="C112" s="537"/>
      <c r="D112" s="537" t="s">
        <v>210</v>
      </c>
      <c r="E112" s="537">
        <v>1</v>
      </c>
      <c r="F112" s="1935">
        <f>20000000-2755126</f>
        <v>17244874</v>
      </c>
      <c r="G112" s="212"/>
      <c r="H112" s="2038"/>
      <c r="I112" s="1937">
        <f>SUM(F112:H112)</f>
        <v>17244874</v>
      </c>
      <c r="K112" s="1199"/>
      <c r="L112" s="212"/>
      <c r="M112" s="212"/>
      <c r="N112" s="212">
        <f>40000000-35480752</f>
        <v>4519248</v>
      </c>
      <c r="O112" s="1937">
        <f>SUM(K112:N112)</f>
        <v>4519248</v>
      </c>
      <c r="Q112" s="1937"/>
      <c r="S112" s="1938">
        <f t="shared" si="51"/>
        <v>21764122</v>
      </c>
    </row>
    <row r="113" spans="1:19" ht="39.950000000000003" customHeight="1" thickBot="1">
      <c r="A113" s="1176" t="s">
        <v>36</v>
      </c>
      <c r="B113" s="1100"/>
      <c r="C113" s="1100"/>
      <c r="D113" s="562" t="s">
        <v>215</v>
      </c>
      <c r="E113" s="566">
        <v>25</v>
      </c>
      <c r="F113" s="1174">
        <f>+F114+F120</f>
        <v>244429240</v>
      </c>
      <c r="G113" s="1174">
        <f t="shared" ref="G113:H113" si="55">+G114+G120</f>
        <v>0</v>
      </c>
      <c r="H113" s="1174">
        <f t="shared" si="55"/>
        <v>25088299</v>
      </c>
      <c r="I113" s="1175">
        <f>+I114+I120</f>
        <v>269517539</v>
      </c>
      <c r="K113" s="1173">
        <f>+K114+K120</f>
        <v>0</v>
      </c>
      <c r="L113" s="1174">
        <f t="shared" ref="L113:N113" si="56">+L114+L120</f>
        <v>27449962</v>
      </c>
      <c r="M113" s="1174">
        <f t="shared" si="56"/>
        <v>0</v>
      </c>
      <c r="N113" s="1174">
        <f t="shared" si="56"/>
        <v>0</v>
      </c>
      <c r="O113" s="1175">
        <f>+O114+O120</f>
        <v>27449962</v>
      </c>
      <c r="Q113" s="1175">
        <f>+Q114+Q120</f>
        <v>0</v>
      </c>
      <c r="S113" s="1172">
        <f>+S114+S120</f>
        <v>296967501</v>
      </c>
    </row>
    <row r="114" spans="1:19" s="418" customFormat="1" ht="39.950000000000003" customHeight="1">
      <c r="A114" s="1177" t="s">
        <v>222</v>
      </c>
      <c r="B114" s="1090"/>
      <c r="C114" s="1090"/>
      <c r="D114" s="1090" t="s">
        <v>210</v>
      </c>
      <c r="E114" s="1090">
        <v>1</v>
      </c>
      <c r="F114" s="1165">
        <f>SUM(F115:F119)</f>
        <v>172397547</v>
      </c>
      <c r="G114" s="1165">
        <f t="shared" ref="G114" si="57">SUM(G115:G117)</f>
        <v>0</v>
      </c>
      <c r="H114" s="1165">
        <f>SUM(H115:H119)</f>
        <v>0</v>
      </c>
      <c r="I114" s="1178">
        <f>SUM(I115:I119)</f>
        <v>172397547</v>
      </c>
      <c r="K114" s="1196">
        <f>SUM(K115:K119)</f>
        <v>0</v>
      </c>
      <c r="L114" s="1165">
        <f t="shared" ref="L114:N114" si="58">SUM(L115:L119)</f>
        <v>0</v>
      </c>
      <c r="M114" s="1165">
        <f t="shared" si="58"/>
        <v>0</v>
      </c>
      <c r="N114" s="1165">
        <f t="shared" si="58"/>
        <v>0</v>
      </c>
      <c r="O114" s="1178">
        <f>SUM(O115:O119)</f>
        <v>0</v>
      </c>
      <c r="Q114" s="1178">
        <f>SUM(Q115:Q119)</f>
        <v>0</v>
      </c>
      <c r="S114" s="1207">
        <f>SUM(S115:S119)</f>
        <v>172397547</v>
      </c>
    </row>
    <row r="115" spans="1:19" s="65" customFormat="1" ht="39.950000000000003" customHeight="1">
      <c r="A115" s="67" t="s">
        <v>500</v>
      </c>
      <c r="B115" s="30" t="s">
        <v>237</v>
      </c>
      <c r="C115" s="30">
        <v>83990</v>
      </c>
      <c r="D115" s="30" t="s">
        <v>208</v>
      </c>
      <c r="E115" s="30">
        <v>8</v>
      </c>
      <c r="F115" s="684">
        <v>35259307</v>
      </c>
      <c r="G115" s="768"/>
      <c r="H115" s="768"/>
      <c r="I115" s="1191">
        <f>SUM(F115:H115)</f>
        <v>35259307</v>
      </c>
      <c r="K115" s="1204"/>
      <c r="L115" s="684"/>
      <c r="M115" s="684"/>
      <c r="N115" s="684"/>
      <c r="O115" s="1191">
        <f>SUM(K115:N115)</f>
        <v>0</v>
      </c>
      <c r="Q115" s="1191"/>
      <c r="R115" s="1628"/>
      <c r="S115" s="1216">
        <f t="shared" ref="S115:S119" si="59">+I115+O115+Q115</f>
        <v>35259307</v>
      </c>
    </row>
    <row r="116" spans="1:19" s="65" customFormat="1" ht="39.950000000000003" customHeight="1">
      <c r="A116" s="67" t="s">
        <v>501</v>
      </c>
      <c r="B116" s="30" t="s">
        <v>237</v>
      </c>
      <c r="C116" s="30">
        <v>83990</v>
      </c>
      <c r="D116" s="30" t="s">
        <v>208</v>
      </c>
      <c r="E116" s="30">
        <v>11</v>
      </c>
      <c r="F116" s="684">
        <v>48481548</v>
      </c>
      <c r="G116" s="768"/>
      <c r="H116" s="768"/>
      <c r="I116" s="1191">
        <f t="shared" ref="I116:I119" si="60">SUM(F116:H116)</f>
        <v>48481548</v>
      </c>
      <c r="K116" s="1204"/>
      <c r="L116" s="684"/>
      <c r="M116" s="684"/>
      <c r="N116" s="684"/>
      <c r="O116" s="1191">
        <f t="shared" ref="O116:O119" si="61">SUM(K116:N116)</f>
        <v>0</v>
      </c>
      <c r="Q116" s="1191"/>
      <c r="R116" s="1628"/>
      <c r="S116" s="1216">
        <f t="shared" si="59"/>
        <v>48481548</v>
      </c>
    </row>
    <row r="117" spans="1:19" s="682" customFormat="1" ht="39.950000000000003" customHeight="1">
      <c r="A117" s="67" t="s">
        <v>988</v>
      </c>
      <c r="B117" s="30" t="s">
        <v>237</v>
      </c>
      <c r="C117" s="30">
        <v>83990</v>
      </c>
      <c r="D117" s="30" t="s">
        <v>208</v>
      </c>
      <c r="E117" s="30">
        <v>11</v>
      </c>
      <c r="F117" s="684">
        <v>48481548</v>
      </c>
      <c r="G117" s="768"/>
      <c r="H117" s="768"/>
      <c r="I117" s="1191">
        <f t="shared" si="60"/>
        <v>48481548</v>
      </c>
      <c r="K117" s="1204"/>
      <c r="L117" s="684"/>
      <c r="M117" s="684"/>
      <c r="N117" s="684"/>
      <c r="O117" s="1191">
        <f>SUM(K117:N117)</f>
        <v>0</v>
      </c>
      <c r="Q117" s="1191"/>
      <c r="S117" s="1216">
        <f t="shared" si="59"/>
        <v>48481548</v>
      </c>
    </row>
    <row r="118" spans="1:19" s="682" customFormat="1" ht="39.950000000000003" customHeight="1">
      <c r="A118" s="67" t="s">
        <v>989</v>
      </c>
      <c r="B118" s="30" t="s">
        <v>237</v>
      </c>
      <c r="C118" s="30">
        <v>83990</v>
      </c>
      <c r="D118" s="30" t="s">
        <v>208</v>
      </c>
      <c r="E118" s="30">
        <v>11</v>
      </c>
      <c r="F118" s="684">
        <v>34552744</v>
      </c>
      <c r="G118" s="768"/>
      <c r="H118" s="768"/>
      <c r="I118" s="1191">
        <f t="shared" si="60"/>
        <v>34552744</v>
      </c>
      <c r="K118" s="1204"/>
      <c r="L118" s="684"/>
      <c r="M118" s="684"/>
      <c r="N118" s="684"/>
      <c r="O118" s="1191">
        <f t="shared" si="61"/>
        <v>0</v>
      </c>
      <c r="Q118" s="1191"/>
      <c r="S118" s="1216">
        <f t="shared" si="59"/>
        <v>34552744</v>
      </c>
    </row>
    <row r="119" spans="1:19" s="682" customFormat="1" ht="39.950000000000003" customHeight="1">
      <c r="A119" s="67" t="s">
        <v>496</v>
      </c>
      <c r="B119" s="30" t="s">
        <v>237</v>
      </c>
      <c r="C119" s="30">
        <v>83990</v>
      </c>
      <c r="D119" s="30" t="s">
        <v>208</v>
      </c>
      <c r="E119" s="30">
        <v>9</v>
      </c>
      <c r="F119" s="684">
        <v>5622400</v>
      </c>
      <c r="G119" s="768"/>
      <c r="H119" s="768"/>
      <c r="I119" s="1191">
        <f t="shared" si="60"/>
        <v>5622400</v>
      </c>
      <c r="K119" s="1204"/>
      <c r="L119" s="684"/>
      <c r="M119" s="684"/>
      <c r="N119" s="684"/>
      <c r="O119" s="1191">
        <f t="shared" si="61"/>
        <v>0</v>
      </c>
      <c r="Q119" s="1191"/>
      <c r="S119" s="1216">
        <f t="shared" si="59"/>
        <v>5622400</v>
      </c>
    </row>
    <row r="120" spans="1:19" ht="39.950000000000003" customHeight="1">
      <c r="A120" s="1180" t="s">
        <v>223</v>
      </c>
      <c r="B120" s="178"/>
      <c r="C120" s="178"/>
      <c r="D120" s="178" t="s">
        <v>210</v>
      </c>
      <c r="E120" s="178">
        <v>1</v>
      </c>
      <c r="F120" s="497">
        <f>SUM(F121:F132)</f>
        <v>72031693</v>
      </c>
      <c r="G120" s="497">
        <f t="shared" ref="G120" si="62">SUM(G121:G132)</f>
        <v>0</v>
      </c>
      <c r="H120" s="497">
        <f>SUM(H121:H132)</f>
        <v>25088299</v>
      </c>
      <c r="I120" s="1181">
        <f>SUM(I121:I132)</f>
        <v>97119992</v>
      </c>
      <c r="K120" s="1198">
        <f>SUM(K121:K132)</f>
        <v>0</v>
      </c>
      <c r="L120" s="497">
        <f t="shared" ref="L120:N120" si="63">SUM(L121:L132)</f>
        <v>27449962</v>
      </c>
      <c r="M120" s="497">
        <f t="shared" si="63"/>
        <v>0</v>
      </c>
      <c r="N120" s="497">
        <f t="shared" si="63"/>
        <v>0</v>
      </c>
      <c r="O120" s="1181">
        <f>SUM(O121:O132)</f>
        <v>27449962</v>
      </c>
      <c r="Q120" s="1181">
        <f>SUM(Q121:Q132)</f>
        <v>0</v>
      </c>
      <c r="S120" s="1209">
        <f>SUM(S121:S132)</f>
        <v>124569954</v>
      </c>
    </row>
    <row r="121" spans="1:19" s="1628" customFormat="1" ht="39.950000000000003" customHeight="1">
      <c r="A121" s="758" t="s">
        <v>502</v>
      </c>
      <c r="B121" s="1627" t="s">
        <v>237</v>
      </c>
      <c r="C121" s="1627">
        <v>83449</v>
      </c>
      <c r="D121" s="1627" t="s">
        <v>503</v>
      </c>
      <c r="E121" s="1627">
        <v>4</v>
      </c>
      <c r="F121" s="685"/>
      <c r="G121" s="1627"/>
      <c r="H121" s="685"/>
      <c r="I121" s="1192">
        <f t="shared" ref="I121:I132" si="64">SUM(F121:H121)</f>
        <v>0</v>
      </c>
      <c r="K121" s="1197"/>
      <c r="L121" s="685">
        <f>42166327-14716365</f>
        <v>27449962</v>
      </c>
      <c r="M121" s="685"/>
      <c r="N121" s="685"/>
      <c r="O121" s="1192">
        <f>SUM(K121:N121)</f>
        <v>27449962</v>
      </c>
      <c r="Q121" s="1192"/>
      <c r="S121" s="1217">
        <f t="shared" ref="S121:S128" si="65">+I121+O121+Q121</f>
        <v>27449962</v>
      </c>
    </row>
    <row r="122" spans="1:19" s="1628" customFormat="1" ht="39.950000000000003" customHeight="1">
      <c r="A122" s="1952" t="s">
        <v>826</v>
      </c>
      <c r="B122" s="1627" t="s">
        <v>251</v>
      </c>
      <c r="C122" s="1627">
        <v>43410</v>
      </c>
      <c r="D122" s="1627" t="s">
        <v>210</v>
      </c>
      <c r="E122" s="1627">
        <v>1</v>
      </c>
      <c r="F122" s="685">
        <f>40398657-2919</f>
        <v>40395738</v>
      </c>
      <c r="G122" s="1627"/>
      <c r="H122" s="685">
        <f>19136206-1382</f>
        <v>19134824</v>
      </c>
      <c r="I122" s="1192">
        <f t="shared" si="64"/>
        <v>59530562</v>
      </c>
      <c r="K122" s="1197"/>
      <c r="L122" s="685"/>
      <c r="M122" s="685"/>
      <c r="N122" s="685"/>
      <c r="O122" s="1192">
        <f t="shared" ref="O122:O132" si="66">SUM(K122:N122)</f>
        <v>0</v>
      </c>
      <c r="Q122" s="1192"/>
      <c r="S122" s="1217">
        <f t="shared" si="65"/>
        <v>59530562</v>
      </c>
    </row>
    <row r="123" spans="1:19" s="1628" customFormat="1" ht="39.950000000000003" customHeight="1">
      <c r="A123" s="1188" t="s">
        <v>653</v>
      </c>
      <c r="B123" s="769" t="s">
        <v>237</v>
      </c>
      <c r="C123" s="769">
        <v>83990</v>
      </c>
      <c r="D123" s="1627" t="s">
        <v>210</v>
      </c>
      <c r="E123" s="1627">
        <v>1</v>
      </c>
      <c r="F123" s="681"/>
      <c r="G123" s="1627"/>
      <c r="H123" s="1791">
        <v>5953475</v>
      </c>
      <c r="I123" s="1192">
        <f t="shared" si="64"/>
        <v>5953475</v>
      </c>
      <c r="K123" s="1200"/>
      <c r="L123" s="681"/>
      <c r="M123" s="681"/>
      <c r="N123" s="681"/>
      <c r="O123" s="1192">
        <f t="shared" si="66"/>
        <v>0</v>
      </c>
      <c r="Q123" s="1192"/>
      <c r="S123" s="1217">
        <f t="shared" si="65"/>
        <v>5953475</v>
      </c>
    </row>
    <row r="124" spans="1:19" s="1628" customFormat="1" ht="39.950000000000003" customHeight="1">
      <c r="A124" s="1792" t="s">
        <v>504</v>
      </c>
      <c r="B124" s="769" t="s">
        <v>906</v>
      </c>
      <c r="C124" s="769" t="s">
        <v>1083</v>
      </c>
      <c r="D124" s="1627" t="s">
        <v>210</v>
      </c>
      <c r="E124" s="1627">
        <v>1</v>
      </c>
      <c r="F124" s="681">
        <f>5485756-969747</f>
        <v>4516009</v>
      </c>
      <c r="G124" s="2039"/>
      <c r="H124" s="1791"/>
      <c r="I124" s="1192">
        <f t="shared" si="64"/>
        <v>4516009</v>
      </c>
      <c r="K124" s="1200"/>
      <c r="L124" s="681"/>
      <c r="M124" s="681"/>
      <c r="N124" s="681"/>
      <c r="O124" s="1192">
        <f t="shared" si="66"/>
        <v>0</v>
      </c>
      <c r="Q124" s="1192"/>
      <c r="S124" s="1217">
        <f t="shared" si="65"/>
        <v>4516009</v>
      </c>
    </row>
    <row r="125" spans="1:19" s="1628" customFormat="1" ht="39.950000000000003" customHeight="1">
      <c r="A125" s="1792" t="s">
        <v>504</v>
      </c>
      <c r="B125" s="769" t="s">
        <v>1101</v>
      </c>
      <c r="C125" s="769" t="s">
        <v>1083</v>
      </c>
      <c r="D125" s="1627" t="s">
        <v>210</v>
      </c>
      <c r="E125" s="1627">
        <v>1</v>
      </c>
      <c r="F125" s="681">
        <f>1454796-374635</f>
        <v>1080161</v>
      </c>
      <c r="G125" s="2039"/>
      <c r="H125" s="1791"/>
      <c r="I125" s="1192">
        <f t="shared" si="64"/>
        <v>1080161</v>
      </c>
      <c r="K125" s="1200"/>
      <c r="L125" s="681"/>
      <c r="M125" s="681"/>
      <c r="N125" s="681"/>
      <c r="O125" s="1192">
        <f t="shared" si="66"/>
        <v>0</v>
      </c>
      <c r="Q125" s="1192"/>
      <c r="S125" s="1217">
        <f t="shared" si="65"/>
        <v>1080161</v>
      </c>
    </row>
    <row r="126" spans="1:19" s="1628" customFormat="1" ht="39.950000000000003" customHeight="1">
      <c r="A126" s="1792" t="s">
        <v>504</v>
      </c>
      <c r="B126" s="769" t="s">
        <v>1102</v>
      </c>
      <c r="C126" s="769" t="s">
        <v>1083</v>
      </c>
      <c r="D126" s="1627" t="s">
        <v>210</v>
      </c>
      <c r="E126" s="1627">
        <v>1</v>
      </c>
      <c r="F126" s="681">
        <f>21413399-5453952</f>
        <v>15959447</v>
      </c>
      <c r="G126" s="2039"/>
      <c r="H126" s="1791"/>
      <c r="I126" s="1192">
        <f t="shared" si="64"/>
        <v>15959447</v>
      </c>
      <c r="K126" s="1200"/>
      <c r="L126" s="681"/>
      <c r="M126" s="681"/>
      <c r="N126" s="681"/>
      <c r="O126" s="1192">
        <f t="shared" si="66"/>
        <v>0</v>
      </c>
      <c r="Q126" s="1192"/>
      <c r="S126" s="1217">
        <f t="shared" si="65"/>
        <v>15959447</v>
      </c>
    </row>
    <row r="127" spans="1:19" s="1628" customFormat="1" ht="39.950000000000003" customHeight="1">
      <c r="A127" s="1792" t="s">
        <v>504</v>
      </c>
      <c r="B127" s="769" t="s">
        <v>1103</v>
      </c>
      <c r="C127" s="769" t="s">
        <v>1083</v>
      </c>
      <c r="D127" s="1627" t="s">
        <v>210</v>
      </c>
      <c r="E127" s="1627">
        <v>1</v>
      </c>
      <c r="F127" s="681">
        <f>5046606-646288</f>
        <v>4400318</v>
      </c>
      <c r="G127" s="2039"/>
      <c r="H127" s="1791"/>
      <c r="I127" s="1192">
        <f t="shared" si="64"/>
        <v>4400318</v>
      </c>
      <c r="K127" s="1200"/>
      <c r="L127" s="681"/>
      <c r="M127" s="681"/>
      <c r="N127" s="681"/>
      <c r="O127" s="1192">
        <f t="shared" si="66"/>
        <v>0</v>
      </c>
      <c r="Q127" s="1192"/>
      <c r="S127" s="1217">
        <f t="shared" si="65"/>
        <v>4400318</v>
      </c>
    </row>
    <row r="128" spans="1:19" s="679" customFormat="1" ht="39.950000000000003" customHeight="1">
      <c r="A128" s="1953" t="s">
        <v>504</v>
      </c>
      <c r="B128" s="1954" t="s">
        <v>1103</v>
      </c>
      <c r="C128" s="1954" t="s">
        <v>1084</v>
      </c>
      <c r="D128" s="30" t="s">
        <v>210</v>
      </c>
      <c r="E128" s="30">
        <v>1</v>
      </c>
      <c r="F128" s="498">
        <f>2915121-1381583</f>
        <v>1533538</v>
      </c>
      <c r="G128" s="30"/>
      <c r="H128" s="1955"/>
      <c r="I128" s="1956">
        <f t="shared" si="64"/>
        <v>1533538</v>
      </c>
      <c r="K128" s="1641"/>
      <c r="L128" s="498"/>
      <c r="M128" s="498"/>
      <c r="N128" s="498"/>
      <c r="O128" s="1956">
        <f t="shared" si="66"/>
        <v>0</v>
      </c>
      <c r="Q128" s="1956"/>
      <c r="S128" s="1210">
        <f t="shared" si="65"/>
        <v>1533538</v>
      </c>
    </row>
    <row r="129" spans="1:19" s="1628" customFormat="1" ht="39.950000000000003" customHeight="1">
      <c r="A129" s="1792" t="s">
        <v>504</v>
      </c>
      <c r="B129" s="769" t="s">
        <v>906</v>
      </c>
      <c r="C129" s="769" t="s">
        <v>1084</v>
      </c>
      <c r="D129" s="1627" t="s">
        <v>210</v>
      </c>
      <c r="E129" s="1627">
        <v>1</v>
      </c>
      <c r="F129" s="681">
        <f>602685-602685</f>
        <v>0</v>
      </c>
      <c r="G129" s="1627"/>
      <c r="H129" s="1791"/>
      <c r="I129" s="1192">
        <f t="shared" si="64"/>
        <v>0</v>
      </c>
      <c r="K129" s="1200"/>
      <c r="L129" s="681"/>
      <c r="M129" s="681"/>
      <c r="N129" s="681"/>
      <c r="O129" s="1192">
        <f t="shared" si="66"/>
        <v>0</v>
      </c>
      <c r="Q129" s="1192"/>
      <c r="S129" s="1217">
        <f>+I129+O129+Q129</f>
        <v>0</v>
      </c>
    </row>
    <row r="130" spans="1:19" s="1628" customFormat="1" ht="39.950000000000003" customHeight="1">
      <c r="A130" s="1649" t="s">
        <v>504</v>
      </c>
      <c r="B130" s="30" t="s">
        <v>1102</v>
      </c>
      <c r="C130" s="1779" t="s">
        <v>1084</v>
      </c>
      <c r="D130" s="30" t="s">
        <v>210</v>
      </c>
      <c r="E130" s="30">
        <v>1</v>
      </c>
      <c r="F130" s="498">
        <f>259488-38646</f>
        <v>220842</v>
      </c>
      <c r="G130" s="1627"/>
      <c r="H130" s="1791"/>
      <c r="I130" s="1192">
        <f t="shared" si="64"/>
        <v>220842</v>
      </c>
      <c r="K130" s="1200"/>
      <c r="L130" s="681"/>
      <c r="M130" s="681"/>
      <c r="N130" s="681"/>
      <c r="O130" s="1192">
        <f t="shared" si="66"/>
        <v>0</v>
      </c>
      <c r="Q130" s="1192"/>
      <c r="S130" s="1217">
        <f t="shared" ref="S130:S132" si="67">+I130+O130+Q130</f>
        <v>220842</v>
      </c>
    </row>
    <row r="131" spans="1:19" s="1628" customFormat="1" ht="39.950000000000003" customHeight="1">
      <c r="A131" s="1649" t="s">
        <v>1085</v>
      </c>
      <c r="B131" s="30" t="s">
        <v>1095</v>
      </c>
      <c r="C131" s="30">
        <v>196106</v>
      </c>
      <c r="D131" s="30"/>
      <c r="E131" s="30"/>
      <c r="F131" s="498">
        <v>3162600</v>
      </c>
      <c r="G131" s="1627"/>
      <c r="H131" s="1627"/>
      <c r="I131" s="1192">
        <f t="shared" si="64"/>
        <v>3162600</v>
      </c>
      <c r="K131" s="1200"/>
      <c r="L131" s="681"/>
      <c r="M131" s="681"/>
      <c r="N131" s="681"/>
      <c r="O131" s="1192">
        <f t="shared" si="66"/>
        <v>0</v>
      </c>
      <c r="Q131" s="1192"/>
      <c r="S131" s="1217">
        <f t="shared" si="67"/>
        <v>3162600</v>
      </c>
    </row>
    <row r="132" spans="1:19" s="682" customFormat="1" ht="39.950000000000003" customHeight="1" thickBot="1">
      <c r="A132" s="1649" t="s">
        <v>1085</v>
      </c>
      <c r="B132" s="30" t="s">
        <v>1096</v>
      </c>
      <c r="C132" s="30">
        <v>196104</v>
      </c>
      <c r="D132" s="30"/>
      <c r="E132" s="30"/>
      <c r="F132" s="768">
        <v>763040</v>
      </c>
      <c r="G132" s="21"/>
      <c r="H132" s="21"/>
      <c r="I132" s="1793">
        <f t="shared" si="64"/>
        <v>763040</v>
      </c>
      <c r="K132" s="1794"/>
      <c r="L132" s="1795"/>
      <c r="M132" s="1795"/>
      <c r="N132" s="1795"/>
      <c r="O132" s="1793">
        <f t="shared" si="66"/>
        <v>0</v>
      </c>
      <c r="Q132" s="1793"/>
      <c r="S132" s="1796">
        <f t="shared" si="67"/>
        <v>763040</v>
      </c>
    </row>
    <row r="133" spans="1:19" s="418" customFormat="1" ht="39.950000000000003" customHeight="1" thickBot="1">
      <c r="A133" s="1176" t="s">
        <v>37</v>
      </c>
      <c r="B133" s="1100"/>
      <c r="C133" s="1100"/>
      <c r="D133" s="562" t="s">
        <v>215</v>
      </c>
      <c r="E133" s="566">
        <v>100</v>
      </c>
      <c r="F133" s="1174">
        <f>+F134+F140</f>
        <v>168774614</v>
      </c>
      <c r="G133" s="1174">
        <f t="shared" ref="G133" si="68">+G134+G140</f>
        <v>0</v>
      </c>
      <c r="H133" s="1174">
        <f>+H134+H140</f>
        <v>77635419</v>
      </c>
      <c r="I133" s="1175">
        <f>+I134+I140</f>
        <v>246410033</v>
      </c>
      <c r="K133" s="1173">
        <f>+K134+K140</f>
        <v>0</v>
      </c>
      <c r="L133" s="1174">
        <f t="shared" ref="L133:N133" si="69">+L134+L140</f>
        <v>0</v>
      </c>
      <c r="M133" s="1174">
        <f t="shared" si="69"/>
        <v>0</v>
      </c>
      <c r="N133" s="1174">
        <f t="shared" si="69"/>
        <v>0</v>
      </c>
      <c r="O133" s="1175">
        <f>+O134+O140</f>
        <v>0</v>
      </c>
      <c r="Q133" s="1175">
        <f>+Q134+Q140</f>
        <v>0</v>
      </c>
      <c r="S133" s="1172">
        <f>+S134+S140</f>
        <v>246410033</v>
      </c>
    </row>
    <row r="134" spans="1:19" s="418" customFormat="1" ht="39.950000000000003" customHeight="1">
      <c r="A134" s="1177" t="s">
        <v>224</v>
      </c>
      <c r="B134" s="1090" t="s">
        <v>237</v>
      </c>
      <c r="C134" s="1090"/>
      <c r="D134" s="1090" t="s">
        <v>210</v>
      </c>
      <c r="E134" s="1090">
        <v>1</v>
      </c>
      <c r="F134" s="1165">
        <f>SUM(F135:F139)</f>
        <v>133887422</v>
      </c>
      <c r="G134" s="1165">
        <f t="shared" ref="G134:I134" si="70">SUM(G135:G139)</f>
        <v>0</v>
      </c>
      <c r="H134" s="1165">
        <f t="shared" si="70"/>
        <v>22037067</v>
      </c>
      <c r="I134" s="1178">
        <f t="shared" si="70"/>
        <v>155924489</v>
      </c>
      <c r="K134" s="1196">
        <f>SUM(K135:K139)</f>
        <v>0</v>
      </c>
      <c r="L134" s="1165">
        <f t="shared" ref="L134:N134" si="71">SUM(L135:L139)</f>
        <v>0</v>
      </c>
      <c r="M134" s="1165">
        <f t="shared" si="71"/>
        <v>0</v>
      </c>
      <c r="N134" s="1165">
        <f t="shared" si="71"/>
        <v>0</v>
      </c>
      <c r="O134" s="1178">
        <f>SUM(O135:O139)</f>
        <v>0</v>
      </c>
      <c r="Q134" s="1178">
        <f>SUM(Q135:Q139)</f>
        <v>0</v>
      </c>
      <c r="S134" s="1207">
        <f>SUM(S135:S139)</f>
        <v>155924489</v>
      </c>
    </row>
    <row r="135" spans="1:19" s="65" customFormat="1" ht="39.950000000000003" customHeight="1">
      <c r="A135" s="758" t="s">
        <v>505</v>
      </c>
      <c r="B135" s="763" t="s">
        <v>237</v>
      </c>
      <c r="C135" s="763">
        <v>83990</v>
      </c>
      <c r="D135" s="763" t="s">
        <v>208</v>
      </c>
      <c r="E135" s="763">
        <v>11</v>
      </c>
      <c r="F135" s="685">
        <v>48481548</v>
      </c>
      <c r="G135" s="763"/>
      <c r="H135" s="763"/>
      <c r="I135" s="1193">
        <f>SUM(F135:H135)</f>
        <v>48481548</v>
      </c>
      <c r="K135" s="1197"/>
      <c r="L135" s="685"/>
      <c r="M135" s="685"/>
      <c r="N135" s="685"/>
      <c r="O135" s="1193">
        <f>SUM(K135:N135)</f>
        <v>0</v>
      </c>
      <c r="Q135" s="1193"/>
      <c r="R135" s="1628"/>
      <c r="S135" s="1218">
        <f t="shared" ref="S135:S139" si="72">+I135+O135+Q135</f>
        <v>48481548</v>
      </c>
    </row>
    <row r="136" spans="1:19" s="682" customFormat="1" ht="39.950000000000003" customHeight="1">
      <c r="A136" s="758" t="s">
        <v>506</v>
      </c>
      <c r="B136" s="1627" t="s">
        <v>237</v>
      </c>
      <c r="C136" s="1627">
        <v>83990</v>
      </c>
      <c r="D136" s="1627" t="s">
        <v>208</v>
      </c>
      <c r="E136" s="1627">
        <v>11</v>
      </c>
      <c r="F136" s="685">
        <v>48481548</v>
      </c>
      <c r="G136" s="1627"/>
      <c r="H136" s="1627"/>
      <c r="I136" s="1193">
        <f>SUM(F136:H136)</f>
        <v>48481548</v>
      </c>
      <c r="K136" s="1197"/>
      <c r="L136" s="685"/>
      <c r="M136" s="685"/>
      <c r="N136" s="685"/>
      <c r="O136" s="1193">
        <f t="shared" ref="O136:O139" si="73">SUM(K136:N136)</f>
        <v>0</v>
      </c>
      <c r="Q136" s="1193"/>
      <c r="S136" s="1218">
        <f t="shared" si="72"/>
        <v>48481548</v>
      </c>
    </row>
    <row r="137" spans="1:19" s="1628" customFormat="1" ht="39.950000000000003" customHeight="1">
      <c r="A137" s="758" t="s">
        <v>507</v>
      </c>
      <c r="B137" s="1627" t="s">
        <v>237</v>
      </c>
      <c r="C137" s="1627">
        <v>83990</v>
      </c>
      <c r="D137" s="1627" t="s">
        <v>208</v>
      </c>
      <c r="E137" s="1627">
        <v>5</v>
      </c>
      <c r="F137" s="770"/>
      <c r="G137" s="1627"/>
      <c r="H137" s="685">
        <v>22037067</v>
      </c>
      <c r="I137" s="1193">
        <f>SUM(F137:H137)</f>
        <v>22037067</v>
      </c>
      <c r="K137" s="1205"/>
      <c r="L137" s="770"/>
      <c r="M137" s="770"/>
      <c r="N137" s="770"/>
      <c r="O137" s="1193">
        <f t="shared" si="73"/>
        <v>0</v>
      </c>
      <c r="Q137" s="1193"/>
      <c r="S137" s="1218">
        <f t="shared" si="72"/>
        <v>22037067</v>
      </c>
    </row>
    <row r="138" spans="1:19" s="1628" customFormat="1" ht="39.950000000000003" customHeight="1">
      <c r="A138" s="758" t="s">
        <v>990</v>
      </c>
      <c r="B138" s="1627" t="s">
        <v>237</v>
      </c>
      <c r="C138" s="1627">
        <v>83990</v>
      </c>
      <c r="D138" s="1627" t="s">
        <v>208</v>
      </c>
      <c r="E138" s="1627">
        <v>5</v>
      </c>
      <c r="F138" s="685">
        <f>17570000-2682741</f>
        <v>14887259</v>
      </c>
      <c r="G138" s="1627"/>
      <c r="H138" s="1627"/>
      <c r="I138" s="1193">
        <f>SUM(F138:H138)</f>
        <v>14887259</v>
      </c>
      <c r="K138" s="1197"/>
      <c r="L138" s="685"/>
      <c r="M138" s="685"/>
      <c r="N138" s="685"/>
      <c r="O138" s="1193">
        <f t="shared" si="73"/>
        <v>0</v>
      </c>
      <c r="Q138" s="1193"/>
      <c r="S138" s="1218">
        <f t="shared" si="72"/>
        <v>14887259</v>
      </c>
    </row>
    <row r="139" spans="1:19" s="1628" customFormat="1" ht="39.950000000000003" customHeight="1">
      <c r="A139" s="758" t="s">
        <v>508</v>
      </c>
      <c r="B139" s="1627" t="s">
        <v>237</v>
      </c>
      <c r="C139" s="1627">
        <v>83990</v>
      </c>
      <c r="D139" s="1627" t="s">
        <v>208</v>
      </c>
      <c r="E139" s="1627">
        <v>5</v>
      </c>
      <c r="F139" s="685">
        <v>22037067</v>
      </c>
      <c r="G139" s="1627"/>
      <c r="H139" s="1627"/>
      <c r="I139" s="1193">
        <f>SUM(F139:H139)</f>
        <v>22037067</v>
      </c>
      <c r="K139" s="1197"/>
      <c r="L139" s="685"/>
      <c r="M139" s="685"/>
      <c r="N139" s="685"/>
      <c r="O139" s="1193">
        <f t="shared" si="73"/>
        <v>0</v>
      </c>
      <c r="Q139" s="1193"/>
      <c r="S139" s="1218">
        <f t="shared" si="72"/>
        <v>22037067</v>
      </c>
    </row>
    <row r="140" spans="1:19" s="418" customFormat="1" ht="39.950000000000003" customHeight="1">
      <c r="A140" s="1180" t="s">
        <v>225</v>
      </c>
      <c r="B140" s="178"/>
      <c r="C140" s="178"/>
      <c r="D140" s="178" t="s">
        <v>210</v>
      </c>
      <c r="E140" s="178">
        <v>1</v>
      </c>
      <c r="F140" s="497">
        <f>SUM(F141:F148)</f>
        <v>34887192</v>
      </c>
      <c r="G140" s="497">
        <f>SUM(G141:G148)</f>
        <v>0</v>
      </c>
      <c r="H140" s="497">
        <f>SUM(H141:H148)</f>
        <v>55598352</v>
      </c>
      <c r="I140" s="1181">
        <f>SUM(I141:I148)</f>
        <v>90485544</v>
      </c>
      <c r="K140" s="1198">
        <f>SUM(K141:K148)</f>
        <v>0</v>
      </c>
      <c r="L140" s="497">
        <f>SUM(L141:L148)</f>
        <v>0</v>
      </c>
      <c r="M140" s="497">
        <f>SUM(M141:M148)</f>
        <v>0</v>
      </c>
      <c r="N140" s="497">
        <f>SUM(N141:N148)</f>
        <v>0</v>
      </c>
      <c r="O140" s="1181">
        <f>SUM(O141:O148)</f>
        <v>0</v>
      </c>
      <c r="Q140" s="1181">
        <f>SUM(Q141:Q148)</f>
        <v>0</v>
      </c>
      <c r="S140" s="1209">
        <f>SUM(S141:S148)</f>
        <v>90485544</v>
      </c>
    </row>
    <row r="141" spans="1:19" s="680" customFormat="1" ht="39.950000000000003" customHeight="1">
      <c r="A141" s="67" t="s">
        <v>509</v>
      </c>
      <c r="B141" s="30" t="s">
        <v>287</v>
      </c>
      <c r="C141" s="30" t="s">
        <v>924</v>
      </c>
      <c r="D141" s="30" t="s">
        <v>210</v>
      </c>
      <c r="E141" s="30">
        <v>1</v>
      </c>
      <c r="F141" s="768"/>
      <c r="G141" s="768"/>
      <c r="H141" s="1811">
        <f>11321774+28-3632668</f>
        <v>7689134</v>
      </c>
      <c r="I141" s="1812">
        <f>SUM(F141:H141)</f>
        <v>7689134</v>
      </c>
      <c r="K141" s="1201"/>
      <c r="L141" s="768"/>
      <c r="M141" s="768"/>
      <c r="N141" s="768"/>
      <c r="O141" s="1812">
        <f>SUM(K141:N141)</f>
        <v>0</v>
      </c>
      <c r="Q141" s="1812"/>
      <c r="S141" s="1813">
        <f t="shared" ref="S141:S143" si="74">+I141+O141+Q141</f>
        <v>7689134</v>
      </c>
    </row>
    <row r="142" spans="1:19" s="1808" customFormat="1" ht="39.950000000000003" customHeight="1">
      <c r="A142" s="67" t="s">
        <v>510</v>
      </c>
      <c r="B142" s="30" t="s">
        <v>242</v>
      </c>
      <c r="C142" s="30" t="s">
        <v>925</v>
      </c>
      <c r="D142" s="30" t="s">
        <v>210</v>
      </c>
      <c r="E142" s="30">
        <v>1</v>
      </c>
      <c r="F142" s="768"/>
      <c r="G142" s="768"/>
      <c r="H142" s="1811">
        <v>40546014</v>
      </c>
      <c r="I142" s="1812">
        <f>SUM(F142:H142)</f>
        <v>40546014</v>
      </c>
      <c r="J142" s="680"/>
      <c r="K142" s="1201"/>
      <c r="L142" s="768"/>
      <c r="M142" s="768"/>
      <c r="N142" s="768"/>
      <c r="O142" s="1812">
        <f t="shared" ref="O142:O148" si="75">SUM(K142:N142)</f>
        <v>0</v>
      </c>
      <c r="P142" s="680"/>
      <c r="Q142" s="1812"/>
      <c r="R142" s="680"/>
      <c r="S142" s="1813">
        <f t="shared" si="74"/>
        <v>40546014</v>
      </c>
    </row>
    <row r="143" spans="1:19" s="1808" customFormat="1" ht="39.950000000000003" customHeight="1">
      <c r="A143" s="67" t="s">
        <v>510</v>
      </c>
      <c r="B143" s="30" t="s">
        <v>287</v>
      </c>
      <c r="C143" s="30" t="s">
        <v>925</v>
      </c>
      <c r="D143" s="30" t="s">
        <v>210</v>
      </c>
      <c r="E143" s="30">
        <v>1</v>
      </c>
      <c r="F143" s="768"/>
      <c r="G143" s="768"/>
      <c r="H143" s="1811">
        <v>4505113</v>
      </c>
      <c r="I143" s="1812">
        <f>SUM(F143:H143)</f>
        <v>4505113</v>
      </c>
      <c r="J143" s="680"/>
      <c r="K143" s="1201"/>
      <c r="L143" s="768"/>
      <c r="M143" s="768"/>
      <c r="N143" s="768"/>
      <c r="O143" s="1812"/>
      <c r="P143" s="680"/>
      <c r="Q143" s="1812"/>
      <c r="R143" s="680"/>
      <c r="S143" s="1813">
        <f t="shared" si="74"/>
        <v>4505113</v>
      </c>
    </row>
    <row r="144" spans="1:19" s="1808" customFormat="1" ht="39.950000000000003" customHeight="1">
      <c r="A144" s="67" t="s">
        <v>991</v>
      </c>
      <c r="B144" s="30" t="s">
        <v>1130</v>
      </c>
      <c r="C144" s="30">
        <v>44822.452210000003</v>
      </c>
      <c r="D144" s="30" t="s">
        <v>210</v>
      </c>
      <c r="E144" s="30">
        <v>1</v>
      </c>
      <c r="F144" s="768"/>
      <c r="G144" s="768"/>
      <c r="H144" s="1811">
        <f>432537-105878</f>
        <v>326659</v>
      </c>
      <c r="I144" s="1812">
        <f t="shared" ref="I144:I146" si="76">SUM(F144:H144)</f>
        <v>326659</v>
      </c>
      <c r="J144" s="680"/>
      <c r="K144" s="1201"/>
      <c r="L144" s="768"/>
      <c r="M144" s="768"/>
      <c r="N144" s="768"/>
      <c r="O144" s="1812"/>
      <c r="P144" s="680"/>
      <c r="Q144" s="1812"/>
      <c r="R144" s="680"/>
      <c r="S144" s="1813">
        <f t="shared" ref="S144:S148" si="77">+I144+O144+Q144</f>
        <v>326659</v>
      </c>
    </row>
    <row r="145" spans="1:19" s="1808" customFormat="1" ht="39.950000000000003" customHeight="1">
      <c r="A145" s="67" t="s">
        <v>991</v>
      </c>
      <c r="B145" s="30" t="s">
        <v>914</v>
      </c>
      <c r="C145" s="30">
        <v>44822.452210000003</v>
      </c>
      <c r="D145" s="30" t="s">
        <v>210</v>
      </c>
      <c r="E145" s="30">
        <v>1</v>
      </c>
      <c r="F145" s="768"/>
      <c r="G145" s="768"/>
      <c r="H145" s="1811">
        <f>3292558-761126</f>
        <v>2531432</v>
      </c>
      <c r="I145" s="1812">
        <f t="shared" si="76"/>
        <v>2531432</v>
      </c>
      <c r="J145" s="680"/>
      <c r="K145" s="1201"/>
      <c r="L145" s="768"/>
      <c r="M145" s="768"/>
      <c r="N145" s="768"/>
      <c r="O145" s="1812"/>
      <c r="P145" s="680"/>
      <c r="Q145" s="1812"/>
      <c r="R145" s="680"/>
      <c r="S145" s="1813">
        <f t="shared" si="77"/>
        <v>2531432</v>
      </c>
    </row>
    <row r="146" spans="1:19" s="1808" customFormat="1" ht="39.950000000000003" customHeight="1">
      <c r="A146" s="67" t="s">
        <v>511</v>
      </c>
      <c r="B146" s="30" t="s">
        <v>1141</v>
      </c>
      <c r="C146" s="30" t="s">
        <v>1142</v>
      </c>
      <c r="D146" s="30" t="s">
        <v>210</v>
      </c>
      <c r="E146" s="30">
        <v>1</v>
      </c>
      <c r="F146" s="768">
        <f>7192556-2811</f>
        <v>7189745</v>
      </c>
      <c r="G146" s="768"/>
      <c r="H146" s="1811"/>
      <c r="I146" s="1812">
        <f t="shared" si="76"/>
        <v>7189745</v>
      </c>
      <c r="J146" s="680"/>
      <c r="K146" s="1201"/>
      <c r="L146" s="768"/>
      <c r="M146" s="768"/>
      <c r="N146" s="768"/>
      <c r="O146" s="1812"/>
      <c r="P146" s="680"/>
      <c r="Q146" s="1812"/>
      <c r="R146" s="680"/>
      <c r="S146" s="1813">
        <f t="shared" si="77"/>
        <v>7189745</v>
      </c>
    </row>
    <row r="147" spans="1:19" s="680" customFormat="1" ht="39.950000000000003" customHeight="1">
      <c r="A147" s="67" t="s">
        <v>511</v>
      </c>
      <c r="B147" s="30" t="s">
        <v>1143</v>
      </c>
      <c r="C147" s="30">
        <v>47215</v>
      </c>
      <c r="D147" s="30" t="s">
        <v>210</v>
      </c>
      <c r="E147" s="30">
        <v>1</v>
      </c>
      <c r="F147" s="768">
        <f>26376084-7230</f>
        <v>26368854</v>
      </c>
      <c r="G147" s="768"/>
      <c r="H147" s="1811"/>
      <c r="I147" s="1812">
        <f>SUM(F147:H147)</f>
        <v>26368854</v>
      </c>
      <c r="K147" s="1201"/>
      <c r="L147" s="768"/>
      <c r="M147" s="768"/>
      <c r="N147" s="768"/>
      <c r="O147" s="1812">
        <f t="shared" si="75"/>
        <v>0</v>
      </c>
      <c r="Q147" s="1812"/>
      <c r="S147" s="1813">
        <f t="shared" si="77"/>
        <v>26368854</v>
      </c>
    </row>
    <row r="148" spans="1:19" s="680" customFormat="1" ht="39.950000000000003" customHeight="1" thickBot="1">
      <c r="A148" s="67" t="s">
        <v>511</v>
      </c>
      <c r="B148" s="30" t="s">
        <v>1144</v>
      </c>
      <c r="C148" s="30">
        <v>38450</v>
      </c>
      <c r="D148" s="30" t="s">
        <v>210</v>
      </c>
      <c r="E148" s="30">
        <v>1</v>
      </c>
      <c r="F148" s="768">
        <f>1338131-9538</f>
        <v>1328593</v>
      </c>
      <c r="G148" s="768"/>
      <c r="H148" s="1811"/>
      <c r="I148" s="1812">
        <f>SUM(F148:H148)</f>
        <v>1328593</v>
      </c>
      <c r="K148" s="1201"/>
      <c r="L148" s="768"/>
      <c r="M148" s="768"/>
      <c r="N148" s="768"/>
      <c r="O148" s="1812">
        <f t="shared" si="75"/>
        <v>0</v>
      </c>
      <c r="Q148" s="1812"/>
      <c r="S148" s="1813">
        <f t="shared" si="77"/>
        <v>1328593</v>
      </c>
    </row>
    <row r="149" spans="1:19" ht="39.950000000000003" customHeight="1" thickBot="1">
      <c r="A149" s="1167" t="s">
        <v>38</v>
      </c>
      <c r="B149" s="1168"/>
      <c r="C149" s="1168"/>
      <c r="D149" s="549" t="s">
        <v>210</v>
      </c>
      <c r="E149" s="568">
        <v>1</v>
      </c>
      <c r="F149" s="1169">
        <f>+F150+F153+F156</f>
        <v>0</v>
      </c>
      <c r="G149" s="1169">
        <f>+G150+G153+G156</f>
        <v>0</v>
      </c>
      <c r="H149" s="1169">
        <f>+H150+H153</f>
        <v>210425038</v>
      </c>
      <c r="I149" s="1170">
        <f>+I150+I153</f>
        <v>210425038</v>
      </c>
      <c r="K149" s="1171">
        <f>+K150+K153</f>
        <v>0</v>
      </c>
      <c r="L149" s="1169">
        <f>+L150+L153</f>
        <v>0</v>
      </c>
      <c r="M149" s="1169">
        <f>+M150+M153</f>
        <v>0</v>
      </c>
      <c r="N149" s="1169">
        <f>+N150+N153</f>
        <v>0</v>
      </c>
      <c r="O149" s="1170">
        <f>+O150+O153+O156</f>
        <v>0</v>
      </c>
      <c r="Q149" s="1170">
        <f>+Q150+Q153</f>
        <v>0</v>
      </c>
      <c r="S149" s="1166">
        <f>+S150+S153</f>
        <v>210425038</v>
      </c>
    </row>
    <row r="150" spans="1:19" ht="39.950000000000003" customHeight="1">
      <c r="A150" s="1177" t="s">
        <v>226</v>
      </c>
      <c r="B150" s="1090"/>
      <c r="C150" s="1090"/>
      <c r="D150" s="1090" t="s">
        <v>210</v>
      </c>
      <c r="E150" s="1090">
        <v>1</v>
      </c>
      <c r="F150" s="499">
        <f>+F151+F152</f>
        <v>0</v>
      </c>
      <c r="G150" s="499">
        <f t="shared" ref="G150:I150" si="78">+G151+G152</f>
        <v>0</v>
      </c>
      <c r="H150" s="499">
        <f t="shared" si="78"/>
        <v>34802588</v>
      </c>
      <c r="I150" s="499">
        <f t="shared" si="78"/>
        <v>34802588</v>
      </c>
      <c r="K150" s="1137">
        <f>+K151</f>
        <v>0</v>
      </c>
      <c r="L150" s="1090">
        <f t="shared" ref="L150:N150" si="79">+L151</f>
        <v>0</v>
      </c>
      <c r="M150" s="1090">
        <f t="shared" si="79"/>
        <v>0</v>
      </c>
      <c r="N150" s="1090">
        <f t="shared" si="79"/>
        <v>0</v>
      </c>
      <c r="O150" s="1178">
        <f>+O151</f>
        <v>0</v>
      </c>
      <c r="Q150" s="1178">
        <f>SUM(Q151:Q152)</f>
        <v>0</v>
      </c>
      <c r="S150" s="1207">
        <f>SUM(S151:S152)</f>
        <v>34802588</v>
      </c>
    </row>
    <row r="151" spans="1:19" s="680" customFormat="1" ht="39.950000000000003" customHeight="1">
      <c r="A151" s="67" t="s">
        <v>512</v>
      </c>
      <c r="B151" s="30" t="s">
        <v>242</v>
      </c>
      <c r="C151" s="30">
        <v>63391</v>
      </c>
      <c r="D151" s="30"/>
      <c r="E151" s="30"/>
      <c r="F151" s="30"/>
      <c r="G151" s="30"/>
      <c r="H151" s="498">
        <f>25060000-250600</f>
        <v>24809400</v>
      </c>
      <c r="I151" s="1187">
        <f>SUM(F151:H151)</f>
        <v>24809400</v>
      </c>
      <c r="K151" s="925"/>
      <c r="L151" s="30"/>
      <c r="M151" s="30"/>
      <c r="N151" s="30"/>
      <c r="O151" s="1187">
        <f>SUM(K151:N151)</f>
        <v>0</v>
      </c>
      <c r="Q151" s="1187"/>
      <c r="S151" s="1213">
        <f t="shared" ref="S151:S152" si="80">+I151+O151+Q151</f>
        <v>24809400</v>
      </c>
    </row>
    <row r="152" spans="1:19" s="680" customFormat="1" ht="39.950000000000003" customHeight="1">
      <c r="A152" s="1996" t="s">
        <v>1181</v>
      </c>
      <c r="B152" s="537" t="s">
        <v>242</v>
      </c>
      <c r="C152" s="537"/>
      <c r="D152" s="30" t="s">
        <v>210</v>
      </c>
      <c r="E152" s="30">
        <v>1</v>
      </c>
      <c r="F152" s="537"/>
      <c r="G152" s="537"/>
      <c r="H152" s="1936">
        <f>10000000-6812</f>
        <v>9993188</v>
      </c>
      <c r="I152" s="1187">
        <f>SUM(F152:H152)</f>
        <v>9993188</v>
      </c>
      <c r="K152" s="1946"/>
      <c r="L152" s="537"/>
      <c r="M152" s="537"/>
      <c r="N152" s="537"/>
      <c r="O152" s="1187">
        <f>SUM(K152:N152)</f>
        <v>0</v>
      </c>
      <c r="Q152" s="1187"/>
      <c r="S152" s="1213">
        <f t="shared" si="80"/>
        <v>9993188</v>
      </c>
    </row>
    <row r="153" spans="1:19" ht="39.950000000000003" customHeight="1">
      <c r="A153" s="1180" t="s">
        <v>227</v>
      </c>
      <c r="B153" s="178"/>
      <c r="C153" s="178"/>
      <c r="D153" s="178" t="s">
        <v>210</v>
      </c>
      <c r="E153" s="178">
        <v>1</v>
      </c>
      <c r="F153" s="178">
        <f>SUM(F154:F156)</f>
        <v>0</v>
      </c>
      <c r="G153" s="178">
        <f t="shared" ref="G153" si="81">SUM(G154:G156)</f>
        <v>0</v>
      </c>
      <c r="H153" s="499">
        <f>SUM(H154:H156)</f>
        <v>175622450</v>
      </c>
      <c r="I153" s="499">
        <f>SUM(I154:I156)</f>
        <v>175622450</v>
      </c>
      <c r="K153" s="926">
        <f>SUM(K154:K156)</f>
        <v>0</v>
      </c>
      <c r="L153" s="178">
        <f t="shared" ref="L153:N153" si="82">SUM(L154:L156)</f>
        <v>0</v>
      </c>
      <c r="M153" s="178">
        <f t="shared" si="82"/>
        <v>0</v>
      </c>
      <c r="N153" s="178">
        <f t="shared" si="82"/>
        <v>0</v>
      </c>
      <c r="O153" s="1181">
        <f>+O154</f>
        <v>0</v>
      </c>
      <c r="Q153" s="1181">
        <f>SUM(Q154:Q156)</f>
        <v>0</v>
      </c>
      <c r="S153" s="1209">
        <f>SUM(S154:S156)</f>
        <v>175622450</v>
      </c>
    </row>
    <row r="154" spans="1:19" s="680" customFormat="1" ht="31.5" customHeight="1">
      <c r="A154" s="67" t="s">
        <v>513</v>
      </c>
      <c r="B154" s="30" t="s">
        <v>242</v>
      </c>
      <c r="C154" s="30" t="s">
        <v>869</v>
      </c>
      <c r="D154" s="30"/>
      <c r="E154" s="30"/>
      <c r="F154" s="30"/>
      <c r="G154" s="30"/>
      <c r="H154" s="498">
        <f>20000000-1201833</f>
        <v>18798167</v>
      </c>
      <c r="I154" s="1187">
        <f>SUM(F154:H154)</f>
        <v>18798167</v>
      </c>
      <c r="K154" s="925"/>
      <c r="L154" s="30"/>
      <c r="M154" s="30"/>
      <c r="N154" s="30"/>
      <c r="O154" s="1187">
        <f>SUM(K154:N154)</f>
        <v>0</v>
      </c>
      <c r="Q154" s="1187"/>
      <c r="S154" s="1213">
        <f t="shared" ref="S154:S155" si="83">+I154+O154+Q154</f>
        <v>18798167</v>
      </c>
    </row>
    <row r="155" spans="1:19" s="680" customFormat="1" ht="31.5" customHeight="1">
      <c r="A155" s="1933" t="s">
        <v>1182</v>
      </c>
      <c r="B155" s="537" t="s">
        <v>242</v>
      </c>
      <c r="C155" s="537"/>
      <c r="D155" s="30" t="s">
        <v>210</v>
      </c>
      <c r="E155" s="30">
        <v>1</v>
      </c>
      <c r="F155" s="537"/>
      <c r="G155" s="537"/>
      <c r="H155" s="1936">
        <v>15000000</v>
      </c>
      <c r="I155" s="1187">
        <f>SUM(F155:H155)</f>
        <v>15000000</v>
      </c>
      <c r="K155" s="1946"/>
      <c r="L155" s="537"/>
      <c r="M155" s="537"/>
      <c r="N155" s="537"/>
      <c r="O155" s="1187">
        <f>SUM(K155:N155)</f>
        <v>0</v>
      </c>
      <c r="Q155" s="1187"/>
      <c r="S155" s="1213">
        <f t="shared" si="83"/>
        <v>15000000</v>
      </c>
    </row>
    <row r="156" spans="1:19" ht="24.75" customHeight="1" thickBot="1">
      <c r="A156" s="1194" t="s">
        <v>228</v>
      </c>
      <c r="B156" s="181" t="s">
        <v>871</v>
      </c>
      <c r="C156" s="500"/>
      <c r="D156" s="500" t="s">
        <v>210</v>
      </c>
      <c r="E156" s="500"/>
      <c r="F156" s="500"/>
      <c r="G156" s="500"/>
      <c r="H156" s="501">
        <v>141824283</v>
      </c>
      <c r="I156" s="1195">
        <f>+H156</f>
        <v>141824283</v>
      </c>
      <c r="K156" s="928"/>
      <c r="L156" s="181"/>
      <c r="M156" s="181"/>
      <c r="N156" s="181"/>
      <c r="O156" s="1206">
        <f>SUM(K156:N156)</f>
        <v>0</v>
      </c>
      <c r="Q156" s="1206"/>
      <c r="S156" s="1219">
        <f>+I156+O156+Q156</f>
        <v>141824283</v>
      </c>
    </row>
    <row r="157" spans="1:19" ht="20.25" customHeight="1" thickBot="1">
      <c r="A157" s="2392" t="s">
        <v>10</v>
      </c>
      <c r="B157" s="2393"/>
      <c r="C157" s="2393"/>
      <c r="D157" s="2393"/>
      <c r="E157" s="2394"/>
      <c r="F157" s="1425">
        <f>+F7+F24+F43+F46+F56+F62+F65+F113+F133+F149+F156</f>
        <v>2893162811.724</v>
      </c>
      <c r="G157" s="1426">
        <f>+G7+G24+G43+G46+G56+G62+G65+G113+G133+G149+G156</f>
        <v>95000000</v>
      </c>
      <c r="H157" s="1426">
        <f>+H7+H24+H43+H46+H56+H62+H65+H113+H133+H149</f>
        <v>579908557.74160004</v>
      </c>
      <c r="I157" s="1427">
        <f>+I7+I24+I43+I46+I56+I62+I65+I113+I133+I149</f>
        <v>3568071369.4656</v>
      </c>
      <c r="K157" s="1425">
        <f>+K7+K24+K43+K46+K56+K62+K65+K113+K133+K149</f>
        <v>9480578</v>
      </c>
      <c r="L157" s="1425">
        <f>+L7+L24+L43+L46+L56+L62+L65+L113+L133+L149</f>
        <v>27449962</v>
      </c>
      <c r="M157" s="1425">
        <f>+M7+M24+M43+M46+M56+M62+M65+M113+M133+M149</f>
        <v>678292693</v>
      </c>
      <c r="N157" s="1425">
        <f>+N7+N24+N43+N46+N56+N62+N65+N113+N133+N149</f>
        <v>56000000</v>
      </c>
      <c r="O157" s="1426">
        <f>+O7+O24+O43+O46+O56+O62+O65+O113+O133+O149</f>
        <v>771223233</v>
      </c>
      <c r="Q157" s="1426">
        <f>+Q7+Q24+Q43+Q46+Q56+Q62+Q65+Q113+Q133+Q149</f>
        <v>600000000</v>
      </c>
      <c r="S157" s="1428">
        <f>+S7+S24+S43+S46+S56+S62+S65+S113+S133+S149</f>
        <v>4939294602.4656</v>
      </c>
    </row>
    <row r="158" spans="1:19" ht="15.75" thickBot="1">
      <c r="A158" s="496"/>
      <c r="B158" s="492"/>
      <c r="C158" s="492"/>
      <c r="D158" s="493"/>
      <c r="E158" s="493"/>
      <c r="F158" s="493"/>
      <c r="G158" s="493"/>
      <c r="H158" s="493"/>
      <c r="I158" s="494"/>
      <c r="K158" s="493"/>
      <c r="L158" s="493"/>
      <c r="M158" s="493"/>
      <c r="N158" s="493"/>
      <c r="O158" s="494"/>
      <c r="Q158" s="494"/>
    </row>
    <row r="159" spans="1:19" ht="15.75" thickBot="1">
      <c r="A159" s="496"/>
      <c r="B159" s="492"/>
      <c r="C159" s="492"/>
      <c r="D159" s="493"/>
      <c r="E159" s="493"/>
      <c r="F159" s="825">
        <f>2529884718+416229997+36000000-88951903</f>
        <v>2893162812</v>
      </c>
      <c r="G159" s="825">
        <v>95000000</v>
      </c>
      <c r="H159" s="825">
        <f>592484329.004-12575772</f>
        <v>579908557.00399995</v>
      </c>
      <c r="I159" s="825">
        <f>SUM(F159:H159)</f>
        <v>3568071369.0039997</v>
      </c>
      <c r="K159" s="825">
        <v>9480578</v>
      </c>
      <c r="L159" s="825">
        <f>50519422-23069460</f>
        <v>27449962</v>
      </c>
      <c r="M159" s="825">
        <f>678522892-230199</f>
        <v>678292693</v>
      </c>
      <c r="N159" s="825">
        <f>40000000+16000000</f>
        <v>56000000</v>
      </c>
      <c r="O159" s="825">
        <f>SUM(K159:N159)</f>
        <v>771223233</v>
      </c>
      <c r="Q159" s="825">
        <v>600000000</v>
      </c>
      <c r="S159" s="825">
        <f>4339294602+600000000</f>
        <v>4939294602</v>
      </c>
    </row>
    <row r="161" spans="6:20">
      <c r="F161" s="697">
        <f>+F157-F159</f>
        <v>-0.27600002288818359</v>
      </c>
      <c r="G161" s="697">
        <f t="shared" ref="G161:I161" si="84">+G157-G159</f>
        <v>0</v>
      </c>
      <c r="H161" s="697">
        <f t="shared" si="84"/>
        <v>0.73760008811950684</v>
      </c>
      <c r="I161" s="697">
        <f t="shared" si="84"/>
        <v>0.46160030364990234</v>
      </c>
      <c r="K161" s="697">
        <f>+K157-K159</f>
        <v>0</v>
      </c>
      <c r="L161" s="697">
        <f t="shared" ref="L161:S161" si="85">+L157-L159</f>
        <v>0</v>
      </c>
      <c r="M161" s="697">
        <f t="shared" si="85"/>
        <v>0</v>
      </c>
      <c r="N161" s="697">
        <f t="shared" si="85"/>
        <v>0</v>
      </c>
      <c r="O161" s="697">
        <f t="shared" si="85"/>
        <v>0</v>
      </c>
      <c r="P161" s="697"/>
      <c r="Q161" s="697"/>
      <c r="R161" s="697"/>
      <c r="S161" s="697">
        <f t="shared" si="85"/>
        <v>0.46560001373291016</v>
      </c>
    </row>
    <row r="163" spans="6:20">
      <c r="F163" s="1920"/>
    </row>
    <row r="164" spans="6:20">
      <c r="F164" s="1920"/>
      <c r="S164" s="1998"/>
      <c r="T164" s="1998"/>
    </row>
    <row r="165" spans="6:20">
      <c r="F165" s="1920"/>
    </row>
    <row r="166" spans="6:20">
      <c r="F166" s="1921"/>
    </row>
    <row r="167" spans="6:20">
      <c r="F167" s="1920"/>
    </row>
    <row r="168" spans="6:20">
      <c r="F168" s="1922"/>
      <c r="L168" s="1919"/>
    </row>
    <row r="169" spans="6:20">
      <c r="F169" s="1920"/>
    </row>
    <row r="170" spans="6:20">
      <c r="F170" s="1920"/>
    </row>
    <row r="171" spans="6:20">
      <c r="F171" s="1920"/>
    </row>
  </sheetData>
  <mergeCells count="21">
    <mergeCell ref="A1:I1"/>
    <mergeCell ref="A2:I2"/>
    <mergeCell ref="F5:F6"/>
    <mergeCell ref="G5:G6"/>
    <mergeCell ref="H5:H6"/>
    <mergeCell ref="I4:I6"/>
    <mergeCell ref="E4:E6"/>
    <mergeCell ref="F4:H4"/>
    <mergeCell ref="A4:A6"/>
    <mergeCell ref="B4:B6"/>
    <mergeCell ref="C4:C6"/>
    <mergeCell ref="D4:D6"/>
    <mergeCell ref="A157:E157"/>
    <mergeCell ref="L5:L6"/>
    <mergeCell ref="M5:M6"/>
    <mergeCell ref="S4:S6"/>
    <mergeCell ref="O4:O6"/>
    <mergeCell ref="K5:K6"/>
    <mergeCell ref="K4:N4"/>
    <mergeCell ref="N5:N6"/>
    <mergeCell ref="Q4:Q6"/>
  </mergeCells>
  <pageMargins left="0.7" right="0.7" top="0.75" bottom="0.75" header="0.3" footer="0.3"/>
  <pageSetup orientation="portrait" verticalDpi="597"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7" tint="0.59999389629810485"/>
  </sheetPr>
  <dimension ref="A1:P23"/>
  <sheetViews>
    <sheetView topLeftCell="B1" zoomScale="78" zoomScaleNormal="78" workbookViewId="0">
      <selection activeCell="G21" activeCellId="1" sqref="M21 G21"/>
    </sheetView>
  </sheetViews>
  <sheetFormatPr baseColWidth="10" defaultRowHeight="15"/>
  <cols>
    <col min="2" max="2" width="45.5703125" customWidth="1"/>
    <col min="3" max="4" width="8.7109375" customWidth="1"/>
    <col min="5" max="5" width="12" customWidth="1"/>
    <col min="6" max="6" width="14.5703125" customWidth="1"/>
    <col min="7" max="7" width="16.7109375" customWidth="1"/>
    <col min="8" max="8" width="17.5703125" customWidth="1"/>
    <col min="9" max="9" width="2.7109375" customWidth="1"/>
    <col min="10" max="10" width="8.85546875" customWidth="1"/>
    <col min="11" max="11" width="16.42578125" customWidth="1"/>
    <col min="12" max="12" width="15.28515625" customWidth="1"/>
    <col min="13" max="13" width="13.85546875" customWidth="1"/>
    <col min="14" max="14" width="16.42578125" customWidth="1"/>
    <col min="15" max="15" width="0.85546875" customWidth="1"/>
    <col min="16" max="16" width="18" customWidth="1"/>
  </cols>
  <sheetData>
    <row r="1" spans="1:16" s="1" customFormat="1" ht="15" customHeight="1">
      <c r="A1" s="2311" t="s">
        <v>181</v>
      </c>
      <c r="B1" s="2311"/>
      <c r="C1" s="2311"/>
      <c r="D1" s="2311"/>
      <c r="E1" s="2311"/>
      <c r="F1" s="2311"/>
      <c r="G1" s="2311"/>
      <c r="H1" s="2311"/>
    </row>
    <row r="2" spans="1:16" s="1" customFormat="1" ht="14.25" customHeight="1">
      <c r="A2" s="2311" t="s">
        <v>183</v>
      </c>
      <c r="B2" s="2311"/>
      <c r="C2" s="2311"/>
      <c r="D2" s="2311"/>
      <c r="E2" s="2311"/>
      <c r="F2" s="2311"/>
      <c r="G2" s="2311"/>
      <c r="H2" s="2311"/>
    </row>
    <row r="3" spans="1:16" ht="15.75" thickBot="1">
      <c r="O3" s="828"/>
    </row>
    <row r="4" spans="1:16" ht="23.25" customHeight="1" thickBot="1">
      <c r="A4" s="2312" t="s">
        <v>394</v>
      </c>
      <c r="B4" s="2401" t="s">
        <v>198</v>
      </c>
      <c r="C4" s="2368">
        <v>2022</v>
      </c>
      <c r="D4" s="2368"/>
      <c r="E4" s="2368"/>
      <c r="F4" s="2368"/>
      <c r="G4" s="2368"/>
      <c r="H4" s="2312" t="s">
        <v>205</v>
      </c>
      <c r="J4" s="2312" t="s">
        <v>199</v>
      </c>
      <c r="K4" s="2312"/>
      <c r="L4" s="2312"/>
      <c r="M4" s="2312"/>
      <c r="N4" s="2364" t="s">
        <v>1005</v>
      </c>
      <c r="O4" s="829"/>
      <c r="P4" s="2364" t="s">
        <v>1006</v>
      </c>
    </row>
    <row r="5" spans="1:16" ht="23.25" customHeight="1" thickBot="1">
      <c r="A5" s="2312"/>
      <c r="B5" s="2401"/>
      <c r="C5" s="2339" t="s">
        <v>255</v>
      </c>
      <c r="D5" s="2312" t="s">
        <v>201</v>
      </c>
      <c r="E5" s="2368" t="s">
        <v>199</v>
      </c>
      <c r="F5" s="2368"/>
      <c r="G5" s="2368"/>
      <c r="H5" s="2312"/>
      <c r="J5" s="2312" t="s">
        <v>202</v>
      </c>
      <c r="K5" s="2312" t="s">
        <v>385</v>
      </c>
      <c r="L5" s="2312" t="s">
        <v>204</v>
      </c>
      <c r="M5" s="2312" t="s">
        <v>234</v>
      </c>
      <c r="N5" s="2365"/>
      <c r="O5" s="829"/>
      <c r="P5" s="2365"/>
    </row>
    <row r="6" spans="1:16" ht="34.5" customHeight="1" thickBot="1">
      <c r="A6" s="2312"/>
      <c r="B6" s="2401"/>
      <c r="C6" s="2339"/>
      <c r="D6" s="2312"/>
      <c r="E6" s="1112" t="s">
        <v>202</v>
      </c>
      <c r="F6" s="1112" t="s">
        <v>204</v>
      </c>
      <c r="G6" s="1112" t="s">
        <v>234</v>
      </c>
      <c r="H6" s="2312"/>
      <c r="J6" s="2312"/>
      <c r="K6" s="2312"/>
      <c r="L6" s="2312"/>
      <c r="M6" s="2312"/>
      <c r="N6" s="2365"/>
      <c r="O6" s="829"/>
      <c r="P6" s="2365"/>
    </row>
    <row r="7" spans="1:16" ht="57.75" customHeight="1" thickBot="1">
      <c r="A7" s="208">
        <v>3202007</v>
      </c>
      <c r="B7" s="527" t="s">
        <v>279</v>
      </c>
      <c r="C7" s="522" t="s">
        <v>211</v>
      </c>
      <c r="D7" s="522">
        <v>1</v>
      </c>
      <c r="E7" s="523">
        <f>+E8+E9+E10</f>
        <v>60483249</v>
      </c>
      <c r="F7" s="523">
        <f t="shared" ref="F7:G7" si="0">+F8+F9+F10</f>
        <v>530906850.34080005</v>
      </c>
      <c r="G7" s="523">
        <f t="shared" si="0"/>
        <v>22846983.606399894</v>
      </c>
      <c r="H7" s="524">
        <f>+'ACCIONES 320202'!I7</f>
        <v>614237082.94719994</v>
      </c>
      <c r="I7" s="32">
        <f>+(E7+F7+G7)-H7</f>
        <v>0</v>
      </c>
      <c r="J7" s="951">
        <f>+'ACCIONES 320202'!K7</f>
        <v>0</v>
      </c>
      <c r="K7" s="951">
        <f>+'ACCIONES 320202'!L7</f>
        <v>0</v>
      </c>
      <c r="L7" s="951">
        <f>+'ACCIONES 320202'!M7</f>
        <v>98695593.578399986</v>
      </c>
      <c r="M7" s="951">
        <f>+'ACCIONES 320202'!N7</f>
        <v>33104784.239999995</v>
      </c>
      <c r="N7" s="939">
        <f>+'ACCIONES 320202'!O7</f>
        <v>131800377.81839998</v>
      </c>
      <c r="O7" s="933"/>
      <c r="P7" s="939">
        <f>+'ACCIONES 320202'!Q7</f>
        <v>746037460.76560009</v>
      </c>
    </row>
    <row r="8" spans="1:16" ht="38.25">
      <c r="B8" s="717" t="s">
        <v>280</v>
      </c>
      <c r="C8" s="705" t="s">
        <v>210</v>
      </c>
      <c r="D8" s="705">
        <f>+D7</f>
        <v>1</v>
      </c>
      <c r="E8" s="714">
        <f>+'ACCIONES 320202'!F8</f>
        <v>60483249</v>
      </c>
      <c r="F8" s="714">
        <f>+'ACCIONES 320202'!G8</f>
        <v>435827800.19279993</v>
      </c>
      <c r="G8" s="714">
        <f>+'ACCIONES 320202'!H8</f>
        <v>0</v>
      </c>
      <c r="H8" s="715">
        <f>+'ACCIONES 320202'!I8</f>
        <v>496311049.19279993</v>
      </c>
      <c r="I8" s="32">
        <f t="shared" ref="I8:I18" si="1">+(E8+F8+G8)-H8</f>
        <v>0</v>
      </c>
      <c r="J8" s="979">
        <f>+'ACCIONES 320202'!K8</f>
        <v>0</v>
      </c>
      <c r="K8" s="979">
        <f>+'ACCIONES 320202'!L8</f>
        <v>0</v>
      </c>
      <c r="L8" s="979">
        <f>+'ACCIONES 320202'!M8</f>
        <v>96316428.467199996</v>
      </c>
      <c r="M8" s="979">
        <f>+'ACCIONES 320202'!N8</f>
        <v>9358284</v>
      </c>
      <c r="N8" s="987">
        <f>+'ACCIONES 320202'!O8</f>
        <v>105674712.4672</v>
      </c>
      <c r="O8" s="933"/>
      <c r="P8" s="987">
        <f>+'ACCIONES 320202'!Q8</f>
        <v>601985761.66000009</v>
      </c>
    </row>
    <row r="9" spans="1:16" ht="25.5">
      <c r="B9" s="10" t="s">
        <v>602</v>
      </c>
      <c r="C9" s="17" t="s">
        <v>210</v>
      </c>
      <c r="D9" s="17">
        <v>1</v>
      </c>
      <c r="E9" s="28">
        <f>+'ACCIONES 320202'!F60</f>
        <v>0</v>
      </c>
      <c r="F9" s="28">
        <f>+'ACCIONES 320202'!G60</f>
        <v>16465600</v>
      </c>
      <c r="G9" s="28">
        <f>+'ACCIONES 320202'!H60</f>
        <v>0</v>
      </c>
      <c r="H9" s="129">
        <f>+'ACCIONES 320202'!I60</f>
        <v>16465600</v>
      </c>
      <c r="I9" s="32">
        <f t="shared" si="1"/>
        <v>0</v>
      </c>
      <c r="J9" s="980">
        <f>+'ACCIONES 320202'!K60</f>
        <v>0</v>
      </c>
      <c r="K9" s="980">
        <f>+'ACCIONES 320202'!L60</f>
        <v>0</v>
      </c>
      <c r="L9" s="980">
        <f>+'ACCIONES 320202'!M60</f>
        <v>0</v>
      </c>
      <c r="M9" s="980">
        <f>+'ACCIONES 320202'!N60</f>
        <v>0</v>
      </c>
      <c r="N9" s="988">
        <f>+'ACCIONES 320202'!O60</f>
        <v>0</v>
      </c>
      <c r="O9" s="933"/>
      <c r="P9" s="988">
        <f>+'ACCIONES 320202'!Q60</f>
        <v>16465600</v>
      </c>
    </row>
    <row r="10" spans="1:16" ht="26.25" thickBot="1">
      <c r="B10" s="54" t="s">
        <v>607</v>
      </c>
      <c r="C10" s="131" t="s">
        <v>210</v>
      </c>
      <c r="D10" s="131">
        <v>1</v>
      </c>
      <c r="E10" s="132">
        <f>+'ACCIONES 320202'!F66</f>
        <v>0</v>
      </c>
      <c r="F10" s="132">
        <f>+'ACCIONES 320202'!G66</f>
        <v>78613450.148000091</v>
      </c>
      <c r="G10" s="132">
        <f>+'ACCIONES 320202'!H66</f>
        <v>22846983.606399894</v>
      </c>
      <c r="H10" s="716">
        <f>+'ACCIONES 320202'!I66</f>
        <v>101460433.75439999</v>
      </c>
      <c r="I10" s="32">
        <f t="shared" si="1"/>
        <v>0</v>
      </c>
      <c r="J10" s="981">
        <f>+'ACCIONES 320202'!K66</f>
        <v>0</v>
      </c>
      <c r="K10" s="981">
        <f>+'ACCIONES 320202'!L66</f>
        <v>0</v>
      </c>
      <c r="L10" s="981">
        <f>+'ACCIONES 320202'!M66</f>
        <v>2379165.1111999899</v>
      </c>
      <c r="M10" s="981">
        <f>+'ACCIONES 320202'!N66</f>
        <v>23746500.239999995</v>
      </c>
      <c r="N10" s="989">
        <f>+'ACCIONES 320202'!O66</f>
        <v>26125665.351199985</v>
      </c>
      <c r="O10" s="933"/>
      <c r="P10" s="989">
        <f>+'ACCIONES 320202'!Q66</f>
        <v>127586099.10559997</v>
      </c>
    </row>
    <row r="11" spans="1:16" ht="63.75" customHeight="1" thickBot="1">
      <c r="A11" s="208">
        <v>3202012</v>
      </c>
      <c r="B11" s="539" t="s">
        <v>1172</v>
      </c>
      <c r="C11" s="473" t="s">
        <v>211</v>
      </c>
      <c r="D11" s="473">
        <v>1</v>
      </c>
      <c r="E11" s="542">
        <f>+E12+E13</f>
        <v>0</v>
      </c>
      <c r="F11" s="542">
        <f>+F12+F13</f>
        <v>72153508.176000014</v>
      </c>
      <c r="G11" s="542">
        <f t="shared" ref="G11" si="2">+G12+G13</f>
        <v>0</v>
      </c>
      <c r="H11" s="524">
        <f>+'ACCIONES 320202'!I72</f>
        <v>72153508.176000014</v>
      </c>
      <c r="I11" s="32">
        <f t="shared" si="1"/>
        <v>0</v>
      </c>
      <c r="J11" s="963">
        <f>+'ACCIONES 320202'!K72</f>
        <v>0</v>
      </c>
      <c r="K11" s="963">
        <f>+'ACCIONES 320202'!L72</f>
        <v>0</v>
      </c>
      <c r="L11" s="963">
        <f>+'ACCIONES 320202'!M72</f>
        <v>0</v>
      </c>
      <c r="M11" s="963">
        <f>+'ACCIONES 320202'!N72</f>
        <v>8338661.5199999996</v>
      </c>
      <c r="N11" s="946">
        <f>+'ACCIONES 320202'!O72</f>
        <v>8338661.5199999996</v>
      </c>
      <c r="O11" s="936"/>
      <c r="P11" s="946">
        <f>+'ACCIONES 320202'!Q72</f>
        <v>80492169.69600001</v>
      </c>
    </row>
    <row r="12" spans="1:16" ht="39.950000000000003" customHeight="1">
      <c r="B12" s="717" t="s">
        <v>282</v>
      </c>
      <c r="C12" s="705" t="s">
        <v>210</v>
      </c>
      <c r="D12" s="718">
        <v>1</v>
      </c>
      <c r="E12" s="719">
        <f>+'ACCIONES 320202'!F73</f>
        <v>0</v>
      </c>
      <c r="F12" s="719">
        <f>+'ACCIONES 320202'!G73</f>
        <v>59396212.296000019</v>
      </c>
      <c r="G12" s="719">
        <f>+'ACCIONES 320202'!H73</f>
        <v>0</v>
      </c>
      <c r="H12" s="720">
        <f>+'ACCIONES 320202'!I73</f>
        <v>59396212.296000019</v>
      </c>
      <c r="I12" s="32">
        <f t="shared" si="1"/>
        <v>0</v>
      </c>
      <c r="J12" s="982">
        <f>+'ACCIONES 320202'!K73</f>
        <v>0</v>
      </c>
      <c r="K12" s="982">
        <f>+'ACCIONES 320202'!L73</f>
        <v>0</v>
      </c>
      <c r="L12" s="982">
        <f>+'ACCIONES 320202'!M73</f>
        <v>0</v>
      </c>
      <c r="M12" s="982">
        <f>+'ACCIONES 320202'!N73</f>
        <v>8338661.5199999996</v>
      </c>
      <c r="N12" s="990">
        <f>+'ACCIONES 320202'!O73</f>
        <v>8338661.5199999996</v>
      </c>
      <c r="O12" s="936"/>
      <c r="P12" s="990">
        <f>+'ACCIONES 320202'!Q73</f>
        <v>67734873.816000015</v>
      </c>
    </row>
    <row r="13" spans="1:16" ht="39.950000000000003" customHeight="1" thickBot="1">
      <c r="B13" s="130" t="s">
        <v>283</v>
      </c>
      <c r="C13" s="131" t="s">
        <v>210</v>
      </c>
      <c r="D13" s="196">
        <v>1</v>
      </c>
      <c r="E13" s="721">
        <f>+'ACCIONES 320202'!F78</f>
        <v>0</v>
      </c>
      <c r="F13" s="721">
        <f>+'ACCIONES 320202'!G78</f>
        <v>12757295.880000001</v>
      </c>
      <c r="G13" s="721">
        <f>+'ACCIONES 320202'!H78</f>
        <v>0</v>
      </c>
      <c r="H13" s="722">
        <f>+'ACCIONES 320202'!I78</f>
        <v>12757295.880000001</v>
      </c>
      <c r="I13" s="32">
        <f t="shared" si="1"/>
        <v>0</v>
      </c>
      <c r="J13" s="983">
        <f>+'ACCIONES 320202'!K78</f>
        <v>0</v>
      </c>
      <c r="K13" s="983">
        <f>+'ACCIONES 320202'!L78</f>
        <v>0</v>
      </c>
      <c r="L13" s="983">
        <f>+'ACCIONES 320202'!M78</f>
        <v>0</v>
      </c>
      <c r="M13" s="983">
        <f>+'ACCIONES 320202'!N78</f>
        <v>0</v>
      </c>
      <c r="N13" s="991">
        <f>+'ACCIONES 320202'!O78</f>
        <v>0</v>
      </c>
      <c r="O13" s="936"/>
      <c r="P13" s="991">
        <f>+'ACCIONES 320202'!Q78</f>
        <v>12757295.880000001</v>
      </c>
    </row>
    <row r="14" spans="1:16" ht="72.75" customHeight="1" thickBot="1">
      <c r="A14" s="208">
        <v>3202040</v>
      </c>
      <c r="B14" s="709" t="s">
        <v>284</v>
      </c>
      <c r="C14" s="710" t="s">
        <v>211</v>
      </c>
      <c r="D14" s="710">
        <v>1</v>
      </c>
      <c r="E14" s="711">
        <f>+E15+E16+E17+E18</f>
        <v>0</v>
      </c>
      <c r="F14" s="711">
        <f>+F15+F16+F17+F18</f>
        <v>201307061.48319995</v>
      </c>
      <c r="G14" s="711">
        <f t="shared" ref="G14" si="3">+G15+G16+G17+G18</f>
        <v>98211452.393600106</v>
      </c>
      <c r="H14" s="712">
        <f>+'ACCIONES 320202'!I84</f>
        <v>299518513.87680006</v>
      </c>
      <c r="I14" s="32">
        <f t="shared" si="1"/>
        <v>0</v>
      </c>
      <c r="J14" s="984">
        <f>+'ACCIONES 320202'!K84</f>
        <v>0</v>
      </c>
      <c r="K14" s="984">
        <f>+'ACCIONES 320202'!L84</f>
        <v>70000000</v>
      </c>
      <c r="L14" s="984">
        <f>+'ACCIONES 320202'!M84</f>
        <v>30219984.532800004</v>
      </c>
      <c r="M14" s="984">
        <f>+'ACCIONES 320202'!N84</f>
        <v>107902914.24000001</v>
      </c>
      <c r="N14" s="992">
        <f>+'ACCIONES 320202'!O84</f>
        <v>208122898.77280003</v>
      </c>
      <c r="O14" s="933"/>
      <c r="P14" s="992">
        <f>+'ACCIONES 320202'!Q84</f>
        <v>507641412.64960009</v>
      </c>
    </row>
    <row r="15" spans="1:16" ht="56.25" customHeight="1">
      <c r="B15" s="713" t="s">
        <v>285</v>
      </c>
      <c r="C15" s="705" t="s">
        <v>210</v>
      </c>
      <c r="D15" s="705">
        <v>1</v>
      </c>
      <c r="E15" s="714">
        <f>+'ACCIONES 320202'!F85</f>
        <v>0</v>
      </c>
      <c r="F15" s="714">
        <f>+'ACCIONES 320202'!G85</f>
        <v>151673595.94</v>
      </c>
      <c r="G15" s="714">
        <f>+'ACCIONES 320202'!H85</f>
        <v>0</v>
      </c>
      <c r="H15" s="715">
        <f>+'ACCIONES 320202'!I85</f>
        <v>151673595.94</v>
      </c>
      <c r="I15" s="32">
        <f t="shared" si="1"/>
        <v>0</v>
      </c>
      <c r="J15" s="979">
        <f>+'ACCIONES 320202'!K85</f>
        <v>0</v>
      </c>
      <c r="K15" s="979">
        <f>+'ACCIONES 320202'!L85</f>
        <v>0</v>
      </c>
      <c r="L15" s="979">
        <f>+'ACCIONES 320202'!M85</f>
        <v>0</v>
      </c>
      <c r="M15" s="979">
        <f>+'ACCIONES 320202'!N85</f>
        <v>20005704</v>
      </c>
      <c r="N15" s="987">
        <f>+'ACCIONES 320202'!O85</f>
        <v>20005704</v>
      </c>
      <c r="O15" s="933"/>
      <c r="P15" s="987">
        <f>+'ACCIONES 320202'!Q85</f>
        <v>171679299.94</v>
      </c>
    </row>
    <row r="16" spans="1:16" ht="38.25">
      <c r="B16" s="29" t="s">
        <v>286</v>
      </c>
      <c r="C16" s="17" t="s">
        <v>210</v>
      </c>
      <c r="D16" s="17">
        <v>1</v>
      </c>
      <c r="E16" s="28">
        <f>+'ACCIONES 320202'!F103</f>
        <v>0</v>
      </c>
      <c r="F16" s="28">
        <f>+'ACCIONES 320202'!G103</f>
        <v>15066461.839199901</v>
      </c>
      <c r="G16" s="28">
        <f>+'ACCIONES 320202'!H103</f>
        <v>74296000</v>
      </c>
      <c r="H16" s="129">
        <f>+'ACCIONES 320202'!I103</f>
        <v>89362461.839199901</v>
      </c>
      <c r="I16" s="32">
        <f t="shared" si="1"/>
        <v>0</v>
      </c>
      <c r="J16" s="980">
        <f>+'ACCIONES 320202'!K103</f>
        <v>0</v>
      </c>
      <c r="K16" s="980">
        <f>+'ACCIONES 320202'!L103</f>
        <v>0</v>
      </c>
      <c r="L16" s="980">
        <f>+'ACCIONES 320202'!M103</f>
        <v>5018778.5328000039</v>
      </c>
      <c r="M16" s="980">
        <f>+'ACCIONES 320202'!N103</f>
        <v>20417663</v>
      </c>
      <c r="N16" s="988">
        <f>+'ACCIONES 320202'!O103</f>
        <v>25436441.532800004</v>
      </c>
      <c r="O16" s="933"/>
      <c r="P16" s="988">
        <f>+'ACCIONES 320202'!Q103</f>
        <v>114798903.3719999</v>
      </c>
    </row>
    <row r="17" spans="2:16" ht="39.950000000000003" customHeight="1">
      <c r="B17" s="29" t="s">
        <v>288</v>
      </c>
      <c r="C17" s="17" t="s">
        <v>210</v>
      </c>
      <c r="D17" s="17">
        <v>1</v>
      </c>
      <c r="E17" s="28">
        <f>+'ACCIONES 320202'!F107</f>
        <v>0</v>
      </c>
      <c r="F17" s="28">
        <f>+'ACCIONES 320202'!G107</f>
        <v>14699764.800000001</v>
      </c>
      <c r="G17" s="28">
        <f>+'ACCIONES 320202'!H107</f>
        <v>0</v>
      </c>
      <c r="H17" s="129">
        <f>+'ACCIONES 320202'!I107</f>
        <v>14699764.800000001</v>
      </c>
      <c r="I17" s="32">
        <f t="shared" si="1"/>
        <v>0</v>
      </c>
      <c r="J17" s="980">
        <f>+'ACCIONES 320202'!K107</f>
        <v>0</v>
      </c>
      <c r="K17" s="980">
        <f>+'ACCIONES 320202'!L107</f>
        <v>0</v>
      </c>
      <c r="L17" s="980">
        <f>+'ACCIONES 320202'!M107</f>
        <v>0</v>
      </c>
      <c r="M17" s="980">
        <f>+'ACCIONES 320202'!N107</f>
        <v>0</v>
      </c>
      <c r="N17" s="988">
        <f>+'ACCIONES 320202'!O107</f>
        <v>0</v>
      </c>
      <c r="O17" s="933"/>
      <c r="P17" s="988">
        <f>+'ACCIONES 320202'!Q107</f>
        <v>14699764.800000001</v>
      </c>
    </row>
    <row r="18" spans="2:16" ht="39.950000000000003" customHeight="1" thickBot="1">
      <c r="B18" s="130" t="s">
        <v>289</v>
      </c>
      <c r="C18" s="131" t="s">
        <v>210</v>
      </c>
      <c r="D18" s="131">
        <v>1</v>
      </c>
      <c r="E18" s="132">
        <f>+'ACCIONES 320202'!F111</f>
        <v>0</v>
      </c>
      <c r="F18" s="132">
        <f>+'ACCIONES 320202'!G111</f>
        <v>19867238.904000044</v>
      </c>
      <c r="G18" s="132">
        <f>+'ACCIONES 320202'!H111</f>
        <v>23915452.393600099</v>
      </c>
      <c r="H18" s="716">
        <f>+'ACCIONES 320202'!I111</f>
        <v>43782691.297600143</v>
      </c>
      <c r="I18" s="32">
        <f t="shared" si="1"/>
        <v>0</v>
      </c>
      <c r="J18" s="981">
        <f>+'ACCIONES 320202'!K111</f>
        <v>0</v>
      </c>
      <c r="K18" s="981">
        <f>+'ACCIONES 320202'!L111</f>
        <v>70000000</v>
      </c>
      <c r="L18" s="981">
        <f>+'ACCIONES 320202'!M111</f>
        <v>25201206</v>
      </c>
      <c r="M18" s="981">
        <f>+'ACCIONES 320202'!N111</f>
        <v>67479547.24000001</v>
      </c>
      <c r="N18" s="989">
        <f>+'ACCIONES 320202'!O111</f>
        <v>162680753.24000001</v>
      </c>
      <c r="O18" s="933"/>
      <c r="P18" s="989">
        <f>+'ACCIONES 320202'!Q111</f>
        <v>206463444.53760016</v>
      </c>
    </row>
    <row r="19" spans="2:16" ht="27" customHeight="1" thickBot="1">
      <c r="B19" s="2398" t="s">
        <v>278</v>
      </c>
      <c r="C19" s="2399"/>
      <c r="D19" s="2400"/>
      <c r="E19" s="1429">
        <f t="shared" ref="E19:F19" si="4">+E14+E11+E7</f>
        <v>60483249</v>
      </c>
      <c r="F19" s="1429">
        <f t="shared" si="4"/>
        <v>804367420</v>
      </c>
      <c r="G19" s="1429">
        <f>+G14+G11+G7</f>
        <v>121058436</v>
      </c>
      <c r="H19" s="1430">
        <f>+H14+H11+H7</f>
        <v>985909105</v>
      </c>
      <c r="I19" s="978">
        <f>+(E19+F19+G19)-H19</f>
        <v>0</v>
      </c>
      <c r="J19" s="1431">
        <f>+'ACCIONES 320202'!K116</f>
        <v>0</v>
      </c>
      <c r="K19" s="1431">
        <f>+'ACCIONES 320202'!L116</f>
        <v>70000000</v>
      </c>
      <c r="L19" s="1431">
        <f>+'ACCIONES 320202'!M116</f>
        <v>128915578.11119999</v>
      </c>
      <c r="M19" s="1431">
        <f>+'ACCIONES 320202'!N116</f>
        <v>149346360</v>
      </c>
      <c r="N19" s="1432">
        <f>+'ACCIONES 320202'!O116</f>
        <v>348261938.11119998</v>
      </c>
      <c r="O19" s="986"/>
      <c r="P19" s="1432">
        <f>+'ACCIONES 320202'!Q116</f>
        <v>1334171043.1112003</v>
      </c>
    </row>
    <row r="20" spans="2:16" ht="15.75" thickBot="1">
      <c r="I20" s="32"/>
    </row>
    <row r="21" spans="2:16" ht="15.75" thickBot="1">
      <c r="E21" s="974">
        <v>60483249</v>
      </c>
      <c r="F21" s="975">
        <v>804367419.94000006</v>
      </c>
      <c r="G21" s="975">
        <v>121058436</v>
      </c>
      <c r="H21" s="976">
        <v>985909104.65999997</v>
      </c>
      <c r="I21" s="32"/>
      <c r="J21" s="735">
        <f>103714372-103714372</f>
        <v>0</v>
      </c>
      <c r="K21" s="735">
        <v>70000000</v>
      </c>
      <c r="L21" s="735">
        <f>25201206+103714372</f>
        <v>128915578</v>
      </c>
      <c r="M21" s="735">
        <v>149346360</v>
      </c>
      <c r="N21" s="735">
        <v>348261938</v>
      </c>
      <c r="O21" s="302"/>
      <c r="P21" s="735">
        <v>1334171043</v>
      </c>
    </row>
    <row r="23" spans="2:16">
      <c r="E23" s="663">
        <f>+E21-E19</f>
        <v>0</v>
      </c>
      <c r="F23" s="663">
        <f t="shared" ref="F23:P23" si="5">+F21-F19</f>
        <v>-5.9999942779541016E-2</v>
      </c>
      <c r="G23" s="663">
        <f t="shared" si="5"/>
        <v>0</v>
      </c>
      <c r="H23" s="663">
        <f t="shared" si="5"/>
        <v>-0.34000003337860107</v>
      </c>
      <c r="I23" s="663"/>
      <c r="J23" s="663">
        <f t="shared" si="5"/>
        <v>0</v>
      </c>
      <c r="K23" s="663">
        <f t="shared" si="5"/>
        <v>0</v>
      </c>
      <c r="L23" s="663">
        <f t="shared" si="5"/>
        <v>-0.1111999899148941</v>
      </c>
      <c r="M23" s="663">
        <f t="shared" si="5"/>
        <v>0</v>
      </c>
      <c r="N23" s="663">
        <f t="shared" si="5"/>
        <v>-0.11119997501373291</v>
      </c>
      <c r="O23" s="663"/>
      <c r="P23" s="663">
        <f t="shared" si="5"/>
        <v>-0.11120033264160156</v>
      </c>
    </row>
  </sheetData>
  <mergeCells count="17">
    <mergeCell ref="B19:D19"/>
    <mergeCell ref="B4:B6"/>
    <mergeCell ref="H4:H6"/>
    <mergeCell ref="A1:H1"/>
    <mergeCell ref="A2:H2"/>
    <mergeCell ref="C4:G4"/>
    <mergeCell ref="C5:C6"/>
    <mergeCell ref="D5:D6"/>
    <mergeCell ref="E5:G5"/>
    <mergeCell ref="A4:A6"/>
    <mergeCell ref="J4:M4"/>
    <mergeCell ref="N4:N6"/>
    <mergeCell ref="P4:P6"/>
    <mergeCell ref="J5:J6"/>
    <mergeCell ref="K5:K6"/>
    <mergeCell ref="L5:L6"/>
    <mergeCell ref="M5:M6"/>
  </mergeCell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theme="7" tint="0.59999389629810485"/>
  </sheetPr>
  <dimension ref="A1:U124"/>
  <sheetViews>
    <sheetView topLeftCell="A52" workbookViewId="0">
      <selection activeCell="F43" sqref="F43"/>
    </sheetView>
  </sheetViews>
  <sheetFormatPr baseColWidth="10" defaultColWidth="11.42578125" defaultRowHeight="15"/>
  <cols>
    <col min="1" max="1" width="32.7109375" style="1698" customWidth="1"/>
    <col min="2" max="2" width="23.7109375" style="1698" hidden="1" customWidth="1"/>
    <col min="3" max="3" width="9.28515625" style="1698" hidden="1" customWidth="1"/>
    <col min="4" max="4" width="11.42578125" style="1698" hidden="1" customWidth="1"/>
    <col min="5" max="5" width="15" style="186" hidden="1" customWidth="1"/>
    <col min="6" max="8" width="15" style="1700" customWidth="1"/>
    <col min="9" max="9" width="16.85546875" style="1699" customWidth="1"/>
    <col min="10" max="10" width="0.140625" style="1699" customWidth="1"/>
    <col min="11" max="14" width="15" style="1700" customWidth="1"/>
    <col min="15" max="15" width="16.28515625" style="1699" customWidth="1"/>
    <col min="16" max="16" width="4.5703125" style="1698" customWidth="1"/>
    <col min="17" max="17" width="16.42578125" style="1698" customWidth="1"/>
    <col min="18" max="18" width="15.7109375" style="1698" customWidth="1"/>
    <col min="19" max="19" width="16.42578125" style="1698" customWidth="1"/>
    <col min="20" max="20" width="13" style="1698" customWidth="1"/>
    <col min="21" max="16384" width="11.42578125" style="1698"/>
  </cols>
  <sheetData>
    <row r="1" spans="1:21" s="1" customFormat="1" ht="15" customHeight="1">
      <c r="A1" s="2311" t="s">
        <v>181</v>
      </c>
      <c r="B1" s="2311"/>
      <c r="C1" s="2311"/>
      <c r="D1" s="2311"/>
      <c r="E1" s="2311"/>
      <c r="F1" s="2311"/>
      <c r="G1" s="2311"/>
      <c r="H1" s="2311"/>
      <c r="I1" s="2311"/>
      <c r="J1" s="488"/>
      <c r="R1" s="1979"/>
      <c r="S1" s="275"/>
      <c r="T1" s="275"/>
      <c r="U1" s="275"/>
    </row>
    <row r="2" spans="1:21" s="1" customFormat="1" ht="14.25" customHeight="1">
      <c r="A2" s="2311" t="s">
        <v>183</v>
      </c>
      <c r="B2" s="2311"/>
      <c r="C2" s="2311"/>
      <c r="D2" s="2311"/>
      <c r="E2" s="2311"/>
      <c r="F2" s="2311"/>
      <c r="G2" s="2311"/>
      <c r="H2" s="2311"/>
      <c r="I2" s="2311"/>
      <c r="J2" s="488"/>
      <c r="R2" s="1980"/>
      <c r="S2" s="1981"/>
      <c r="T2" s="1981"/>
      <c r="U2" s="1981"/>
    </row>
    <row r="3" spans="1:21" ht="15.75" thickBot="1">
      <c r="D3" s="186"/>
      <c r="F3" s="1699"/>
      <c r="G3" s="1699"/>
      <c r="H3" s="1699"/>
      <c r="I3" s="1700"/>
      <c r="J3" s="1698"/>
      <c r="K3" s="1699"/>
      <c r="L3" s="1699"/>
      <c r="M3" s="1699"/>
      <c r="N3" s="1699"/>
      <c r="O3" s="1700"/>
      <c r="R3" s="1980"/>
      <c r="S3" s="1981"/>
      <c r="T3" s="1981"/>
      <c r="U3" s="1981"/>
    </row>
    <row r="4" spans="1:21" ht="9.75" customHeight="1" thickBot="1">
      <c r="A4" s="2312" t="s">
        <v>446</v>
      </c>
      <c r="B4" s="2312" t="s">
        <v>230</v>
      </c>
      <c r="C4" s="2312" t="s">
        <v>876</v>
      </c>
      <c r="D4" s="2312" t="s">
        <v>448</v>
      </c>
      <c r="E4" s="2312" t="s">
        <v>201</v>
      </c>
      <c r="F4" s="2312" t="s">
        <v>199</v>
      </c>
      <c r="G4" s="2312"/>
      <c r="H4" s="2312"/>
      <c r="I4" s="2407" t="s">
        <v>352</v>
      </c>
      <c r="J4" s="1698"/>
      <c r="K4" s="2312" t="s">
        <v>199</v>
      </c>
      <c r="L4" s="2312"/>
      <c r="M4" s="2312"/>
      <c r="N4" s="2312"/>
      <c r="O4" s="2364" t="s">
        <v>1005</v>
      </c>
      <c r="P4" s="1"/>
      <c r="Q4" s="2364" t="s">
        <v>1006</v>
      </c>
      <c r="R4" s="1980"/>
      <c r="S4" s="1981"/>
      <c r="T4" s="1981"/>
      <c r="U4" s="1981"/>
    </row>
    <row r="5" spans="1:21" ht="15.75" thickBot="1">
      <c r="A5" s="2312"/>
      <c r="B5" s="2312"/>
      <c r="C5" s="2312"/>
      <c r="D5" s="2312"/>
      <c r="E5" s="2312"/>
      <c r="F5" s="2312" t="s">
        <v>202</v>
      </c>
      <c r="G5" s="2312" t="s">
        <v>204</v>
      </c>
      <c r="H5" s="2312" t="s">
        <v>234</v>
      </c>
      <c r="I5" s="2407"/>
      <c r="J5" s="1698"/>
      <c r="K5" s="2312" t="s">
        <v>202</v>
      </c>
      <c r="L5" s="2312" t="s">
        <v>385</v>
      </c>
      <c r="M5" s="2312" t="s">
        <v>204</v>
      </c>
      <c r="N5" s="2312" t="s">
        <v>234</v>
      </c>
      <c r="O5" s="2402"/>
      <c r="P5" s="1"/>
      <c r="Q5" s="2402"/>
      <c r="R5" s="1980"/>
      <c r="S5" s="1981"/>
      <c r="T5" s="1981"/>
      <c r="U5" s="1981"/>
    </row>
    <row r="6" spans="1:21" ht="30.75" customHeight="1" thickBot="1">
      <c r="A6" s="2330"/>
      <c r="B6" s="2330"/>
      <c r="C6" s="2330"/>
      <c r="D6" s="2330"/>
      <c r="E6" s="2330"/>
      <c r="F6" s="2330"/>
      <c r="G6" s="2330"/>
      <c r="H6" s="2330"/>
      <c r="I6" s="2408"/>
      <c r="J6" s="1698"/>
      <c r="K6" s="2330"/>
      <c r="L6" s="2330"/>
      <c r="M6" s="2330"/>
      <c r="N6" s="2330"/>
      <c r="O6" s="2403"/>
      <c r="P6" s="1"/>
      <c r="Q6" s="2403"/>
      <c r="R6" s="1980"/>
      <c r="S6" s="1981"/>
      <c r="T6" s="1981"/>
      <c r="U6" s="1981"/>
    </row>
    <row r="7" spans="1:21" ht="60.75" customHeight="1" thickBot="1">
      <c r="A7" s="521" t="s">
        <v>279</v>
      </c>
      <c r="B7" s="1701"/>
      <c r="C7" s="1701"/>
      <c r="D7" s="522" t="s">
        <v>211</v>
      </c>
      <c r="E7" s="522">
        <v>1</v>
      </c>
      <c r="F7" s="1702">
        <f>+F8+F60+F66</f>
        <v>60483249</v>
      </c>
      <c r="G7" s="1702">
        <f>+G8+G60+G66</f>
        <v>530906850.34080005</v>
      </c>
      <c r="H7" s="1702">
        <f>+H8+H60+H66</f>
        <v>22846983.606399894</v>
      </c>
      <c r="I7" s="1703">
        <f>+I8+I60+I66</f>
        <v>614237082.94719994</v>
      </c>
      <c r="J7" s="1698"/>
      <c r="K7" s="1704">
        <f>+K8+K60+K66</f>
        <v>0</v>
      </c>
      <c r="L7" s="1702">
        <f t="shared" ref="L7:O7" si="0">+L8+L60+L66</f>
        <v>0</v>
      </c>
      <c r="M7" s="1702">
        <f>+M8+M60+M66</f>
        <v>98695593.578399986</v>
      </c>
      <c r="N7" s="1702">
        <f>+N8+N60+N66</f>
        <v>33104784.239999995</v>
      </c>
      <c r="O7" s="1702">
        <f t="shared" si="0"/>
        <v>131800377.81839998</v>
      </c>
      <c r="Q7" s="1705">
        <f>+Q8+Q60+Q66</f>
        <v>746037460.76560009</v>
      </c>
    </row>
    <row r="8" spans="1:21" ht="54" customHeight="1">
      <c r="A8" s="1706" t="s">
        <v>280</v>
      </c>
      <c r="B8" s="1707"/>
      <c r="C8" s="1707"/>
      <c r="D8" s="1708" t="s">
        <v>210</v>
      </c>
      <c r="E8" s="1708">
        <f>+E7</f>
        <v>1</v>
      </c>
      <c r="F8" s="1709">
        <f>SUM(F10:F59)</f>
        <v>60483249</v>
      </c>
      <c r="G8" s="1709">
        <f t="shared" ref="G8:H8" si="1">SUM(G10:G59)</f>
        <v>435827800.19279993</v>
      </c>
      <c r="H8" s="1709">
        <f t="shared" si="1"/>
        <v>0</v>
      </c>
      <c r="I8" s="1710">
        <f>SUM(I10:I59)</f>
        <v>496311049.19279993</v>
      </c>
      <c r="J8" s="1698"/>
      <c r="K8" s="1711">
        <f>SUM(K9:K59)</f>
        <v>0</v>
      </c>
      <c r="L8" s="1709">
        <f t="shared" ref="L8" si="2">SUM(L9:L59)</f>
        <v>0</v>
      </c>
      <c r="M8" s="1709">
        <f>SUM(M9:M59)</f>
        <v>96316428.467199996</v>
      </c>
      <c r="N8" s="1709">
        <f>SUM(N9:N59)</f>
        <v>9358284</v>
      </c>
      <c r="O8" s="1709">
        <f>SUM(O9:O59)</f>
        <v>105674712.4672</v>
      </c>
      <c r="Q8" s="1712">
        <f>SUM(Q9:Q59)</f>
        <v>601985761.66000009</v>
      </c>
    </row>
    <row r="9" spans="1:21" s="764" customFormat="1">
      <c r="A9" s="1713" t="s">
        <v>588</v>
      </c>
      <c r="B9" s="1714"/>
      <c r="C9" s="1714"/>
      <c r="D9" s="1627"/>
      <c r="E9" s="1627"/>
      <c r="F9" s="687"/>
      <c r="G9" s="687"/>
      <c r="H9" s="687"/>
      <c r="I9" s="1624"/>
      <c r="J9" s="1778"/>
      <c r="K9" s="971"/>
      <c r="L9" s="687"/>
      <c r="M9" s="687"/>
      <c r="N9" s="687"/>
      <c r="O9" s="687">
        <f>SUM(K9:N9)</f>
        <v>0</v>
      </c>
      <c r="Q9" s="1697">
        <f>+I9+O9</f>
        <v>0</v>
      </c>
    </row>
    <row r="10" spans="1:21" s="764" customFormat="1" ht="15" customHeight="1">
      <c r="A10" s="758" t="s">
        <v>589</v>
      </c>
      <c r="B10" s="1627" t="s">
        <v>237</v>
      </c>
      <c r="C10" s="1627" t="s">
        <v>878</v>
      </c>
      <c r="D10" s="1627"/>
      <c r="E10" s="1627">
        <v>11.5</v>
      </c>
      <c r="F10" s="687">
        <f>20487640*1.004</f>
        <v>20569590.559999999</v>
      </c>
      <c r="G10" s="687">
        <f>+I10-F10</f>
        <v>38567983.223680004</v>
      </c>
      <c r="H10" s="687"/>
      <c r="I10" s="279">
        <f>4897600*1.004*1.0458*E10</f>
        <v>59137573.783680007</v>
      </c>
      <c r="K10" s="971"/>
      <c r="L10" s="687"/>
      <c r="M10" s="687"/>
      <c r="N10" s="687"/>
      <c r="O10" s="687">
        <f t="shared" ref="O10:O78" si="3">SUM(K10:N10)</f>
        <v>0</v>
      </c>
      <c r="Q10" s="1697">
        <f t="shared" ref="Q10:Q59" si="4">+I10+O10</f>
        <v>59137573.783680007</v>
      </c>
    </row>
    <row r="11" spans="1:21" s="764" customFormat="1" ht="12.75">
      <c r="A11" s="758"/>
      <c r="B11" s="1715"/>
      <c r="C11" s="1715"/>
      <c r="D11" s="1627"/>
      <c r="E11" s="1627"/>
      <c r="F11" s="687"/>
      <c r="G11" s="687"/>
      <c r="H11" s="687"/>
      <c r="I11" s="279"/>
      <c r="K11" s="971"/>
      <c r="L11" s="687"/>
      <c r="M11" s="687"/>
      <c r="N11" s="687"/>
      <c r="O11" s="687">
        <f t="shared" si="3"/>
        <v>0</v>
      </c>
      <c r="Q11" s="1697">
        <f t="shared" si="4"/>
        <v>0</v>
      </c>
    </row>
    <row r="12" spans="1:21" s="759" customFormat="1">
      <c r="A12" s="758" t="s">
        <v>590</v>
      </c>
      <c r="B12" s="1627" t="s">
        <v>237</v>
      </c>
      <c r="C12" s="1627" t="s">
        <v>878</v>
      </c>
      <c r="D12" s="1627"/>
      <c r="E12" s="1627">
        <v>11</v>
      </c>
      <c r="F12" s="687"/>
      <c r="G12" s="687">
        <f>+I12</f>
        <v>38114390.160000004</v>
      </c>
      <c r="H12" s="687"/>
      <c r="I12" s="279">
        <f>3300000*1.004*1.0458*E12</f>
        <v>38114390.160000004</v>
      </c>
      <c r="J12" s="764"/>
      <c r="K12" s="971"/>
      <c r="L12" s="687"/>
      <c r="M12" s="687"/>
      <c r="N12" s="687"/>
      <c r="O12" s="687">
        <f t="shared" si="3"/>
        <v>0</v>
      </c>
      <c r="Q12" s="1697">
        <f t="shared" si="4"/>
        <v>38114390.160000004</v>
      </c>
    </row>
    <row r="13" spans="1:21" s="759" customFormat="1">
      <c r="A13" s="758" t="s">
        <v>591</v>
      </c>
      <c r="B13" s="1627" t="s">
        <v>237</v>
      </c>
      <c r="C13" s="1627" t="s">
        <v>878</v>
      </c>
      <c r="D13" s="1627"/>
      <c r="E13" s="1627">
        <v>2</v>
      </c>
      <c r="F13" s="687"/>
      <c r="G13" s="687">
        <f>+I13</f>
        <v>6929889.1200000001</v>
      </c>
      <c r="H13" s="687"/>
      <c r="I13" s="279">
        <f>3300000*1.004*1.0458*E13</f>
        <v>6929889.1200000001</v>
      </c>
      <c r="J13" s="764"/>
      <c r="K13" s="971"/>
      <c r="L13" s="687"/>
      <c r="M13" s="687"/>
      <c r="N13" s="687"/>
      <c r="O13" s="687">
        <f t="shared" si="3"/>
        <v>0</v>
      </c>
      <c r="Q13" s="1697">
        <f t="shared" si="4"/>
        <v>6929889.1200000001</v>
      </c>
    </row>
    <row r="14" spans="1:21" s="759" customFormat="1" ht="20.100000000000001" customHeight="1">
      <c r="A14" s="758" t="s">
        <v>1029</v>
      </c>
      <c r="B14" s="1627" t="s">
        <v>237</v>
      </c>
      <c r="C14" s="1627" t="s">
        <v>878</v>
      </c>
      <c r="D14" s="1627"/>
      <c r="E14" s="1627">
        <v>6</v>
      </c>
      <c r="F14" s="687"/>
      <c r="G14" s="1573">
        <f>6917028*1.004</f>
        <v>6944696.1119999997</v>
      </c>
      <c r="H14" s="687"/>
      <c r="I14" s="279">
        <f>+G14</f>
        <v>6944696.1119999997</v>
      </c>
      <c r="J14" s="764" t="s">
        <v>1107</v>
      </c>
      <c r="K14" s="971"/>
      <c r="L14" s="301"/>
      <c r="M14" s="687">
        <f>13789812*1.004</f>
        <v>13844971.248</v>
      </c>
      <c r="N14" s="687"/>
      <c r="O14" s="687">
        <f t="shared" si="3"/>
        <v>13844971.248</v>
      </c>
      <c r="Q14" s="1697">
        <f t="shared" si="4"/>
        <v>20789667.359999999</v>
      </c>
    </row>
    <row r="15" spans="1:21" s="759" customFormat="1">
      <c r="A15" s="758" t="s">
        <v>1030</v>
      </c>
      <c r="B15" s="1627" t="s">
        <v>237</v>
      </c>
      <c r="C15" s="1627" t="s">
        <v>878</v>
      </c>
      <c r="D15" s="1627"/>
      <c r="E15" s="1627">
        <v>7</v>
      </c>
      <c r="F15" s="687"/>
      <c r="G15" s="1573">
        <v>9876383.5759999994</v>
      </c>
      <c r="H15" s="687"/>
      <c r="I15" s="279">
        <f>+G15</f>
        <v>9876383.5759999994</v>
      </c>
      <c r="J15" s="764"/>
      <c r="K15" s="971"/>
      <c r="L15" s="687"/>
      <c r="M15" s="971">
        <v>14378228.344000002</v>
      </c>
      <c r="N15" s="687"/>
      <c r="O15" s="687">
        <f>SUM(K15:N15)</f>
        <v>14378228.344000002</v>
      </c>
      <c r="Q15" s="1697">
        <f t="shared" si="4"/>
        <v>24254611.920000002</v>
      </c>
    </row>
    <row r="16" spans="1:21" s="759" customFormat="1">
      <c r="A16" s="758" t="s">
        <v>964</v>
      </c>
      <c r="B16" s="1627" t="s">
        <v>242</v>
      </c>
      <c r="C16" s="1627" t="s">
        <v>879</v>
      </c>
      <c r="D16" s="1627"/>
      <c r="E16" s="1627">
        <v>1</v>
      </c>
      <c r="F16" s="687"/>
      <c r="G16" s="687">
        <v>1993312</v>
      </c>
      <c r="H16" s="687"/>
      <c r="I16" s="279">
        <f t="shared" ref="I16:I17" si="5">+G16</f>
        <v>1993312</v>
      </c>
      <c r="J16" s="764"/>
      <c r="K16" s="971"/>
      <c r="L16" s="687"/>
      <c r="M16" s="687"/>
      <c r="N16" s="687"/>
      <c r="O16" s="687">
        <f t="shared" si="3"/>
        <v>0</v>
      </c>
      <c r="Q16" s="1697">
        <f t="shared" si="4"/>
        <v>1993312</v>
      </c>
      <c r="R16" s="1876"/>
    </row>
    <row r="17" spans="1:18" s="759" customFormat="1">
      <c r="A17" s="758" t="s">
        <v>965</v>
      </c>
      <c r="B17" s="1627" t="s">
        <v>242</v>
      </c>
      <c r="C17" s="1627" t="s">
        <v>879</v>
      </c>
      <c r="D17" s="1627"/>
      <c r="E17" s="1627">
        <v>1</v>
      </c>
      <c r="F17" s="687"/>
      <c r="G17" s="687">
        <v>1993312</v>
      </c>
      <c r="H17" s="687"/>
      <c r="I17" s="279">
        <f t="shared" si="5"/>
        <v>1993312</v>
      </c>
      <c r="J17" s="764"/>
      <c r="K17" s="971"/>
      <c r="L17" s="687"/>
      <c r="M17" s="687"/>
      <c r="N17" s="687"/>
      <c r="O17" s="687">
        <f t="shared" si="3"/>
        <v>0</v>
      </c>
      <c r="Q17" s="1697">
        <f t="shared" si="4"/>
        <v>1993312</v>
      </c>
    </row>
    <row r="18" spans="1:18" s="764" customFormat="1" ht="28.5" customHeight="1">
      <c r="A18" s="758" t="s">
        <v>1044</v>
      </c>
      <c r="B18" s="761" t="s">
        <v>237</v>
      </c>
      <c r="C18" s="1627" t="s">
        <v>878</v>
      </c>
      <c r="D18" s="1627"/>
      <c r="E18" s="1627">
        <v>3</v>
      </c>
      <c r="F18" s="687"/>
      <c r="G18" s="687"/>
      <c r="H18" s="687"/>
      <c r="I18" s="279"/>
      <c r="K18" s="971"/>
      <c r="L18" s="687"/>
      <c r="M18" s="687"/>
      <c r="N18" s="1572">
        <f>2000000*1.004*E18</f>
        <v>6024000</v>
      </c>
      <c r="O18" s="687">
        <f t="shared" si="3"/>
        <v>6024000</v>
      </c>
      <c r="Q18" s="1697">
        <f t="shared" si="4"/>
        <v>6024000</v>
      </c>
    </row>
    <row r="19" spans="1:18" s="764" customFormat="1" ht="12.75">
      <c r="A19" s="758" t="s">
        <v>592</v>
      </c>
      <c r="B19" s="1627" t="s">
        <v>237</v>
      </c>
      <c r="C19" s="1627" t="s">
        <v>878</v>
      </c>
      <c r="D19" s="1627"/>
      <c r="E19" s="1627">
        <v>11</v>
      </c>
      <c r="F19" s="687"/>
      <c r="G19" s="687">
        <f>+E19*3300000*1.0458*1.004</f>
        <v>38114390.159999996</v>
      </c>
      <c r="H19" s="687"/>
      <c r="I19" s="279">
        <f>+G19+F19</f>
        <v>38114390.159999996</v>
      </c>
      <c r="K19" s="971"/>
      <c r="L19" s="687"/>
      <c r="M19" s="687"/>
      <c r="N19" s="687"/>
      <c r="O19" s="687">
        <f t="shared" si="3"/>
        <v>0</v>
      </c>
      <c r="Q19" s="1697">
        <f t="shared" si="4"/>
        <v>38114390.159999996</v>
      </c>
    </row>
    <row r="20" spans="1:18" s="764" customFormat="1" ht="12.75">
      <c r="A20" s="758" t="s">
        <v>593</v>
      </c>
      <c r="B20" s="1627" t="s">
        <v>237</v>
      </c>
      <c r="C20" s="1627" t="s">
        <v>878</v>
      </c>
      <c r="D20" s="1627"/>
      <c r="E20" s="1627">
        <v>7</v>
      </c>
      <c r="F20" s="687"/>
      <c r="G20" s="1573">
        <v>9876383.5759999994</v>
      </c>
      <c r="H20" s="687"/>
      <c r="I20" s="279">
        <f>+G20</f>
        <v>9876383.5759999994</v>
      </c>
      <c r="K20" s="971"/>
      <c r="L20" s="687"/>
      <c r="M20" s="971">
        <v>10913284.344000001</v>
      </c>
      <c r="N20" s="687"/>
      <c r="O20" s="687">
        <f>SUM(K20:N20)</f>
        <v>10913284.344000001</v>
      </c>
      <c r="Q20" s="1697">
        <f>+O20+I20</f>
        <v>20789667.920000002</v>
      </c>
      <c r="R20" s="642"/>
    </row>
    <row r="21" spans="1:18" s="764" customFormat="1" ht="20.100000000000001" customHeight="1">
      <c r="A21" s="758" t="s">
        <v>1158</v>
      </c>
      <c r="B21" s="1627" t="s">
        <v>237</v>
      </c>
      <c r="C21" s="1627" t="s">
        <v>878</v>
      </c>
      <c r="D21" s="1627"/>
      <c r="E21" s="1627">
        <v>6</v>
      </c>
      <c r="F21" s="687"/>
      <c r="G21" s="1573">
        <v>7454984.7343999995</v>
      </c>
      <c r="H21" s="687"/>
      <c r="I21" s="279">
        <f>+G21</f>
        <v>7454984.7343999995</v>
      </c>
      <c r="K21" s="971"/>
      <c r="L21" s="301"/>
      <c r="M21" s="687">
        <v>10802120.625599999</v>
      </c>
      <c r="N21" s="687"/>
      <c r="O21" s="687">
        <f>SUM(K21:N21)</f>
        <v>10802120.625599999</v>
      </c>
      <c r="Q21" s="1697">
        <f>+O21+I21</f>
        <v>18257105.359999999</v>
      </c>
      <c r="R21" s="642"/>
    </row>
    <row r="22" spans="1:18" s="764" customFormat="1" ht="20.100000000000001" customHeight="1">
      <c r="A22" s="758" t="s">
        <v>1159</v>
      </c>
      <c r="B22" s="1627" t="s">
        <v>237</v>
      </c>
      <c r="C22" s="1627" t="s">
        <v>878</v>
      </c>
      <c r="D22" s="1627"/>
      <c r="E22" s="1627">
        <v>6</v>
      </c>
      <c r="F22" s="687"/>
      <c r="G22" s="1573">
        <f>7454984.7344-7454984.7344</f>
        <v>0</v>
      </c>
      <c r="H22" s="687"/>
      <c r="I22" s="279">
        <f>+G22</f>
        <v>0</v>
      </c>
      <c r="K22" s="971"/>
      <c r="L22" s="301"/>
      <c r="M22" s="687">
        <v>16953023.625599999</v>
      </c>
      <c r="N22" s="687"/>
      <c r="O22" s="687">
        <f t="shared" ref="O22" si="6">SUM(K22:N22)</f>
        <v>16953023.625599999</v>
      </c>
      <c r="Q22" s="1697">
        <f>+O22+I22</f>
        <v>16953023.625599999</v>
      </c>
      <c r="R22" s="642">
        <f>+M22-'[1]ACCIONES 320202'!$M$22</f>
        <v>-0.30240000039339066</v>
      </c>
    </row>
    <row r="23" spans="1:18" s="764" customFormat="1" ht="41.25" customHeight="1">
      <c r="A23" s="758" t="s">
        <v>1154</v>
      </c>
      <c r="B23" s="761" t="s">
        <v>237</v>
      </c>
      <c r="C23" s="1627" t="s">
        <v>878</v>
      </c>
      <c r="D23" s="1627"/>
      <c r="E23" s="1627"/>
      <c r="F23" s="1627"/>
      <c r="G23" s="687">
        <v>4445712</v>
      </c>
      <c r="H23" s="687"/>
      <c r="I23" s="279">
        <f>+G23</f>
        <v>4445712</v>
      </c>
      <c r="K23" s="971"/>
      <c r="L23" s="687"/>
      <c r="M23" s="687"/>
      <c r="N23" s="687"/>
      <c r="O23" s="687">
        <f>SUM(K23:N23)</f>
        <v>0</v>
      </c>
      <c r="Q23" s="1697">
        <f>+I23+O23</f>
        <v>4445712</v>
      </c>
    </row>
    <row r="24" spans="1:18" s="764" customFormat="1" ht="41.25" customHeight="1">
      <c r="A24" s="758" t="s">
        <v>1155</v>
      </c>
      <c r="B24" s="761" t="s">
        <v>237</v>
      </c>
      <c r="C24" s="1627" t="s">
        <v>878</v>
      </c>
      <c r="D24" s="1627"/>
      <c r="E24" s="1627"/>
      <c r="F24" s="1627"/>
      <c r="G24" s="687"/>
      <c r="H24" s="687"/>
      <c r="I24" s="279">
        <f>+G24</f>
        <v>0</v>
      </c>
      <c r="K24" s="971"/>
      <c r="L24" s="687"/>
      <c r="M24" s="687"/>
      <c r="N24" s="301">
        <v>3334284</v>
      </c>
      <c r="O24" s="687">
        <f>SUM(K24:N24)</f>
        <v>3334284</v>
      </c>
      <c r="Q24" s="1697">
        <f>+I24+O24</f>
        <v>3334284</v>
      </c>
    </row>
    <row r="25" spans="1:18" s="764" customFormat="1" ht="15" customHeight="1">
      <c r="A25" s="758" t="s">
        <v>894</v>
      </c>
      <c r="B25" s="1627" t="s">
        <v>237</v>
      </c>
      <c r="C25" s="1627" t="s">
        <v>878</v>
      </c>
      <c r="D25" s="1627"/>
      <c r="E25" s="1627">
        <v>2</v>
      </c>
      <c r="F25" s="687"/>
      <c r="G25" s="687">
        <f>2691000*1.0458*E25*1.004</f>
        <v>5651009.5824000007</v>
      </c>
      <c r="H25" s="687"/>
      <c r="I25" s="279">
        <f>+G25+F25</f>
        <v>5651009.5824000007</v>
      </c>
      <c r="K25" s="971"/>
      <c r="L25" s="687"/>
      <c r="M25" s="687"/>
      <c r="N25" s="687"/>
      <c r="O25" s="687">
        <f t="shared" si="3"/>
        <v>0</v>
      </c>
      <c r="Q25" s="1697">
        <f t="shared" si="4"/>
        <v>5651009.5824000007</v>
      </c>
    </row>
    <row r="26" spans="1:18" s="759" customFormat="1">
      <c r="A26" s="758" t="s">
        <v>895</v>
      </c>
      <c r="B26" s="1627" t="s">
        <v>237</v>
      </c>
      <c r="C26" s="1627" t="s">
        <v>878</v>
      </c>
      <c r="D26" s="1627"/>
      <c r="E26" s="1627">
        <v>5</v>
      </c>
      <c r="F26" s="687"/>
      <c r="G26" s="687">
        <f>+I26</f>
        <v>15060000</v>
      </c>
      <c r="H26" s="687"/>
      <c r="I26" s="279">
        <f>15000000*1.004</f>
        <v>15060000</v>
      </c>
      <c r="J26" s="764"/>
      <c r="K26" s="971"/>
      <c r="L26" s="687"/>
      <c r="M26" s="687"/>
      <c r="N26" s="687"/>
      <c r="O26" s="687">
        <f t="shared" si="3"/>
        <v>0</v>
      </c>
      <c r="Q26" s="1697">
        <f t="shared" si="4"/>
        <v>15060000</v>
      </c>
    </row>
    <row r="27" spans="1:18" s="759" customFormat="1">
      <c r="A27" s="758" t="s">
        <v>966</v>
      </c>
      <c r="B27" s="1627" t="s">
        <v>242</v>
      </c>
      <c r="C27" s="1627" t="s">
        <v>879</v>
      </c>
      <c r="D27" s="1627"/>
      <c r="E27" s="1627">
        <v>1</v>
      </c>
      <c r="F27" s="687"/>
      <c r="G27" s="687">
        <v>1993312</v>
      </c>
      <c r="H27" s="687"/>
      <c r="I27" s="279">
        <f>SUM(F27:H27)</f>
        <v>1993312</v>
      </c>
      <c r="J27" s="764"/>
      <c r="K27" s="971"/>
      <c r="L27" s="687"/>
      <c r="M27" s="687"/>
      <c r="N27" s="687"/>
      <c r="O27" s="687">
        <f t="shared" si="3"/>
        <v>0</v>
      </c>
      <c r="Q27" s="1697">
        <f t="shared" si="4"/>
        <v>1993312</v>
      </c>
      <c r="R27" s="1876"/>
    </row>
    <row r="28" spans="1:18" s="759" customFormat="1">
      <c r="A28" s="758" t="s">
        <v>967</v>
      </c>
      <c r="B28" s="1627" t="s">
        <v>242</v>
      </c>
      <c r="C28" s="1627" t="s">
        <v>879</v>
      </c>
      <c r="D28" s="1627"/>
      <c r="E28" s="1627">
        <v>1</v>
      </c>
      <c r="F28" s="687"/>
      <c r="G28" s="687">
        <v>2008000</v>
      </c>
      <c r="H28" s="687"/>
      <c r="I28" s="279">
        <v>2008000</v>
      </c>
      <c r="J28" s="764"/>
      <c r="K28" s="971"/>
      <c r="L28" s="687"/>
      <c r="M28" s="687"/>
      <c r="N28" s="687"/>
      <c r="O28" s="687">
        <f t="shared" si="3"/>
        <v>0</v>
      </c>
      <c r="Q28" s="1697">
        <f t="shared" si="4"/>
        <v>2008000</v>
      </c>
    </row>
    <row r="29" spans="1:18" s="759" customFormat="1">
      <c r="A29" s="758"/>
      <c r="B29" s="1627"/>
      <c r="C29" s="1627"/>
      <c r="D29" s="1627"/>
      <c r="E29" s="1627"/>
      <c r="F29" s="687"/>
      <c r="G29" s="687"/>
      <c r="H29" s="687"/>
      <c r="I29" s="279"/>
      <c r="J29" s="764"/>
      <c r="K29" s="971"/>
      <c r="L29" s="687"/>
      <c r="M29" s="687"/>
      <c r="N29" s="687"/>
      <c r="O29" s="687">
        <f t="shared" si="3"/>
        <v>0</v>
      </c>
      <c r="Q29" s="1697">
        <f t="shared" si="4"/>
        <v>0</v>
      </c>
    </row>
    <row r="30" spans="1:18" s="759" customFormat="1">
      <c r="A30" s="758" t="s">
        <v>896</v>
      </c>
      <c r="B30" s="1627" t="s">
        <v>237</v>
      </c>
      <c r="C30" s="1627" t="s">
        <v>878</v>
      </c>
      <c r="D30" s="1627"/>
      <c r="E30" s="1627">
        <v>1</v>
      </c>
      <c r="F30" s="687"/>
      <c r="G30" s="687">
        <f>3300000*1.004*1.0458*E30</f>
        <v>3464944.56</v>
      </c>
      <c r="H30" s="687"/>
      <c r="I30" s="279">
        <f>+G30</f>
        <v>3464944.56</v>
      </c>
      <c r="J30" s="764"/>
      <c r="K30" s="971"/>
      <c r="L30" s="687"/>
      <c r="M30" s="687"/>
      <c r="N30" s="687"/>
      <c r="O30" s="687">
        <f t="shared" si="3"/>
        <v>0</v>
      </c>
      <c r="Q30" s="1697">
        <f t="shared" si="4"/>
        <v>3464944.56</v>
      </c>
    </row>
    <row r="31" spans="1:18" s="764" customFormat="1" ht="15" customHeight="1">
      <c r="A31" s="758" t="s">
        <v>896</v>
      </c>
      <c r="B31" s="1627" t="s">
        <v>237</v>
      </c>
      <c r="C31" s="1627" t="s">
        <v>878</v>
      </c>
      <c r="D31" s="1627"/>
      <c r="E31" s="1627">
        <v>1</v>
      </c>
      <c r="F31" s="687">
        <v>5561090.0186040001</v>
      </c>
      <c r="G31" s="687"/>
      <c r="H31" s="687"/>
      <c r="I31" s="279">
        <f>+F31</f>
        <v>5561090.0186040001</v>
      </c>
      <c r="K31" s="971"/>
      <c r="L31" s="687"/>
      <c r="M31" s="687"/>
      <c r="N31" s="687"/>
      <c r="O31" s="687">
        <f t="shared" si="3"/>
        <v>0</v>
      </c>
      <c r="Q31" s="1697">
        <f t="shared" si="4"/>
        <v>5561090.0186040001</v>
      </c>
    </row>
    <row r="32" spans="1:18" s="764" customFormat="1" ht="15" customHeight="1">
      <c r="A32" s="758" t="s">
        <v>896</v>
      </c>
      <c r="B32" s="1627" t="s">
        <v>237</v>
      </c>
      <c r="C32" s="1627" t="s">
        <v>878</v>
      </c>
      <c r="D32" s="1627"/>
      <c r="E32" s="1627">
        <v>2</v>
      </c>
      <c r="F32" s="687">
        <f>+I32</f>
        <v>6929889.1200000001</v>
      </c>
      <c r="G32" s="687"/>
      <c r="H32" s="687"/>
      <c r="I32" s="279">
        <f>3300000*1.0458*E32*1.004</f>
        <v>6929889.1200000001</v>
      </c>
      <c r="K32" s="971"/>
      <c r="L32" s="687"/>
      <c r="M32" s="687"/>
      <c r="N32" s="687"/>
      <c r="O32" s="687">
        <f t="shared" si="3"/>
        <v>0</v>
      </c>
      <c r="Q32" s="1697">
        <f t="shared" si="4"/>
        <v>6929889.1200000001</v>
      </c>
    </row>
    <row r="33" spans="1:18" s="764" customFormat="1" ht="15" customHeight="1">
      <c r="A33" s="758" t="s">
        <v>532</v>
      </c>
      <c r="B33" s="1627" t="s">
        <v>237</v>
      </c>
      <c r="C33" s="1627" t="s">
        <v>878</v>
      </c>
      <c r="D33" s="1627"/>
      <c r="E33" s="1627">
        <v>2</v>
      </c>
      <c r="F33" s="687"/>
      <c r="G33" s="687">
        <f>+I33</f>
        <v>6929889.1200000001</v>
      </c>
      <c r="H33" s="687"/>
      <c r="I33" s="279">
        <f>3300000*1.0458*E33*1.004</f>
        <v>6929889.1200000001</v>
      </c>
      <c r="K33" s="971"/>
      <c r="L33" s="687"/>
      <c r="M33" s="687"/>
      <c r="N33" s="687"/>
      <c r="O33" s="687">
        <f t="shared" si="3"/>
        <v>0</v>
      </c>
      <c r="Q33" s="1697">
        <f t="shared" si="4"/>
        <v>6929889.1200000001</v>
      </c>
    </row>
    <row r="34" spans="1:18" s="759" customFormat="1">
      <c r="A34" s="758" t="s">
        <v>897</v>
      </c>
      <c r="B34" s="1627" t="s">
        <v>237</v>
      </c>
      <c r="C34" s="1627" t="s">
        <v>878</v>
      </c>
      <c r="D34" s="1627"/>
      <c r="E34" s="1627">
        <v>1</v>
      </c>
      <c r="F34" s="687"/>
      <c r="G34" s="687">
        <f>3300000*1.004*1.0458*E34</f>
        <v>3464944.56</v>
      </c>
      <c r="H34" s="687"/>
      <c r="I34" s="279">
        <f>+G34</f>
        <v>3464944.56</v>
      </c>
      <c r="J34" s="764"/>
      <c r="K34" s="971"/>
      <c r="L34" s="687"/>
      <c r="M34" s="687"/>
      <c r="N34" s="687"/>
      <c r="O34" s="687">
        <f t="shared" si="3"/>
        <v>0</v>
      </c>
      <c r="Q34" s="1697">
        <f t="shared" si="4"/>
        <v>3464944.56</v>
      </c>
    </row>
    <row r="35" spans="1:18" s="759" customFormat="1">
      <c r="A35" s="758" t="s">
        <v>594</v>
      </c>
      <c r="B35" s="1627" t="s">
        <v>237</v>
      </c>
      <c r="C35" s="1627" t="s">
        <v>878</v>
      </c>
      <c r="D35" s="1627"/>
      <c r="E35" s="1627">
        <v>11</v>
      </c>
      <c r="F35" s="687"/>
      <c r="G35" s="687">
        <f>+I35</f>
        <v>38114390.160000004</v>
      </c>
      <c r="H35" s="687"/>
      <c r="I35" s="279">
        <f>3300000*1.004*1.0458*E35</f>
        <v>38114390.160000004</v>
      </c>
      <c r="J35" s="764"/>
      <c r="K35" s="971"/>
      <c r="L35" s="687"/>
      <c r="M35" s="687"/>
      <c r="N35" s="687"/>
      <c r="O35" s="687">
        <f t="shared" si="3"/>
        <v>0</v>
      </c>
      <c r="Q35" s="1697">
        <f t="shared" si="4"/>
        <v>38114390.160000004</v>
      </c>
    </row>
    <row r="36" spans="1:18" s="764" customFormat="1" ht="20.100000000000001" customHeight="1">
      <c r="A36" s="758" t="s">
        <v>949</v>
      </c>
      <c r="B36" s="1627" t="s">
        <v>237</v>
      </c>
      <c r="C36" s="1627" t="s">
        <v>878</v>
      </c>
      <c r="D36" s="1627"/>
      <c r="E36" s="1627">
        <v>5</v>
      </c>
      <c r="F36" s="687"/>
      <c r="G36" s="1573">
        <f>6072156*1.004</f>
        <v>6096444.6239999998</v>
      </c>
      <c r="H36" s="687"/>
      <c r="I36" s="279">
        <f>+G36</f>
        <v>6096444.6239999998</v>
      </c>
      <c r="J36" s="764" t="s">
        <v>1107</v>
      </c>
      <c r="K36" s="971"/>
      <c r="L36" s="687"/>
      <c r="M36" s="971">
        <f>14320945*1.004</f>
        <v>14378228.779999999</v>
      </c>
      <c r="N36" s="687"/>
      <c r="O36" s="687">
        <f>SUM(K36:N36)</f>
        <v>14378228.779999999</v>
      </c>
      <c r="Q36" s="1697">
        <f>+I36+O36</f>
        <v>20474673.403999999</v>
      </c>
    </row>
    <row r="37" spans="1:18" s="764" customFormat="1" ht="12.75">
      <c r="A37" s="758" t="s">
        <v>951</v>
      </c>
      <c r="B37" s="1627" t="s">
        <v>237</v>
      </c>
      <c r="C37" s="1627" t="s">
        <v>878</v>
      </c>
      <c r="D37" s="1627"/>
      <c r="E37" s="1627">
        <v>2</v>
      </c>
      <c r="F37" s="687"/>
      <c r="G37" s="687">
        <f>3300000*1.0458*1.004*E37</f>
        <v>6929889.1200000001</v>
      </c>
      <c r="H37" s="687"/>
      <c r="I37" s="279">
        <f>+G37</f>
        <v>6929889.1200000001</v>
      </c>
      <c r="J37" s="686"/>
      <c r="K37" s="971"/>
      <c r="L37" s="687"/>
      <c r="M37" s="687"/>
      <c r="N37" s="687"/>
      <c r="O37" s="687">
        <f t="shared" si="3"/>
        <v>0</v>
      </c>
      <c r="Q37" s="1697">
        <f t="shared" si="4"/>
        <v>6929889.1200000001</v>
      </c>
    </row>
    <row r="38" spans="1:18" s="764" customFormat="1" ht="12.75">
      <c r="A38" s="758" t="s">
        <v>968</v>
      </c>
      <c r="B38" s="1627" t="s">
        <v>242</v>
      </c>
      <c r="C38" s="1627" t="s">
        <v>879</v>
      </c>
      <c r="D38" s="1627"/>
      <c r="E38" s="1627">
        <v>1</v>
      </c>
      <c r="F38" s="687"/>
      <c r="G38" s="687">
        <v>1468757</v>
      </c>
      <c r="H38" s="687"/>
      <c r="I38" s="279">
        <f>SUM(F38:H38)</f>
        <v>1468757</v>
      </c>
      <c r="J38" s="686"/>
      <c r="K38" s="971"/>
      <c r="L38" s="687"/>
      <c r="M38" s="687"/>
      <c r="N38" s="687"/>
      <c r="O38" s="687">
        <f t="shared" si="3"/>
        <v>0</v>
      </c>
      <c r="Q38" s="1697">
        <f t="shared" si="4"/>
        <v>1468757</v>
      </c>
      <c r="R38" s="642"/>
    </row>
    <row r="39" spans="1:18" s="764" customFormat="1" ht="12.75">
      <c r="A39" s="758" t="s">
        <v>969</v>
      </c>
      <c r="B39" s="1627" t="s">
        <v>242</v>
      </c>
      <c r="C39" s="1627" t="s">
        <v>879</v>
      </c>
      <c r="D39" s="1627"/>
      <c r="E39" s="1627">
        <v>1</v>
      </c>
      <c r="F39" s="687"/>
      <c r="G39" s="687">
        <v>1416301</v>
      </c>
      <c r="H39" s="687"/>
      <c r="I39" s="279">
        <f>SUM(F39:H39)</f>
        <v>1416301</v>
      </c>
      <c r="J39" s="686"/>
      <c r="K39" s="971"/>
      <c r="L39" s="687"/>
      <c r="M39" s="687"/>
      <c r="N39" s="687"/>
      <c r="O39" s="687">
        <f t="shared" si="3"/>
        <v>0</v>
      </c>
      <c r="Q39" s="1697">
        <f t="shared" si="4"/>
        <v>1416301</v>
      </c>
      <c r="R39" s="642"/>
    </row>
    <row r="40" spans="1:18" s="764" customFormat="1" ht="12.75">
      <c r="A40" s="758"/>
      <c r="B40" s="1627"/>
      <c r="C40" s="1627"/>
      <c r="D40" s="1627"/>
      <c r="E40" s="1627"/>
      <c r="F40" s="687"/>
      <c r="G40" s="687"/>
      <c r="H40" s="687"/>
      <c r="I40" s="279"/>
      <c r="J40" s="686"/>
      <c r="K40" s="971"/>
      <c r="L40" s="687"/>
      <c r="M40" s="687"/>
      <c r="N40" s="687"/>
      <c r="O40" s="687">
        <f t="shared" si="3"/>
        <v>0</v>
      </c>
      <c r="Q40" s="1697">
        <f t="shared" si="4"/>
        <v>0</v>
      </c>
    </row>
    <row r="41" spans="1:18" s="764" customFormat="1" ht="15" customHeight="1">
      <c r="A41" s="758" t="s">
        <v>595</v>
      </c>
      <c r="B41" s="1627" t="s">
        <v>237</v>
      </c>
      <c r="C41" s="1627" t="s">
        <v>878</v>
      </c>
      <c r="D41" s="1627"/>
      <c r="E41" s="1627">
        <v>11</v>
      </c>
      <c r="F41" s="687">
        <v>3042851.3136000005</v>
      </c>
      <c r="G41" s="687">
        <v>30428513.136</v>
      </c>
      <c r="H41" s="687"/>
      <c r="I41" s="279">
        <f>2898000*1.004*1.0458*E41</f>
        <v>33471364.4496</v>
      </c>
      <c r="K41" s="971"/>
      <c r="L41" s="687"/>
      <c r="M41" s="687"/>
      <c r="N41" s="687"/>
      <c r="O41" s="687">
        <f t="shared" si="3"/>
        <v>0</v>
      </c>
      <c r="Q41" s="1697">
        <f t="shared" si="4"/>
        <v>33471364.4496</v>
      </c>
    </row>
    <row r="42" spans="1:18" s="759" customFormat="1">
      <c r="A42" s="758" t="s">
        <v>596</v>
      </c>
      <c r="B42" s="1627" t="s">
        <v>237</v>
      </c>
      <c r="C42" s="1627" t="s">
        <v>878</v>
      </c>
      <c r="D42" s="1627"/>
      <c r="E42" s="1627">
        <v>11</v>
      </c>
      <c r="F42" s="687"/>
      <c r="G42" s="687">
        <v>38114390.160000004</v>
      </c>
      <c r="H42" s="687"/>
      <c r="I42" s="279">
        <f>3300000*1.004*1.0458*E42</f>
        <v>38114390.160000004</v>
      </c>
      <c r="J42" s="764"/>
      <c r="K42" s="971"/>
      <c r="L42" s="687"/>
      <c r="M42" s="687"/>
      <c r="N42" s="687"/>
      <c r="O42" s="687">
        <f t="shared" si="3"/>
        <v>0</v>
      </c>
      <c r="Q42" s="1697">
        <f t="shared" si="4"/>
        <v>38114390.160000004</v>
      </c>
    </row>
    <row r="43" spans="1:18" s="764" customFormat="1" ht="15" customHeight="1">
      <c r="A43" s="758" t="s">
        <v>597</v>
      </c>
      <c r="B43" s="1627" t="s">
        <v>237</v>
      </c>
      <c r="C43" s="1627" t="s">
        <v>878</v>
      </c>
      <c r="D43" s="1627"/>
      <c r="E43" s="1627">
        <v>11</v>
      </c>
      <c r="F43" s="687"/>
      <c r="G43" s="687">
        <v>38114390.160000004</v>
      </c>
      <c r="H43" s="687"/>
      <c r="I43" s="279">
        <f>+G43</f>
        <v>38114390.160000004</v>
      </c>
      <c r="K43" s="971"/>
      <c r="L43" s="687"/>
      <c r="M43" s="687"/>
      <c r="N43" s="687"/>
      <c r="O43" s="687">
        <f t="shared" si="3"/>
        <v>0</v>
      </c>
      <c r="Q43" s="1697">
        <f t="shared" si="4"/>
        <v>38114390.160000004</v>
      </c>
    </row>
    <row r="44" spans="1:18" s="764" customFormat="1" ht="20.100000000000001" customHeight="1">
      <c r="A44" s="758" t="s">
        <v>598</v>
      </c>
      <c r="B44" s="1627" t="s">
        <v>237</v>
      </c>
      <c r="C44" s="1627" t="s">
        <v>878</v>
      </c>
      <c r="D44" s="1627"/>
      <c r="E44" s="1574">
        <v>7</v>
      </c>
      <c r="F44" s="687"/>
      <c r="G44" s="1573">
        <f>9171355*1.004</f>
        <v>9208040.4199999999</v>
      </c>
      <c r="H44" s="687"/>
      <c r="I44" s="279">
        <f>+G44</f>
        <v>9208040.4199999999</v>
      </c>
      <c r="K44" s="971"/>
      <c r="L44" s="687"/>
      <c r="M44" s="971">
        <f>14986625*1.004</f>
        <v>15046571.5</v>
      </c>
      <c r="N44" s="687"/>
      <c r="O44" s="687">
        <f>SUM(K44:N44)</f>
        <v>15046571.5</v>
      </c>
      <c r="Q44" s="1697">
        <f>+I44+O44</f>
        <v>24254611.920000002</v>
      </c>
    </row>
    <row r="45" spans="1:18" s="764" customFormat="1" ht="15" customHeight="1">
      <c r="A45" s="758" t="s">
        <v>599</v>
      </c>
      <c r="B45" s="1627" t="s">
        <v>237</v>
      </c>
      <c r="C45" s="1627" t="s">
        <v>878</v>
      </c>
      <c r="D45" s="1627"/>
      <c r="E45" s="1627"/>
      <c r="F45" s="687"/>
      <c r="G45" s="687">
        <v>0</v>
      </c>
      <c r="H45" s="687"/>
      <c r="I45" s="279">
        <v>0</v>
      </c>
      <c r="K45" s="971"/>
      <c r="L45" s="687"/>
      <c r="M45" s="687"/>
      <c r="N45" s="687"/>
      <c r="O45" s="687">
        <f t="shared" si="3"/>
        <v>0</v>
      </c>
      <c r="Q45" s="1697">
        <f t="shared" si="4"/>
        <v>0</v>
      </c>
    </row>
    <row r="46" spans="1:18" s="764" customFormat="1" ht="18" customHeight="1">
      <c r="A46" s="1877" t="s">
        <v>1026</v>
      </c>
      <c r="B46" s="1626" t="s">
        <v>264</v>
      </c>
      <c r="C46" s="1626" t="s">
        <v>880</v>
      </c>
      <c r="D46" s="1627"/>
      <c r="E46" s="1627">
        <v>2</v>
      </c>
      <c r="F46" s="687"/>
      <c r="G46" s="687"/>
      <c r="H46" s="687"/>
      <c r="I46" s="279">
        <f>+G46</f>
        <v>0</v>
      </c>
      <c r="J46" s="1878"/>
      <c r="K46" s="971"/>
      <c r="L46" s="687"/>
      <c r="M46" s="687"/>
      <c r="N46" s="687"/>
      <c r="O46" s="687">
        <v>0</v>
      </c>
      <c r="P46" s="1878"/>
      <c r="Q46" s="1697">
        <f>+O46+I46</f>
        <v>0</v>
      </c>
      <c r="R46" s="642">
        <v>6520377.5999999996</v>
      </c>
    </row>
    <row r="47" spans="1:18" s="759" customFormat="1">
      <c r="A47" s="758" t="s">
        <v>559</v>
      </c>
      <c r="B47" s="1627" t="s">
        <v>264</v>
      </c>
      <c r="C47" s="1627" t="s">
        <v>878</v>
      </c>
      <c r="D47" s="1627"/>
      <c r="E47" s="1627">
        <v>1</v>
      </c>
      <c r="F47" s="1716"/>
      <c r="G47" s="438">
        <v>3464944.56</v>
      </c>
      <c r="H47" s="687"/>
      <c r="I47" s="977">
        <v>3464944.56</v>
      </c>
      <c r="J47" s="764"/>
      <c r="K47" s="1717"/>
      <c r="L47" s="1716"/>
      <c r="M47" s="1716"/>
      <c r="N47" s="1716"/>
      <c r="O47" s="1716">
        <f t="shared" si="3"/>
        <v>0</v>
      </c>
      <c r="Q47" s="1697">
        <f t="shared" si="4"/>
        <v>3464944.56</v>
      </c>
    </row>
    <row r="48" spans="1:18" s="759" customFormat="1">
      <c r="A48" s="758" t="s">
        <v>970</v>
      </c>
      <c r="B48" s="1627" t="s">
        <v>242</v>
      </c>
      <c r="C48" s="1627" t="s">
        <v>879</v>
      </c>
      <c r="D48" s="1627"/>
      <c r="E48" s="1627">
        <v>1</v>
      </c>
      <c r="F48" s="1716"/>
      <c r="G48" s="687">
        <v>2008000</v>
      </c>
      <c r="H48" s="687"/>
      <c r="I48" s="279">
        <v>2008000</v>
      </c>
      <c r="J48" s="764"/>
      <c r="K48" s="1717"/>
      <c r="L48" s="1716"/>
      <c r="M48" s="1716"/>
      <c r="N48" s="1716"/>
      <c r="O48" s="1716">
        <f t="shared" ref="O48" si="7">SUM(K48:N48)</f>
        <v>0</v>
      </c>
      <c r="Q48" s="1697">
        <f t="shared" si="4"/>
        <v>2008000</v>
      </c>
      <c r="R48" s="1876"/>
    </row>
    <row r="49" spans="1:18" s="759" customFormat="1">
      <c r="A49" s="758" t="s">
        <v>971</v>
      </c>
      <c r="B49" s="1627" t="s">
        <v>242</v>
      </c>
      <c r="C49" s="1627" t="s">
        <v>879</v>
      </c>
      <c r="D49" s="1627"/>
      <c r="E49" s="1627">
        <v>1</v>
      </c>
      <c r="F49" s="1716"/>
      <c r="G49" s="687">
        <v>2008000</v>
      </c>
      <c r="H49" s="687"/>
      <c r="I49" s="279">
        <v>2008000</v>
      </c>
      <c r="J49" s="764"/>
      <c r="K49" s="1717"/>
      <c r="L49" s="1716"/>
      <c r="M49" s="1716"/>
      <c r="N49" s="1716"/>
      <c r="O49" s="1716">
        <f t="shared" ref="O49" si="8">SUM(K49:N49)</f>
        <v>0</v>
      </c>
      <c r="Q49" s="1697">
        <f t="shared" si="4"/>
        <v>2008000</v>
      </c>
      <c r="R49" s="1876"/>
    </row>
    <row r="50" spans="1:18" s="759" customFormat="1">
      <c r="A50" s="758"/>
      <c r="B50" s="1627"/>
      <c r="C50" s="1627"/>
      <c r="D50" s="1627"/>
      <c r="E50" s="1627"/>
      <c r="F50" s="1716"/>
      <c r="G50" s="438"/>
      <c r="H50" s="687"/>
      <c r="I50" s="977"/>
      <c r="J50" s="764"/>
      <c r="K50" s="1717"/>
      <c r="L50" s="1716"/>
      <c r="M50" s="1716"/>
      <c r="N50" s="1716"/>
      <c r="O50" s="1716">
        <f t="shared" si="3"/>
        <v>0</v>
      </c>
      <c r="Q50" s="1697">
        <f t="shared" si="4"/>
        <v>0</v>
      </c>
    </row>
    <row r="51" spans="1:18" s="764" customFormat="1" ht="15" customHeight="1">
      <c r="A51" s="758" t="s">
        <v>600</v>
      </c>
      <c r="B51" s="1627" t="s">
        <v>237</v>
      </c>
      <c r="C51" s="1627" t="s">
        <v>878</v>
      </c>
      <c r="D51" s="1627"/>
      <c r="E51" s="1627">
        <v>7</v>
      </c>
      <c r="F51" s="687"/>
      <c r="G51" s="687">
        <v>25724588.400000002</v>
      </c>
      <c r="H51" s="687"/>
      <c r="I51" s="279">
        <f>3500000*1.004*1.0458*E51</f>
        <v>25724588.400000002</v>
      </c>
      <c r="K51" s="971"/>
      <c r="L51" s="687"/>
      <c r="M51" s="687"/>
      <c r="N51" s="687"/>
      <c r="O51" s="687">
        <f t="shared" si="3"/>
        <v>0</v>
      </c>
      <c r="Q51" s="1697">
        <f t="shared" si="4"/>
        <v>25724588.400000002</v>
      </c>
    </row>
    <row r="52" spans="1:18" s="764" customFormat="1" ht="12.75">
      <c r="A52" s="758"/>
      <c r="B52" s="1715"/>
      <c r="C52" s="1715"/>
      <c r="D52" s="1627"/>
      <c r="E52" s="1627"/>
      <c r="F52" s="687"/>
      <c r="G52" s="687"/>
      <c r="H52" s="687"/>
      <c r="I52" s="279">
        <f t="shared" ref="I52" si="9">4897600*1.004*1.05*E52</f>
        <v>0</v>
      </c>
      <c r="K52" s="971"/>
      <c r="L52" s="687"/>
      <c r="M52" s="687"/>
      <c r="N52" s="687"/>
      <c r="O52" s="687">
        <f t="shared" si="3"/>
        <v>0</v>
      </c>
      <c r="Q52" s="1697">
        <f t="shared" si="4"/>
        <v>0</v>
      </c>
    </row>
    <row r="53" spans="1:18" s="764" customFormat="1" ht="15" customHeight="1">
      <c r="A53" s="758" t="s">
        <v>601</v>
      </c>
      <c r="B53" s="1627" t="s">
        <v>237</v>
      </c>
      <c r="C53" s="1627" t="s">
        <v>878</v>
      </c>
      <c r="D53" s="1627"/>
      <c r="E53" s="1627">
        <v>5</v>
      </c>
      <c r="F53" s="687">
        <v>8000090.0677960003</v>
      </c>
      <c r="G53" s="687">
        <v>15199446.233684003</v>
      </c>
      <c r="H53" s="687"/>
      <c r="I53" s="279">
        <f>4419030*1.004*1.0458*E53</f>
        <v>23199536.301480003</v>
      </c>
      <c r="K53" s="971"/>
      <c r="L53" s="687"/>
      <c r="M53" s="687"/>
      <c r="N53" s="687"/>
      <c r="O53" s="687">
        <f t="shared" si="3"/>
        <v>0</v>
      </c>
      <c r="Q53" s="1697">
        <f t="shared" si="4"/>
        <v>23199536.301480003</v>
      </c>
    </row>
    <row r="54" spans="1:18" s="764" customFormat="1" ht="15" customHeight="1">
      <c r="A54" s="758" t="s">
        <v>555</v>
      </c>
      <c r="B54" s="1627" t="s">
        <v>237</v>
      </c>
      <c r="C54" s="1627" t="s">
        <v>878</v>
      </c>
      <c r="D54" s="1627"/>
      <c r="E54" s="1627">
        <v>2</v>
      </c>
      <c r="F54" s="687">
        <v>8189868.9600000009</v>
      </c>
      <c r="G54" s="687"/>
      <c r="H54" s="687"/>
      <c r="I54" s="442">
        <f>3900000*1.0458*E54*1.004</f>
        <v>8189868.9600000009</v>
      </c>
      <c r="J54" s="1628"/>
      <c r="K54" s="971"/>
      <c r="L54" s="687"/>
      <c r="M54" s="687"/>
      <c r="N54" s="687"/>
      <c r="O54" s="687">
        <f t="shared" si="3"/>
        <v>0</v>
      </c>
      <c r="Q54" s="1697">
        <f t="shared" si="4"/>
        <v>8189868.9600000009</v>
      </c>
    </row>
    <row r="55" spans="1:18" s="764" customFormat="1" ht="15" customHeight="1">
      <c r="A55" s="758" t="s">
        <v>556</v>
      </c>
      <c r="B55" s="1627" t="s">
        <v>237</v>
      </c>
      <c r="C55" s="1627" t="s">
        <v>878</v>
      </c>
      <c r="D55" s="1627"/>
      <c r="E55" s="1627">
        <v>2</v>
      </c>
      <c r="F55" s="687">
        <v>8189868.9600000009</v>
      </c>
      <c r="G55" s="687"/>
      <c r="H55" s="687"/>
      <c r="I55" s="442">
        <f>3900000*1.0458*E55*1.004</f>
        <v>8189868.9600000009</v>
      </c>
      <c r="J55" s="1628"/>
      <c r="K55" s="971"/>
      <c r="L55" s="687"/>
      <c r="M55" s="687"/>
      <c r="N55" s="687"/>
      <c r="O55" s="687">
        <f t="shared" si="3"/>
        <v>0</v>
      </c>
      <c r="Q55" s="1697">
        <f t="shared" si="4"/>
        <v>8189868.9600000009</v>
      </c>
    </row>
    <row r="56" spans="1:18" s="764" customFormat="1" ht="15" customHeight="1">
      <c r="A56" s="758" t="s">
        <v>519</v>
      </c>
      <c r="B56" s="1627" t="s">
        <v>237</v>
      </c>
      <c r="C56" s="1627" t="s">
        <v>878</v>
      </c>
      <c r="D56" s="1632"/>
      <c r="E56" s="273">
        <v>2</v>
      </c>
      <c r="F56" s="687"/>
      <c r="G56" s="687">
        <v>6929889.1200000001</v>
      </c>
      <c r="H56" s="687"/>
      <c r="I56" s="442">
        <f>+G56</f>
        <v>6929889.1200000001</v>
      </c>
      <c r="J56" s="1628"/>
      <c r="K56" s="971"/>
      <c r="L56" s="687"/>
      <c r="M56" s="687"/>
      <c r="N56" s="687"/>
      <c r="O56" s="687">
        <f t="shared" si="3"/>
        <v>0</v>
      </c>
      <c r="Q56" s="1697">
        <f t="shared" si="4"/>
        <v>6929889.1200000001</v>
      </c>
    </row>
    <row r="57" spans="1:18" s="764" customFormat="1" ht="15" customHeight="1">
      <c r="A57" s="758" t="s">
        <v>520</v>
      </c>
      <c r="B57" s="1627" t="s">
        <v>237</v>
      </c>
      <c r="C57" s="1627" t="s">
        <v>878</v>
      </c>
      <c r="D57" s="1632"/>
      <c r="E57" s="273">
        <v>2</v>
      </c>
      <c r="F57" s="687"/>
      <c r="G57" s="687">
        <v>7718279.6146358252</v>
      </c>
      <c r="H57" s="687"/>
      <c r="I57" s="442">
        <f>+G57</f>
        <v>7718279.6146358252</v>
      </c>
      <c r="J57" s="1628"/>
      <c r="K57" s="971"/>
      <c r="L57" s="687"/>
      <c r="M57" s="687"/>
      <c r="N57" s="687"/>
      <c r="O57" s="687">
        <f t="shared" si="3"/>
        <v>0</v>
      </c>
      <c r="Q57" s="1697">
        <f t="shared" si="4"/>
        <v>7718279.6146358252</v>
      </c>
    </row>
    <row r="58" spans="1:18" s="764" customFormat="1" ht="15" customHeight="1">
      <c r="A58" s="758"/>
      <c r="B58" s="1715"/>
      <c r="C58" s="1715"/>
      <c r="D58" s="1627"/>
      <c r="E58" s="1627"/>
      <c r="F58" s="687"/>
      <c r="G58" s="687"/>
      <c r="H58" s="687"/>
      <c r="I58" s="279"/>
      <c r="K58" s="971"/>
      <c r="L58" s="687"/>
      <c r="M58" s="687"/>
      <c r="N58" s="687"/>
      <c r="O58" s="687">
        <f t="shared" si="3"/>
        <v>0</v>
      </c>
      <c r="Q58" s="1697">
        <f t="shared" si="4"/>
        <v>0</v>
      </c>
    </row>
    <row r="59" spans="1:18" s="759" customFormat="1">
      <c r="A59" s="758"/>
      <c r="B59" s="1715"/>
      <c r="C59" s="1715"/>
      <c r="D59" s="1627"/>
      <c r="E59" s="1627"/>
      <c r="F59" s="687"/>
      <c r="G59" s="687"/>
      <c r="H59" s="687"/>
      <c r="I59" s="279"/>
      <c r="J59" s="688"/>
      <c r="K59" s="971"/>
      <c r="L59" s="687"/>
      <c r="M59" s="687"/>
      <c r="N59" s="687"/>
      <c r="O59" s="687">
        <f t="shared" si="3"/>
        <v>0</v>
      </c>
      <c r="Q59" s="1697">
        <f t="shared" si="4"/>
        <v>0</v>
      </c>
    </row>
    <row r="60" spans="1:18" s="268" customFormat="1" ht="25.5" customHeight="1">
      <c r="A60" s="1718" t="s">
        <v>602</v>
      </c>
      <c r="B60" s="1719"/>
      <c r="C60" s="1719"/>
      <c r="D60" s="1719"/>
      <c r="E60" s="1719"/>
      <c r="F60" s="1719">
        <f>SUM(F61:F64)</f>
        <v>0</v>
      </c>
      <c r="G60" s="1720">
        <f t="shared" ref="G60:H60" si="10">SUM(G61:G64)</f>
        <v>16465600</v>
      </c>
      <c r="H60" s="1720">
        <f t="shared" si="10"/>
        <v>0</v>
      </c>
      <c r="I60" s="1721">
        <f>SUM(I61:I64)</f>
        <v>16465600</v>
      </c>
      <c r="K60" s="1722">
        <f>SUM(K61:K65)</f>
        <v>0</v>
      </c>
      <c r="L60" s="1723">
        <f t="shared" ref="L60:N60" si="11">SUM(L61:L65)</f>
        <v>0</v>
      </c>
      <c r="M60" s="1723">
        <f t="shared" si="11"/>
        <v>0</v>
      </c>
      <c r="N60" s="1723">
        <f t="shared" si="11"/>
        <v>0</v>
      </c>
      <c r="O60" s="1723">
        <f t="shared" si="3"/>
        <v>0</v>
      </c>
      <c r="Q60" s="1724">
        <f>SUM(Q61:Q65)</f>
        <v>16465600</v>
      </c>
    </row>
    <row r="61" spans="1:18" s="764" customFormat="1" ht="15" customHeight="1">
      <c r="A61" s="758" t="s">
        <v>603</v>
      </c>
      <c r="B61" s="1627" t="s">
        <v>889</v>
      </c>
      <c r="C61" s="1879" t="s">
        <v>890</v>
      </c>
      <c r="D61" s="1627"/>
      <c r="E61" s="1627">
        <v>1</v>
      </c>
      <c r="F61" s="687"/>
      <c r="G61" s="687">
        <v>0</v>
      </c>
      <c r="H61" s="687"/>
      <c r="I61" s="279">
        <f>SUM(F61:H61)</f>
        <v>0</v>
      </c>
      <c r="K61" s="971"/>
      <c r="L61" s="687"/>
      <c r="M61" s="687"/>
      <c r="N61" s="687"/>
      <c r="O61" s="687">
        <f t="shared" si="3"/>
        <v>0</v>
      </c>
      <c r="Q61" s="867">
        <f>+I61+O61</f>
        <v>0</v>
      </c>
    </row>
    <row r="62" spans="1:18" s="764" customFormat="1" ht="15" customHeight="1">
      <c r="A62" s="758" t="s">
        <v>604</v>
      </c>
      <c r="B62" s="1627" t="s">
        <v>889</v>
      </c>
      <c r="C62" s="1879" t="s">
        <v>890</v>
      </c>
      <c r="D62" s="1627"/>
      <c r="E62" s="1627">
        <v>1</v>
      </c>
      <c r="F62" s="687"/>
      <c r="G62" s="687">
        <v>0</v>
      </c>
      <c r="H62" s="687"/>
      <c r="I62" s="279">
        <f t="shared" ref="I62:I64" si="12">SUM(F62:H62)</f>
        <v>0</v>
      </c>
      <c r="K62" s="971"/>
      <c r="L62" s="687"/>
      <c r="M62" s="687"/>
      <c r="N62" s="687"/>
      <c r="O62" s="687">
        <f t="shared" si="3"/>
        <v>0</v>
      </c>
      <c r="Q62" s="867">
        <f t="shared" ref="Q62:Q65" si="13">+I62+O62</f>
        <v>0</v>
      </c>
    </row>
    <row r="63" spans="1:18" s="759" customFormat="1" ht="15" customHeight="1">
      <c r="A63" s="758" t="s">
        <v>605</v>
      </c>
      <c r="B63" s="1627" t="s">
        <v>889</v>
      </c>
      <c r="C63" s="1879" t="s">
        <v>890</v>
      </c>
      <c r="D63" s="1627"/>
      <c r="E63" s="1627">
        <v>1</v>
      </c>
      <c r="F63" s="687"/>
      <c r="G63" s="687">
        <v>9469606</v>
      </c>
      <c r="H63" s="687"/>
      <c r="I63" s="279">
        <f t="shared" si="12"/>
        <v>9469606</v>
      </c>
      <c r="J63" s="764"/>
      <c r="K63" s="971"/>
      <c r="L63" s="687"/>
      <c r="M63" s="687"/>
      <c r="N63" s="687"/>
      <c r="O63" s="687">
        <f t="shared" si="3"/>
        <v>0</v>
      </c>
      <c r="Q63" s="867">
        <f t="shared" si="13"/>
        <v>9469606</v>
      </c>
      <c r="R63" s="1876"/>
    </row>
    <row r="64" spans="1:18" s="759" customFormat="1" ht="27" customHeight="1">
      <c r="A64" s="758" t="s">
        <v>606</v>
      </c>
      <c r="B64" s="1627" t="s">
        <v>889</v>
      </c>
      <c r="C64" s="1879" t="s">
        <v>890</v>
      </c>
      <c r="D64" s="1627"/>
      <c r="E64" s="1627">
        <v>1</v>
      </c>
      <c r="F64" s="687"/>
      <c r="G64" s="687">
        <v>6995994</v>
      </c>
      <c r="H64" s="687"/>
      <c r="I64" s="279">
        <f t="shared" si="12"/>
        <v>6995994</v>
      </c>
      <c r="J64" s="764"/>
      <c r="K64" s="971"/>
      <c r="L64" s="687"/>
      <c r="M64" s="687"/>
      <c r="N64" s="687"/>
      <c r="O64" s="687">
        <f t="shared" si="3"/>
        <v>0</v>
      </c>
      <c r="Q64" s="867">
        <f t="shared" si="13"/>
        <v>6995994</v>
      </c>
      <c r="R64" s="1876"/>
    </row>
    <row r="65" spans="1:20">
      <c r="A65" s="758"/>
      <c r="B65" s="1715"/>
      <c r="C65" s="1715"/>
      <c r="D65" s="1627"/>
      <c r="E65" s="1627"/>
      <c r="F65" s="687"/>
      <c r="G65" s="687"/>
      <c r="H65" s="687"/>
      <c r="I65" s="279"/>
      <c r="J65" s="268"/>
      <c r="K65" s="971"/>
      <c r="L65" s="687"/>
      <c r="M65" s="687"/>
      <c r="N65" s="687"/>
      <c r="O65" s="687">
        <f t="shared" si="3"/>
        <v>0</v>
      </c>
      <c r="Q65" s="867">
        <f t="shared" si="13"/>
        <v>0</v>
      </c>
    </row>
    <row r="66" spans="1:20" ht="25.5" customHeight="1">
      <c r="A66" s="1718" t="s">
        <v>607</v>
      </c>
      <c r="B66" s="1719"/>
      <c r="C66" s="1719"/>
      <c r="D66" s="1719"/>
      <c r="E66" s="1719"/>
      <c r="F66" s="1719">
        <f>+F67</f>
        <v>0</v>
      </c>
      <c r="G66" s="1720">
        <f>SUM(G67:G71)</f>
        <v>78613450.148000091</v>
      </c>
      <c r="H66" s="1720">
        <f t="shared" ref="H66:I66" si="14">SUM(H67:H71)</f>
        <v>22846983.606399894</v>
      </c>
      <c r="I66" s="1720">
        <f t="shared" si="14"/>
        <v>101460433.75439999</v>
      </c>
      <c r="J66" s="268"/>
      <c r="K66" s="1722">
        <f>SUM(K67:K71)</f>
        <v>0</v>
      </c>
      <c r="L66" s="1723">
        <f t="shared" ref="L66:M66" si="15">SUM(L67:L71)</f>
        <v>0</v>
      </c>
      <c r="M66" s="1723">
        <f t="shared" si="15"/>
        <v>2379165.1111999899</v>
      </c>
      <c r="N66" s="1723">
        <f>SUM(N67:N71)</f>
        <v>23746500.239999995</v>
      </c>
      <c r="O66" s="1723">
        <f>SUM(K66:N66)</f>
        <v>26125665.351199985</v>
      </c>
      <c r="Q66" s="1724">
        <f>SUM(Q67:Q71)</f>
        <v>127586099.10559997</v>
      </c>
    </row>
    <row r="67" spans="1:20" s="759" customFormat="1" ht="15" customHeight="1">
      <c r="A67" s="758" t="s">
        <v>608</v>
      </c>
      <c r="B67" s="1627" t="s">
        <v>242</v>
      </c>
      <c r="C67" s="1627" t="s">
        <v>881</v>
      </c>
      <c r="D67" s="1627"/>
      <c r="E67" s="1627">
        <v>1</v>
      </c>
      <c r="F67" s="687"/>
      <c r="G67" s="687">
        <v>58255030.9936001</v>
      </c>
      <c r="H67" s="687">
        <v>22064969.0063999</v>
      </c>
      <c r="I67" s="279">
        <f>+H67+G67</f>
        <v>80320000</v>
      </c>
      <c r="J67" s="764"/>
      <c r="K67" s="971"/>
      <c r="L67" s="687"/>
      <c r="M67" s="687"/>
      <c r="N67" s="687"/>
      <c r="O67" s="687">
        <f t="shared" si="3"/>
        <v>0</v>
      </c>
      <c r="Q67" s="867">
        <f>+I67+O67</f>
        <v>80320000</v>
      </c>
    </row>
    <row r="68" spans="1:20" s="759" customFormat="1" ht="29.25" customHeight="1">
      <c r="A68" s="1869" t="s">
        <v>1160</v>
      </c>
      <c r="B68" s="637" t="s">
        <v>242</v>
      </c>
      <c r="C68" s="537">
        <v>64112</v>
      </c>
      <c r="D68" s="1627"/>
      <c r="E68" s="1627">
        <v>1</v>
      </c>
      <c r="F68" s="687"/>
      <c r="G68" s="687">
        <f>10318419.1544+10040000</f>
        <v>20358419.154399998</v>
      </c>
      <c r="H68" s="687">
        <v>782014.59999999404</v>
      </c>
      <c r="I68" s="279">
        <f>+H68+G68</f>
        <v>21140433.754399993</v>
      </c>
      <c r="J68" s="1878"/>
      <c r="K68" s="971"/>
      <c r="L68" s="687"/>
      <c r="M68" s="687">
        <v>2379165.1111999899</v>
      </c>
      <c r="N68" s="1804">
        <v>23746500.239999995</v>
      </c>
      <c r="O68" s="1624">
        <f t="shared" si="3"/>
        <v>26125665.351199985</v>
      </c>
      <c r="P68" s="1986"/>
      <c r="Q68" s="867">
        <f>+I68+O68</f>
        <v>47266099.105599977</v>
      </c>
    </row>
    <row r="69" spans="1:20" s="759" customFormat="1" ht="24" customHeight="1">
      <c r="A69" s="758" t="s">
        <v>609</v>
      </c>
      <c r="B69" s="1627" t="s">
        <v>242</v>
      </c>
      <c r="C69" s="1627" t="s">
        <v>881</v>
      </c>
      <c r="D69" s="1627"/>
      <c r="E69" s="1627"/>
      <c r="F69" s="687"/>
      <c r="G69" s="687"/>
      <c r="H69" s="687"/>
      <c r="I69" s="279"/>
      <c r="J69" s="764"/>
      <c r="K69" s="971"/>
      <c r="L69" s="687"/>
      <c r="M69" s="687"/>
      <c r="N69" s="687"/>
      <c r="O69" s="1624">
        <f t="shared" si="3"/>
        <v>0</v>
      </c>
      <c r="Q69" s="867">
        <f t="shared" ref="Q69:Q71" si="16">+I69+O69</f>
        <v>0</v>
      </c>
    </row>
    <row r="70" spans="1:20" s="1802" customFormat="1" ht="30" customHeight="1">
      <c r="A70" s="760" t="s">
        <v>610</v>
      </c>
      <c r="B70" s="30" t="s">
        <v>242</v>
      </c>
      <c r="C70" s="30" t="s">
        <v>881</v>
      </c>
      <c r="D70" s="30"/>
      <c r="E70" s="30"/>
      <c r="F70" s="1804"/>
      <c r="G70" s="1804"/>
      <c r="H70" s="1804"/>
      <c r="I70" s="358"/>
      <c r="J70" s="1805"/>
      <c r="K70" s="1806"/>
      <c r="L70" s="1804"/>
      <c r="M70" s="1804"/>
      <c r="N70" s="1804">
        <f>11587365.48-11587365.48</f>
        <v>0</v>
      </c>
      <c r="O70" s="1804">
        <f t="shared" si="3"/>
        <v>0</v>
      </c>
      <c r="Q70" s="869">
        <f t="shared" si="16"/>
        <v>0</v>
      </c>
      <c r="S70" s="1803"/>
    </row>
    <row r="71" spans="1:20" ht="15.75" thickBot="1">
      <c r="A71" s="211"/>
      <c r="B71" s="1725"/>
      <c r="C71" s="1725"/>
      <c r="D71" s="21"/>
      <c r="E71" s="21"/>
      <c r="F71" s="1220"/>
      <c r="G71" s="1220"/>
      <c r="H71" s="1220"/>
      <c r="I71" s="1221"/>
      <c r="J71" s="268"/>
      <c r="K71" s="1222"/>
      <c r="L71" s="1220"/>
      <c r="M71" s="1220"/>
      <c r="N71" s="1220"/>
      <c r="O71" s="1220">
        <f t="shared" si="3"/>
        <v>0</v>
      </c>
      <c r="Q71" s="1223">
        <f t="shared" si="16"/>
        <v>0</v>
      </c>
    </row>
    <row r="72" spans="1:20" ht="38.25" customHeight="1" thickBot="1">
      <c r="A72" s="1726" t="s">
        <v>281</v>
      </c>
      <c r="B72" s="1727"/>
      <c r="C72" s="1727"/>
      <c r="D72" s="473" t="s">
        <v>211</v>
      </c>
      <c r="E72" s="473">
        <v>1</v>
      </c>
      <c r="F72" s="1702">
        <f>+F73+F78</f>
        <v>0</v>
      </c>
      <c r="G72" s="1702">
        <f>+G73+G78</f>
        <v>72153508.176000014</v>
      </c>
      <c r="H72" s="1702">
        <f>+H73+H78</f>
        <v>0</v>
      </c>
      <c r="I72" s="1703">
        <f>+I73+I78</f>
        <v>72153508.176000014</v>
      </c>
      <c r="J72" s="1698"/>
      <c r="K72" s="1704">
        <f>+K73+K78</f>
        <v>0</v>
      </c>
      <c r="L72" s="1702">
        <f t="shared" ref="L72:N72" si="17">+L73+L78</f>
        <v>0</v>
      </c>
      <c r="M72" s="1702">
        <f t="shared" si="17"/>
        <v>0</v>
      </c>
      <c r="N72" s="1702">
        <f t="shared" si="17"/>
        <v>8338661.5199999996</v>
      </c>
      <c r="O72" s="1702">
        <f t="shared" si="3"/>
        <v>8338661.5199999996</v>
      </c>
      <c r="Q72" s="1705">
        <f>+Q73+Q78</f>
        <v>80492169.69600001</v>
      </c>
    </row>
    <row r="73" spans="1:20" ht="51">
      <c r="A73" s="1706" t="s">
        <v>282</v>
      </c>
      <c r="B73" s="1707"/>
      <c r="C73" s="1707"/>
      <c r="D73" s="1708" t="s">
        <v>210</v>
      </c>
      <c r="E73" s="1708">
        <v>1</v>
      </c>
      <c r="F73" s="1709"/>
      <c r="G73" s="1709">
        <f>SUM(G74:G77)</f>
        <v>59396212.296000019</v>
      </c>
      <c r="H73" s="1709">
        <f>SUM(H74:H76)</f>
        <v>0</v>
      </c>
      <c r="I73" s="1710">
        <f>SUM(I74:I77)</f>
        <v>59396212.296000019</v>
      </c>
      <c r="J73" s="1698"/>
      <c r="K73" s="1711">
        <f>SUM(K74:K76)</f>
        <v>0</v>
      </c>
      <c r="L73" s="1709">
        <f t="shared" ref="L73:M73" si="18">SUM(L74:L76)</f>
        <v>0</v>
      </c>
      <c r="M73" s="1709">
        <f t="shared" si="18"/>
        <v>0</v>
      </c>
      <c r="N73" s="1709">
        <f>SUM(N74:N77)</f>
        <v>8338661.5199999996</v>
      </c>
      <c r="O73" s="1709">
        <f t="shared" ref="O73:P73" si="19">SUM(O74:O77)</f>
        <v>8338661.5199999996</v>
      </c>
      <c r="P73" s="1709">
        <f t="shared" si="19"/>
        <v>0</v>
      </c>
      <c r="Q73" s="1712">
        <f>SUM(Q74:Q77)</f>
        <v>67734873.816000015</v>
      </c>
    </row>
    <row r="74" spans="1:20" s="759" customFormat="1" ht="25.5">
      <c r="A74" s="1728" t="s">
        <v>611</v>
      </c>
      <c r="B74" s="1627" t="s">
        <v>237</v>
      </c>
      <c r="C74" s="1627" t="s">
        <v>878</v>
      </c>
      <c r="D74" s="1627"/>
      <c r="E74" s="1627">
        <v>9</v>
      </c>
      <c r="F74" s="687"/>
      <c r="G74" s="687">
        <f>+I74</f>
        <v>36854410.320000008</v>
      </c>
      <c r="H74" s="687"/>
      <c r="I74" s="279">
        <f>3900000*1.004*1.0458*E74</f>
        <v>36854410.320000008</v>
      </c>
      <c r="J74" s="764"/>
      <c r="K74" s="971"/>
      <c r="L74" s="687"/>
      <c r="M74" s="687"/>
      <c r="N74" s="687"/>
      <c r="O74" s="687">
        <f t="shared" si="3"/>
        <v>0</v>
      </c>
      <c r="Q74" s="867">
        <f>+I74+O74</f>
        <v>36854410.320000008</v>
      </c>
    </row>
    <row r="75" spans="1:20" s="759" customFormat="1" ht="25.5">
      <c r="A75" s="1728" t="s">
        <v>612</v>
      </c>
      <c r="B75" s="1627" t="s">
        <v>237</v>
      </c>
      <c r="C75" s="1627" t="s">
        <v>878</v>
      </c>
      <c r="D75" s="1627"/>
      <c r="E75" s="1627">
        <v>6</v>
      </c>
      <c r="F75" s="687"/>
      <c r="G75" s="687">
        <v>6786849.2400000095</v>
      </c>
      <c r="H75" s="687">
        <f>557118.599999994-557118.599999994</f>
        <v>0</v>
      </c>
      <c r="I75" s="279">
        <f>+G75+H75</f>
        <v>6786849.2400000095</v>
      </c>
      <c r="J75" s="764"/>
      <c r="K75" s="971"/>
      <c r="L75" s="687"/>
      <c r="M75" s="687"/>
      <c r="N75" s="687">
        <v>8338661.5199999996</v>
      </c>
      <c r="O75" s="1624">
        <f t="shared" si="3"/>
        <v>8338661.5199999996</v>
      </c>
      <c r="Q75" s="867">
        <f t="shared" ref="Q75" si="20">+I75+O75</f>
        <v>15125510.760000009</v>
      </c>
      <c r="R75" s="1876"/>
      <c r="T75" s="1880"/>
    </row>
    <row r="76" spans="1:20" s="759" customFormat="1" ht="45" customHeight="1">
      <c r="A76" s="1728" t="s">
        <v>613</v>
      </c>
      <c r="B76" s="1627" t="s">
        <v>237</v>
      </c>
      <c r="C76" s="1627" t="s">
        <v>878</v>
      </c>
      <c r="D76" s="1627"/>
      <c r="E76" s="1627">
        <v>3</v>
      </c>
      <c r="F76" s="687"/>
      <c r="G76" s="687">
        <v>9128552.7359999996</v>
      </c>
      <c r="H76" s="687"/>
      <c r="I76" s="279">
        <f>+G76</f>
        <v>9128552.7359999996</v>
      </c>
      <c r="J76" s="764"/>
      <c r="K76" s="971"/>
      <c r="L76" s="687"/>
      <c r="M76" s="687"/>
      <c r="N76" s="687"/>
      <c r="O76" s="1624">
        <f>SUM(K76:N76)</f>
        <v>0</v>
      </c>
      <c r="Q76" s="867">
        <f>+I76+O76</f>
        <v>9128552.7359999996</v>
      </c>
      <c r="R76" s="1876">
        <f>15806846.06-Q76</f>
        <v>6678293.324000001</v>
      </c>
    </row>
    <row r="77" spans="1:20" s="759" customFormat="1" ht="23.25" customHeight="1">
      <c r="A77" s="1731" t="s">
        <v>1161</v>
      </c>
      <c r="B77" s="1627" t="s">
        <v>237</v>
      </c>
      <c r="C77" s="1627" t="s">
        <v>878</v>
      </c>
      <c r="D77" s="1627"/>
      <c r="E77" s="1627"/>
      <c r="F77" s="687"/>
      <c r="G77" s="687">
        <f>6600000*1.004</f>
        <v>6626400</v>
      </c>
      <c r="H77" s="687"/>
      <c r="I77" s="279">
        <f>+G77</f>
        <v>6626400</v>
      </c>
      <c r="J77" s="1878"/>
      <c r="K77" s="971"/>
      <c r="L77" s="687"/>
      <c r="M77" s="687"/>
      <c r="N77" s="687"/>
      <c r="O77" s="1624"/>
      <c r="P77" s="1863"/>
      <c r="Q77" s="867">
        <f>+I77+O77</f>
        <v>6626400</v>
      </c>
    </row>
    <row r="78" spans="1:20" ht="51">
      <c r="A78" s="1718" t="s">
        <v>283</v>
      </c>
      <c r="B78" s="1719"/>
      <c r="C78" s="1719"/>
      <c r="D78" s="1577" t="s">
        <v>210</v>
      </c>
      <c r="E78" s="1577">
        <v>1</v>
      </c>
      <c r="F78" s="1720"/>
      <c r="G78" s="1720">
        <f>SUM(G79:G83)</f>
        <v>12757295.880000001</v>
      </c>
      <c r="H78" s="1720"/>
      <c r="I78" s="1721">
        <f>SUM(I79:I83)</f>
        <v>12757295.880000001</v>
      </c>
      <c r="J78" s="1698"/>
      <c r="K78" s="1730">
        <f>SUM(K79:K83)</f>
        <v>0</v>
      </c>
      <c r="L78" s="1720">
        <f t="shared" ref="L78:N78" si="21">SUM(L79:L83)</f>
        <v>0</v>
      </c>
      <c r="M78" s="1720">
        <f t="shared" si="21"/>
        <v>0</v>
      </c>
      <c r="N78" s="1720">
        <f t="shared" si="21"/>
        <v>0</v>
      </c>
      <c r="O78" s="1720">
        <f t="shared" si="3"/>
        <v>0</v>
      </c>
      <c r="Q78" s="1724">
        <f>SUM(Q79:Q83)</f>
        <v>12757295.880000001</v>
      </c>
    </row>
    <row r="79" spans="1:20" s="759" customFormat="1" ht="25.5">
      <c r="A79" s="1728" t="s">
        <v>611</v>
      </c>
      <c r="B79" s="1627" t="s">
        <v>237</v>
      </c>
      <c r="C79" s="1627" t="s">
        <v>878</v>
      </c>
      <c r="D79" s="1627"/>
      <c r="E79" s="1627">
        <v>1</v>
      </c>
      <c r="F79" s="687"/>
      <c r="G79" s="687">
        <f>+I79</f>
        <v>4094934.4800000004</v>
      </c>
      <c r="H79" s="687"/>
      <c r="I79" s="279">
        <f>3900000*1.004*1.0458*E79</f>
        <v>4094934.4800000004</v>
      </c>
      <c r="J79" s="764"/>
      <c r="K79" s="971"/>
      <c r="L79" s="687"/>
      <c r="M79" s="687"/>
      <c r="N79" s="687"/>
      <c r="O79" s="687">
        <f t="shared" ref="O79:O116" si="22">SUM(K79:N79)</f>
        <v>0</v>
      </c>
      <c r="Q79" s="867">
        <f>+I79+O79</f>
        <v>4094934.4800000004</v>
      </c>
    </row>
    <row r="80" spans="1:20" ht="25.5">
      <c r="A80" s="1729" t="s">
        <v>612</v>
      </c>
      <c r="B80" s="1627" t="s">
        <v>237</v>
      </c>
      <c r="C80" s="273" t="s">
        <v>878</v>
      </c>
      <c r="D80" s="1627"/>
      <c r="E80" s="1627">
        <v>2</v>
      </c>
      <c r="F80" s="687"/>
      <c r="G80" s="687"/>
      <c r="H80" s="687"/>
      <c r="I80" s="279"/>
      <c r="J80" s="268"/>
      <c r="K80" s="971"/>
      <c r="L80" s="687"/>
      <c r="M80" s="687"/>
      <c r="N80" s="687"/>
      <c r="O80" s="687">
        <f t="shared" si="22"/>
        <v>0</v>
      </c>
      <c r="Q80" s="867">
        <f t="shared" ref="Q80" si="23">+I80+O80</f>
        <v>0</v>
      </c>
    </row>
    <row r="81" spans="1:18" s="759" customFormat="1" ht="40.5" customHeight="1">
      <c r="A81" s="1728" t="s">
        <v>613</v>
      </c>
      <c r="B81" s="1627" t="s">
        <v>237</v>
      </c>
      <c r="C81" s="1627" t="s">
        <v>878</v>
      </c>
      <c r="D81" s="1627"/>
      <c r="E81" s="1627">
        <v>2.5</v>
      </c>
      <c r="F81" s="687"/>
      <c r="G81" s="687">
        <v>5349161.4000000004</v>
      </c>
      <c r="H81" s="687"/>
      <c r="I81" s="279">
        <f>SUM(F81:H81)</f>
        <v>5349161.4000000004</v>
      </c>
      <c r="J81" s="764"/>
      <c r="K81" s="971"/>
      <c r="L81" s="687"/>
      <c r="M81" s="687"/>
      <c r="N81" s="687"/>
      <c r="O81" s="1624">
        <f t="shared" si="22"/>
        <v>0</v>
      </c>
      <c r="Q81" s="867">
        <f>+I81+O81</f>
        <v>5349161.4000000004</v>
      </c>
      <c r="R81" s="1876">
        <f>+G81-'[1]ACCIONES 320202'!$G$81</f>
        <v>0</v>
      </c>
    </row>
    <row r="82" spans="1:18" s="759" customFormat="1" ht="20.100000000000001" customHeight="1">
      <c r="A82" s="1731" t="s">
        <v>1161</v>
      </c>
      <c r="B82" s="1627" t="s">
        <v>237</v>
      </c>
      <c r="C82" s="1627" t="s">
        <v>878</v>
      </c>
      <c r="D82" s="21"/>
      <c r="E82" s="21"/>
      <c r="F82" s="1220"/>
      <c r="G82" s="1220">
        <f>3300000*1.004</f>
        <v>3313200</v>
      </c>
      <c r="H82" s="1220"/>
      <c r="I82" s="279">
        <f>+G82</f>
        <v>3313200</v>
      </c>
      <c r="J82" s="1878"/>
      <c r="K82" s="1222"/>
      <c r="L82" s="1220"/>
      <c r="M82" s="1220"/>
      <c r="N82" s="1220"/>
      <c r="O82" s="1624"/>
      <c r="P82" s="1863"/>
      <c r="Q82" s="867">
        <f>+I82+O82</f>
        <v>3313200</v>
      </c>
    </row>
    <row r="83" spans="1:18" s="759" customFormat="1" ht="27" customHeight="1" thickBot="1">
      <c r="A83" s="1731" t="s">
        <v>970</v>
      </c>
      <c r="B83" s="21" t="s">
        <v>242</v>
      </c>
      <c r="C83" s="21" t="s">
        <v>879</v>
      </c>
      <c r="D83" s="21"/>
      <c r="E83" s="21"/>
      <c r="F83" s="1220"/>
      <c r="G83" s="1220"/>
      <c r="H83" s="1220"/>
      <c r="I83" s="704"/>
      <c r="J83" s="764"/>
      <c r="K83" s="1222"/>
      <c r="L83" s="1220"/>
      <c r="M83" s="1220"/>
      <c r="N83" s="1220"/>
      <c r="O83" s="1220">
        <f t="shared" ref="O83" si="24">SUM(K83:N83)</f>
        <v>0</v>
      </c>
      <c r="Q83" s="1223">
        <f t="shared" ref="Q83" si="25">+I83+O83</f>
        <v>0</v>
      </c>
      <c r="R83" s="1876"/>
    </row>
    <row r="84" spans="1:18" ht="67.5" customHeight="1" thickBot="1">
      <c r="A84" s="1726" t="s">
        <v>284</v>
      </c>
      <c r="B84" s="1727"/>
      <c r="C84" s="1727"/>
      <c r="D84" s="522" t="s">
        <v>211</v>
      </c>
      <c r="E84" s="522">
        <v>1</v>
      </c>
      <c r="F84" s="1702">
        <f>+F85+F103+F107+F111</f>
        <v>0</v>
      </c>
      <c r="G84" s="1702">
        <f>+G85+G103+G107+G111</f>
        <v>201307061.48319995</v>
      </c>
      <c r="H84" s="1702">
        <f>+H85+H103+H107+H111</f>
        <v>98211452.393600106</v>
      </c>
      <c r="I84" s="1703">
        <f>+I85+I103+I107+I111</f>
        <v>299518513.87680006</v>
      </c>
      <c r="J84" s="1698"/>
      <c r="K84" s="1704">
        <f>+K85+K103+K107+K111</f>
        <v>0</v>
      </c>
      <c r="L84" s="1702">
        <f t="shared" ref="L84:N84" si="26">+L85+L103+L107+L111</f>
        <v>70000000</v>
      </c>
      <c r="M84" s="1702">
        <f t="shared" si="26"/>
        <v>30219984.532800004</v>
      </c>
      <c r="N84" s="1702">
        <f t="shared" si="26"/>
        <v>107902914.24000001</v>
      </c>
      <c r="O84" s="1702">
        <f t="shared" si="22"/>
        <v>208122898.77280003</v>
      </c>
      <c r="Q84" s="1705">
        <f>+Q85+Q103+Q107+Q111</f>
        <v>507641412.64960009</v>
      </c>
    </row>
    <row r="85" spans="1:18" ht="60.75" customHeight="1">
      <c r="A85" s="1706" t="s">
        <v>285</v>
      </c>
      <c r="B85" s="1707"/>
      <c r="C85" s="1707"/>
      <c r="D85" s="1708" t="s">
        <v>210</v>
      </c>
      <c r="E85" s="1708">
        <v>1</v>
      </c>
      <c r="F85" s="1709">
        <f>SUM(F86:F102)</f>
        <v>0</v>
      </c>
      <c r="G85" s="1709">
        <f>SUM(G86:G102)</f>
        <v>151673595.94</v>
      </c>
      <c r="H85" s="1709"/>
      <c r="I85" s="1710">
        <f>SUM(I86:I102)</f>
        <v>151673595.94</v>
      </c>
      <c r="J85" s="1698"/>
      <c r="K85" s="1711">
        <f>SUM(K86:K102)</f>
        <v>0</v>
      </c>
      <c r="L85" s="1709">
        <f t="shared" ref="L85:M85" si="27">SUM(L86:L102)</f>
        <v>0</v>
      </c>
      <c r="M85" s="1709">
        <f t="shared" si="27"/>
        <v>0</v>
      </c>
      <c r="N85" s="1709">
        <f>SUM(N86:N102)</f>
        <v>20005704</v>
      </c>
      <c r="O85" s="1709">
        <f t="shared" si="22"/>
        <v>20005704</v>
      </c>
      <c r="Q85" s="1712">
        <f>SUM(Q86:Q102)</f>
        <v>171679299.94</v>
      </c>
    </row>
    <row r="86" spans="1:18" s="759" customFormat="1">
      <c r="A86" s="758" t="s">
        <v>614</v>
      </c>
      <c r="B86" s="1627" t="s">
        <v>264</v>
      </c>
      <c r="C86" s="1627" t="s">
        <v>891</v>
      </c>
      <c r="D86" s="1627"/>
      <c r="E86" s="1627">
        <v>11</v>
      </c>
      <c r="F86" s="687"/>
      <c r="G86" s="687">
        <v>38114390</v>
      </c>
      <c r="H86" s="687"/>
      <c r="I86" s="279">
        <f>SUM(F86:H86)</f>
        <v>38114390</v>
      </c>
      <c r="J86" s="764"/>
      <c r="K86" s="971"/>
      <c r="L86" s="687"/>
      <c r="M86" s="687"/>
      <c r="N86" s="687"/>
      <c r="O86" s="687">
        <f t="shared" si="22"/>
        <v>0</v>
      </c>
      <c r="Q86" s="867">
        <f>+I86+O86</f>
        <v>38114390</v>
      </c>
      <c r="R86" s="1876"/>
    </row>
    <row r="87" spans="1:18" s="759" customFormat="1" ht="20.100000000000001" customHeight="1">
      <c r="A87" s="758" t="s">
        <v>615</v>
      </c>
      <c r="B87" s="1627" t="s">
        <v>264</v>
      </c>
      <c r="C87" s="1627" t="s">
        <v>891</v>
      </c>
      <c r="D87" s="1627"/>
      <c r="E87" s="1627">
        <v>9</v>
      </c>
      <c r="F87" s="687"/>
      <c r="G87" s="687"/>
      <c r="H87" s="687"/>
      <c r="I87" s="279">
        <f>+G87</f>
        <v>0</v>
      </c>
      <c r="J87" s="764" t="s">
        <v>1107</v>
      </c>
      <c r="K87" s="971"/>
      <c r="L87" s="687"/>
      <c r="M87" s="687"/>
      <c r="N87" s="687"/>
      <c r="O87" s="687">
        <f t="shared" si="22"/>
        <v>0</v>
      </c>
      <c r="Q87" s="867">
        <f t="shared" ref="Q87:Q89" si="28">+I87+O87</f>
        <v>0</v>
      </c>
    </row>
    <row r="88" spans="1:18" s="759" customFormat="1" ht="20.100000000000001" customHeight="1">
      <c r="A88" s="758" t="s">
        <v>1109</v>
      </c>
      <c r="B88" s="1715"/>
      <c r="C88" s="1715"/>
      <c r="D88" s="1627"/>
      <c r="E88" s="1627"/>
      <c r="F88" s="687"/>
      <c r="G88" s="687">
        <v>6668567.9800000004</v>
      </c>
      <c r="H88" s="687"/>
      <c r="I88" s="279">
        <f>+G88</f>
        <v>6668567.9800000004</v>
      </c>
      <c r="J88" s="764" t="s">
        <v>1110</v>
      </c>
      <c r="K88" s="971"/>
      <c r="L88" s="687"/>
      <c r="M88" s="687"/>
      <c r="N88" s="687"/>
      <c r="O88" s="687">
        <f t="shared" si="22"/>
        <v>0</v>
      </c>
      <c r="Q88" s="867">
        <f t="shared" si="28"/>
        <v>6668567.9800000004</v>
      </c>
    </row>
    <row r="89" spans="1:18" s="759" customFormat="1" ht="20.100000000000001" customHeight="1">
      <c r="A89" s="758" t="s">
        <v>1111</v>
      </c>
      <c r="B89" s="1627" t="s">
        <v>264</v>
      </c>
      <c r="C89" s="1627" t="s">
        <v>891</v>
      </c>
      <c r="D89" s="1627"/>
      <c r="E89" s="1627">
        <v>9</v>
      </c>
      <c r="F89" s="687"/>
      <c r="G89" s="687">
        <v>27719556</v>
      </c>
      <c r="H89" s="687"/>
      <c r="I89" s="279">
        <f>+G89</f>
        <v>27719556</v>
      </c>
      <c r="J89" s="764"/>
      <c r="K89" s="971"/>
      <c r="L89" s="687"/>
      <c r="M89" s="687"/>
      <c r="N89" s="687"/>
      <c r="O89" s="687">
        <f t="shared" si="22"/>
        <v>0</v>
      </c>
      <c r="Q89" s="867">
        <f t="shared" si="28"/>
        <v>27719556</v>
      </c>
      <c r="R89" s="1876"/>
    </row>
    <row r="90" spans="1:18" s="759" customFormat="1" ht="15" customHeight="1">
      <c r="A90" s="758" t="s">
        <v>616</v>
      </c>
      <c r="B90" s="1627" t="s">
        <v>264</v>
      </c>
      <c r="C90" s="1627" t="s">
        <v>891</v>
      </c>
      <c r="D90" s="1627"/>
      <c r="E90" s="1627">
        <v>9</v>
      </c>
      <c r="F90" s="687"/>
      <c r="G90" s="687">
        <v>27719556</v>
      </c>
      <c r="H90" s="687"/>
      <c r="I90" s="279">
        <f>+G90</f>
        <v>27719556</v>
      </c>
      <c r="J90" s="764"/>
      <c r="K90" s="971"/>
      <c r="L90" s="687"/>
      <c r="M90" s="687"/>
      <c r="N90" s="687"/>
      <c r="O90" s="687">
        <f t="shared" si="22"/>
        <v>0</v>
      </c>
      <c r="Q90" s="867">
        <f t="shared" ref="Q90:Q102" si="29">+I90+O90</f>
        <v>27719556</v>
      </c>
      <c r="R90" s="1876"/>
    </row>
    <row r="91" spans="1:18" s="759" customFormat="1" ht="15" customHeight="1">
      <c r="A91" s="758" t="s">
        <v>617</v>
      </c>
      <c r="B91" s="1627" t="s">
        <v>264</v>
      </c>
      <c r="C91" s="1627" t="s">
        <v>891</v>
      </c>
      <c r="D91" s="1627"/>
      <c r="E91" s="1627">
        <v>6</v>
      </c>
      <c r="F91" s="687"/>
      <c r="G91" s="687"/>
      <c r="H91" s="687"/>
      <c r="I91" s="279"/>
      <c r="J91" s="764"/>
      <c r="K91" s="971"/>
      <c r="L91" s="687"/>
      <c r="M91" s="687"/>
      <c r="N91" s="687"/>
      <c r="O91" s="687">
        <f t="shared" si="22"/>
        <v>0</v>
      </c>
      <c r="Q91" s="867">
        <f t="shared" si="29"/>
        <v>0</v>
      </c>
    </row>
    <row r="92" spans="1:18" s="759" customFormat="1" ht="15" customHeight="1">
      <c r="A92" s="758" t="s">
        <v>618</v>
      </c>
      <c r="B92" s="1627" t="s">
        <v>264</v>
      </c>
      <c r="C92" s="1627" t="s">
        <v>891</v>
      </c>
      <c r="D92" s="1627"/>
      <c r="E92" s="1627">
        <v>6</v>
      </c>
      <c r="F92" s="687"/>
      <c r="G92" s="687"/>
      <c r="H92" s="687"/>
      <c r="I92" s="279"/>
      <c r="J92" s="764"/>
      <c r="K92" s="971"/>
      <c r="L92" s="687"/>
      <c r="M92" s="687"/>
      <c r="N92" s="687">
        <v>6668568</v>
      </c>
      <c r="O92" s="687">
        <f t="shared" si="22"/>
        <v>6668568</v>
      </c>
      <c r="Q92" s="867">
        <f t="shared" si="29"/>
        <v>6668568</v>
      </c>
    </row>
    <row r="93" spans="1:18" s="759" customFormat="1" ht="15" customHeight="1">
      <c r="A93" s="758" t="s">
        <v>619</v>
      </c>
      <c r="B93" s="1627" t="s">
        <v>264</v>
      </c>
      <c r="C93" s="1627" t="s">
        <v>891</v>
      </c>
      <c r="D93" s="1627"/>
      <c r="E93" s="1627">
        <v>11</v>
      </c>
      <c r="F93" s="687"/>
      <c r="G93" s="687">
        <v>38114390</v>
      </c>
      <c r="H93" s="687"/>
      <c r="I93" s="279">
        <f>SUM(F93:H93)</f>
        <v>38114390</v>
      </c>
      <c r="J93" s="764"/>
      <c r="K93" s="971"/>
      <c r="L93" s="687"/>
      <c r="M93" s="687"/>
      <c r="N93" s="687"/>
      <c r="O93" s="687">
        <f t="shared" si="22"/>
        <v>0</v>
      </c>
      <c r="Q93" s="867">
        <f t="shared" si="29"/>
        <v>38114390</v>
      </c>
      <c r="R93" s="1876"/>
    </row>
    <row r="94" spans="1:18" s="759" customFormat="1" ht="20.100000000000001" customHeight="1">
      <c r="A94" s="758" t="s">
        <v>620</v>
      </c>
      <c r="B94" s="1627" t="s">
        <v>264</v>
      </c>
      <c r="C94" s="1627" t="s">
        <v>891</v>
      </c>
      <c r="D94" s="1627"/>
      <c r="E94" s="1627"/>
      <c r="F94" s="687"/>
      <c r="G94" s="687"/>
      <c r="H94" s="687"/>
      <c r="I94" s="279"/>
      <c r="J94" s="764"/>
      <c r="K94" s="971"/>
      <c r="L94" s="687"/>
      <c r="M94" s="687"/>
      <c r="N94" s="687"/>
      <c r="O94" s="687">
        <f t="shared" si="22"/>
        <v>0</v>
      </c>
      <c r="Q94" s="867">
        <f t="shared" si="29"/>
        <v>0</v>
      </c>
    </row>
    <row r="95" spans="1:18" s="759" customFormat="1" ht="26.25" customHeight="1">
      <c r="A95" s="758" t="s">
        <v>621</v>
      </c>
      <c r="B95" s="1627" t="s">
        <v>264</v>
      </c>
      <c r="C95" s="1627" t="s">
        <v>891</v>
      </c>
      <c r="D95" s="1627"/>
      <c r="E95" s="1627"/>
      <c r="F95" s="687"/>
      <c r="G95" s="687">
        <v>6668567.9800000004</v>
      </c>
      <c r="H95" s="687"/>
      <c r="I95" s="279">
        <f>SUM(F95:H95)</f>
        <v>6668567.9800000004</v>
      </c>
      <c r="J95" s="764"/>
      <c r="K95" s="971"/>
      <c r="L95" s="687"/>
      <c r="M95" s="687"/>
      <c r="N95" s="687"/>
      <c r="O95" s="687">
        <f t="shared" si="22"/>
        <v>0</v>
      </c>
      <c r="Q95" s="867">
        <f t="shared" si="29"/>
        <v>6668567.9800000004</v>
      </c>
    </row>
    <row r="96" spans="1:18" s="759" customFormat="1" ht="25.5" customHeight="1">
      <c r="A96" s="758" t="s">
        <v>622</v>
      </c>
      <c r="B96" s="1627" t="s">
        <v>264</v>
      </c>
      <c r="C96" s="1627" t="s">
        <v>891</v>
      </c>
      <c r="D96" s="1627"/>
      <c r="E96" s="1627">
        <v>6</v>
      </c>
      <c r="F96" s="687"/>
      <c r="G96" s="687">
        <f>+I96</f>
        <v>6668567.9800000004</v>
      </c>
      <c r="H96" s="687"/>
      <c r="I96" s="279">
        <v>6668567.9800000004</v>
      </c>
      <c r="J96" s="764"/>
      <c r="K96" s="971"/>
      <c r="L96" s="687"/>
      <c r="M96" s="687"/>
      <c r="N96" s="687"/>
      <c r="O96" s="687">
        <f t="shared" si="22"/>
        <v>0</v>
      </c>
      <c r="Q96" s="867">
        <f t="shared" si="29"/>
        <v>6668567.9800000004</v>
      </c>
    </row>
    <row r="97" spans="1:18" s="759" customFormat="1" ht="21.75" customHeight="1">
      <c r="A97" s="758" t="s">
        <v>623</v>
      </c>
      <c r="B97" s="1627" t="s">
        <v>264</v>
      </c>
      <c r="C97" s="1627" t="s">
        <v>891</v>
      </c>
      <c r="D97" s="1627"/>
      <c r="E97" s="1627"/>
      <c r="F97" s="687"/>
      <c r="G97" s="687"/>
      <c r="H97" s="687"/>
      <c r="I97" s="279"/>
      <c r="J97" s="764"/>
      <c r="K97" s="971"/>
      <c r="L97" s="687"/>
      <c r="M97" s="687"/>
      <c r="N97" s="687">
        <v>6668568</v>
      </c>
      <c r="O97" s="687">
        <f t="shared" si="22"/>
        <v>6668568</v>
      </c>
      <c r="Q97" s="867">
        <f t="shared" si="29"/>
        <v>6668568</v>
      </c>
    </row>
    <row r="98" spans="1:18" s="759" customFormat="1" ht="32.25" customHeight="1">
      <c r="A98" s="758" t="s">
        <v>624</v>
      </c>
      <c r="B98" s="1627" t="s">
        <v>264</v>
      </c>
      <c r="C98" s="1627" t="s">
        <v>891</v>
      </c>
      <c r="D98" s="1627"/>
      <c r="E98" s="1627">
        <v>6</v>
      </c>
      <c r="F98" s="687"/>
      <c r="G98" s="687"/>
      <c r="H98" s="687"/>
      <c r="I98" s="279"/>
      <c r="J98" s="764"/>
      <c r="K98" s="971"/>
      <c r="L98" s="687"/>
      <c r="M98" s="687"/>
      <c r="N98" s="687"/>
      <c r="O98" s="1624">
        <f t="shared" si="22"/>
        <v>0</v>
      </c>
      <c r="Q98" s="867">
        <f t="shared" si="29"/>
        <v>0</v>
      </c>
    </row>
    <row r="99" spans="1:18" s="759" customFormat="1" ht="30" customHeight="1">
      <c r="A99" s="758" t="s">
        <v>625</v>
      </c>
      <c r="B99" s="1627" t="s">
        <v>264</v>
      </c>
      <c r="C99" s="1627" t="s">
        <v>891</v>
      </c>
      <c r="D99" s="1627"/>
      <c r="E99" s="1627"/>
      <c r="F99" s="687"/>
      <c r="G99" s="687"/>
      <c r="H99" s="687"/>
      <c r="I99" s="279"/>
      <c r="J99" s="764"/>
      <c r="K99" s="971"/>
      <c r="L99" s="687"/>
      <c r="M99" s="687"/>
      <c r="N99" s="687">
        <v>6668568</v>
      </c>
      <c r="O99" s="687">
        <f t="shared" si="22"/>
        <v>6668568</v>
      </c>
      <c r="Q99" s="867">
        <f t="shared" si="29"/>
        <v>6668568</v>
      </c>
    </row>
    <row r="100" spans="1:18" s="759" customFormat="1" ht="20.25" customHeight="1">
      <c r="A100" s="758" t="s">
        <v>626</v>
      </c>
      <c r="B100" s="1627" t="s">
        <v>264</v>
      </c>
      <c r="C100" s="1627" t="s">
        <v>891</v>
      </c>
      <c r="D100" s="1627"/>
      <c r="E100" s="1627">
        <v>6</v>
      </c>
      <c r="F100" s="687"/>
      <c r="G100" s="687"/>
      <c r="H100" s="687"/>
      <c r="I100" s="279"/>
      <c r="J100" s="764"/>
      <c r="K100" s="971"/>
      <c r="L100" s="687"/>
      <c r="M100" s="687"/>
      <c r="N100" s="687"/>
      <c r="O100" s="687">
        <f t="shared" si="22"/>
        <v>0</v>
      </c>
      <c r="Q100" s="867">
        <f t="shared" si="29"/>
        <v>0</v>
      </c>
      <c r="R100" s="1876">
        <f>+Q99</f>
        <v>6668568</v>
      </c>
    </row>
    <row r="101" spans="1:18" s="759" customFormat="1" ht="20.100000000000001" customHeight="1">
      <c r="A101" s="758" t="s">
        <v>627</v>
      </c>
      <c r="B101" s="1627" t="s">
        <v>264</v>
      </c>
      <c r="C101" s="1627" t="s">
        <v>891</v>
      </c>
      <c r="D101" s="1627"/>
      <c r="E101" s="1627"/>
      <c r="F101" s="687"/>
      <c r="G101" s="687"/>
      <c r="H101" s="687"/>
      <c r="I101" s="279"/>
      <c r="J101" s="764"/>
      <c r="K101" s="971"/>
      <c r="L101" s="687"/>
      <c r="M101" s="687"/>
      <c r="N101" s="687"/>
      <c r="O101" s="687">
        <f t="shared" si="22"/>
        <v>0</v>
      </c>
      <c r="Q101" s="867">
        <f t="shared" si="29"/>
        <v>0</v>
      </c>
    </row>
    <row r="102" spans="1:18">
      <c r="A102" s="758"/>
      <c r="B102" s="1715"/>
      <c r="C102" s="1715"/>
      <c r="D102" s="1627"/>
      <c r="E102" s="1627"/>
      <c r="F102" s="687"/>
      <c r="G102" s="687"/>
      <c r="H102" s="687"/>
      <c r="I102" s="279"/>
      <c r="J102" s="268"/>
      <c r="K102" s="971"/>
      <c r="L102" s="687"/>
      <c r="M102" s="687"/>
      <c r="N102" s="687"/>
      <c r="O102" s="687">
        <f t="shared" si="22"/>
        <v>0</v>
      </c>
      <c r="Q102" s="867">
        <f t="shared" si="29"/>
        <v>0</v>
      </c>
    </row>
    <row r="103" spans="1:18" ht="43.5" customHeight="1">
      <c r="A103" s="1718" t="s">
        <v>286</v>
      </c>
      <c r="B103" s="1719"/>
      <c r="C103" s="1719"/>
      <c r="D103" s="1577" t="s">
        <v>210</v>
      </c>
      <c r="E103" s="1577">
        <v>1</v>
      </c>
      <c r="F103" s="1720">
        <f>SUM(F104:F106)</f>
        <v>0</v>
      </c>
      <c r="G103" s="1720">
        <f>SUM(G104:G106)</f>
        <v>15066461.839199901</v>
      </c>
      <c r="H103" s="1720">
        <f>SUM(H104:H106)</f>
        <v>74296000</v>
      </c>
      <c r="I103" s="1721">
        <f>SUM(I104:I106)</f>
        <v>89362461.839199901</v>
      </c>
      <c r="J103" s="1698"/>
      <c r="K103" s="1730">
        <f>SUM(K104:K106)</f>
        <v>0</v>
      </c>
      <c r="L103" s="1720">
        <f t="shared" ref="L103:M103" si="30">SUM(L104:L106)</f>
        <v>0</v>
      </c>
      <c r="M103" s="1720">
        <f t="shared" si="30"/>
        <v>5018778.5328000039</v>
      </c>
      <c r="N103" s="1720">
        <f>SUM(N104:N106)</f>
        <v>20417663</v>
      </c>
      <c r="O103" s="1720">
        <f t="shared" si="22"/>
        <v>25436441.532800004</v>
      </c>
      <c r="Q103" s="1724">
        <f>SUM(Q104:Q106)</f>
        <v>114798903.3719999</v>
      </c>
    </row>
    <row r="104" spans="1:18" s="759" customFormat="1" ht="38.25" customHeight="1">
      <c r="A104" s="758" t="s">
        <v>628</v>
      </c>
      <c r="B104" s="1627" t="s">
        <v>287</v>
      </c>
      <c r="C104" s="1627" t="s">
        <v>892</v>
      </c>
      <c r="D104" s="1627"/>
      <c r="E104" s="1627">
        <v>1</v>
      </c>
      <c r="F104" s="687"/>
      <c r="G104" s="687">
        <f>22816759.8391999-7750298</f>
        <v>15066461.839199901</v>
      </c>
      <c r="H104" s="687">
        <v>74296000</v>
      </c>
      <c r="I104" s="279">
        <f>+H104+G104</f>
        <v>89362461.839199901</v>
      </c>
      <c r="J104" s="764"/>
      <c r="K104" s="971"/>
      <c r="L104" s="687"/>
      <c r="M104" s="687">
        <v>5018778.5328000039</v>
      </c>
      <c r="N104" s="687">
        <v>5020000</v>
      </c>
      <c r="O104" s="1624">
        <f t="shared" si="22"/>
        <v>10038778.532800004</v>
      </c>
      <c r="Q104" s="867">
        <f>+I104+O104</f>
        <v>99401240.371999905</v>
      </c>
      <c r="R104" s="1876"/>
    </row>
    <row r="105" spans="1:18" s="759" customFormat="1" ht="48.75" customHeight="1">
      <c r="A105" s="758" t="s">
        <v>629</v>
      </c>
      <c r="B105" s="1627" t="s">
        <v>287</v>
      </c>
      <c r="C105" s="1627" t="s">
        <v>892</v>
      </c>
      <c r="D105" s="1627"/>
      <c r="E105" s="1627"/>
      <c r="F105" s="687"/>
      <c r="G105" s="687"/>
      <c r="H105" s="687"/>
      <c r="I105" s="279">
        <f>35000000*1.004*1.05*E105</f>
        <v>0</v>
      </c>
      <c r="J105" s="764"/>
      <c r="K105" s="971"/>
      <c r="L105" s="687"/>
      <c r="M105" s="687"/>
      <c r="N105" s="687">
        <f>28011600-10040000-2573937</f>
        <v>15397663</v>
      </c>
      <c r="O105" s="687">
        <f t="shared" si="22"/>
        <v>15397663</v>
      </c>
      <c r="Q105" s="867">
        <f t="shared" ref="Q105" si="31">+I105+O105</f>
        <v>15397663</v>
      </c>
      <c r="R105" s="1876">
        <f>28011600-N105</f>
        <v>12613937</v>
      </c>
    </row>
    <row r="106" spans="1:18">
      <c r="A106" s="758"/>
      <c r="B106" s="1715"/>
      <c r="C106" s="1715"/>
      <c r="D106" s="1627"/>
      <c r="E106" s="1627"/>
      <c r="F106" s="687"/>
      <c r="G106" s="687"/>
      <c r="H106" s="687"/>
      <c r="I106" s="278"/>
      <c r="J106" s="268"/>
      <c r="K106" s="971"/>
      <c r="L106" s="687"/>
      <c r="M106" s="687"/>
      <c r="N106" s="687"/>
      <c r="O106" s="687">
        <f t="shared" si="22"/>
        <v>0</v>
      </c>
      <c r="Q106" s="867">
        <f t="shared" ref="Q106" si="32">+I106+O106</f>
        <v>0</v>
      </c>
    </row>
    <row r="107" spans="1:18" ht="38.25">
      <c r="A107" s="1718" t="s">
        <v>288</v>
      </c>
      <c r="B107" s="1719"/>
      <c r="C107" s="1719"/>
      <c r="D107" s="1577" t="s">
        <v>210</v>
      </c>
      <c r="E107" s="1577">
        <v>1</v>
      </c>
      <c r="F107" s="1720">
        <f>SUM(F108:F110)</f>
        <v>0</v>
      </c>
      <c r="G107" s="1720">
        <f>SUM(G108:G110)</f>
        <v>14699764.800000001</v>
      </c>
      <c r="H107" s="1720">
        <f>SUM(H108:H110)</f>
        <v>0</v>
      </c>
      <c r="I107" s="1721">
        <f>SUM(I108:I110)</f>
        <v>14699764.800000001</v>
      </c>
      <c r="J107" s="1698"/>
      <c r="K107" s="1730">
        <f>SUM(K108:K110)</f>
        <v>0</v>
      </c>
      <c r="L107" s="1720">
        <f t="shared" ref="L107:N107" si="33">SUM(L108:L110)</f>
        <v>0</v>
      </c>
      <c r="M107" s="1720">
        <f t="shared" si="33"/>
        <v>0</v>
      </c>
      <c r="N107" s="1720">
        <f t="shared" si="33"/>
        <v>0</v>
      </c>
      <c r="O107" s="1720">
        <f t="shared" si="22"/>
        <v>0</v>
      </c>
      <c r="Q107" s="1724">
        <f>SUM(Q108:Q110)</f>
        <v>14699764.800000001</v>
      </c>
    </row>
    <row r="108" spans="1:18" s="759" customFormat="1">
      <c r="A108" s="758" t="s">
        <v>600</v>
      </c>
      <c r="B108" s="1627" t="s">
        <v>237</v>
      </c>
      <c r="C108" s="1627" t="s">
        <v>878</v>
      </c>
      <c r="D108" s="1627"/>
      <c r="E108" s="1627">
        <v>4</v>
      </c>
      <c r="F108" s="687"/>
      <c r="G108" s="687">
        <f>+I108</f>
        <v>14699764.800000001</v>
      </c>
      <c r="H108" s="687"/>
      <c r="I108" s="279">
        <f>3500000*1.004*1.0458*E108</f>
        <v>14699764.800000001</v>
      </c>
      <c r="J108" s="764"/>
      <c r="K108" s="971"/>
      <c r="L108" s="687"/>
      <c r="M108" s="687"/>
      <c r="N108" s="687"/>
      <c r="O108" s="687">
        <f t="shared" si="22"/>
        <v>0</v>
      </c>
      <c r="Q108" s="867">
        <f>+I108+O108</f>
        <v>14699764.800000001</v>
      </c>
    </row>
    <row r="109" spans="1:18" s="759" customFormat="1">
      <c r="A109" s="758"/>
      <c r="B109" s="1715"/>
      <c r="C109" s="1715"/>
      <c r="D109" s="1627"/>
      <c r="E109" s="1627"/>
      <c r="F109" s="687"/>
      <c r="G109" s="687"/>
      <c r="H109" s="687"/>
      <c r="I109" s="279"/>
      <c r="J109" s="764"/>
      <c r="K109" s="971"/>
      <c r="L109" s="687"/>
      <c r="M109" s="687"/>
      <c r="N109" s="687"/>
      <c r="O109" s="687">
        <f t="shared" si="22"/>
        <v>0</v>
      </c>
      <c r="Q109" s="867">
        <f t="shared" ref="Q109:Q110" si="34">+I109+O109</f>
        <v>0</v>
      </c>
    </row>
    <row r="110" spans="1:18">
      <c r="A110" s="758"/>
      <c r="B110" s="1715"/>
      <c r="C110" s="1715"/>
      <c r="D110" s="1627"/>
      <c r="E110" s="1627"/>
      <c r="F110" s="687"/>
      <c r="G110" s="687"/>
      <c r="H110" s="687"/>
      <c r="I110" s="278"/>
      <c r="J110" s="268"/>
      <c r="K110" s="971"/>
      <c r="L110" s="687"/>
      <c r="M110" s="687"/>
      <c r="N110" s="687"/>
      <c r="O110" s="687">
        <f t="shared" si="22"/>
        <v>0</v>
      </c>
      <c r="Q110" s="867">
        <f t="shared" si="34"/>
        <v>0</v>
      </c>
    </row>
    <row r="111" spans="1:18" ht="25.5" customHeight="1">
      <c r="A111" s="1718" t="s">
        <v>289</v>
      </c>
      <c r="B111" s="1719"/>
      <c r="C111" s="1719"/>
      <c r="D111" s="1577" t="s">
        <v>210</v>
      </c>
      <c r="E111" s="1577">
        <v>1</v>
      </c>
      <c r="F111" s="1720">
        <f>SUM(F112:F115)</f>
        <v>0</v>
      </c>
      <c r="G111" s="1720">
        <f>SUM(G112:G115)</f>
        <v>19867238.904000044</v>
      </c>
      <c r="H111" s="1720">
        <f>SUM(H112:H115)</f>
        <v>23915452.393600099</v>
      </c>
      <c r="I111" s="1721">
        <f>SUM(I112:I115)</f>
        <v>43782691.297600143</v>
      </c>
      <c r="J111" s="1698"/>
      <c r="K111" s="1730">
        <f>SUM(K112:K115)</f>
        <v>0</v>
      </c>
      <c r="L111" s="1720">
        <f t="shared" ref="L111:M111" si="35">SUM(L112:L115)</f>
        <v>70000000</v>
      </c>
      <c r="M111" s="1720">
        <f t="shared" si="35"/>
        <v>25201206</v>
      </c>
      <c r="N111" s="1720">
        <f>SUM(N112:N115)</f>
        <v>67479547.24000001</v>
      </c>
      <c r="O111" s="1720">
        <f t="shared" si="22"/>
        <v>162680753.24000001</v>
      </c>
      <c r="Q111" s="1724">
        <f>SUM(Q112:Q115)</f>
        <v>206463444.53760016</v>
      </c>
    </row>
    <row r="112" spans="1:18" s="759" customFormat="1" ht="15" customHeight="1">
      <c r="A112" s="758" t="s">
        <v>630</v>
      </c>
      <c r="B112" s="1627" t="s">
        <v>237</v>
      </c>
      <c r="C112" s="1627" t="s">
        <v>893</v>
      </c>
      <c r="D112" s="1627"/>
      <c r="E112" s="1627">
        <v>1</v>
      </c>
      <c r="F112" s="687"/>
      <c r="G112" s="687"/>
      <c r="H112" s="687">
        <v>23915452.393600099</v>
      </c>
      <c r="I112" s="279">
        <f>+H112</f>
        <v>23915452.393600099</v>
      </c>
      <c r="J112" s="764"/>
      <c r="K112" s="971"/>
      <c r="L112" s="687"/>
      <c r="M112" s="687"/>
      <c r="N112" s="687"/>
      <c r="O112" s="687">
        <f t="shared" si="22"/>
        <v>0</v>
      </c>
      <c r="Q112" s="867">
        <f>+I112+O112</f>
        <v>23915452.393600099</v>
      </c>
    </row>
    <row r="113" spans="1:20" s="1802" customFormat="1" ht="20.100000000000001" customHeight="1">
      <c r="A113" s="760" t="s">
        <v>631</v>
      </c>
      <c r="B113" s="1627" t="s">
        <v>237</v>
      </c>
      <c r="C113" s="30">
        <v>54590</v>
      </c>
      <c r="D113" s="30"/>
      <c r="E113" s="30"/>
      <c r="F113" s="1804"/>
      <c r="G113" s="1804"/>
      <c r="H113" s="1804"/>
      <c r="I113" s="358"/>
      <c r="J113" s="1805"/>
      <c r="K113" s="1806"/>
      <c r="L113" s="1804"/>
      <c r="M113" s="1804">
        <v>25201206</v>
      </c>
      <c r="N113" s="1804">
        <v>49130472.935999997</v>
      </c>
      <c r="O113" s="1804">
        <f t="shared" si="22"/>
        <v>74331678.93599999</v>
      </c>
      <c r="Q113" s="869">
        <f>+I113+O113</f>
        <v>74331678.93599999</v>
      </c>
      <c r="S113" s="1803"/>
      <c r="T113" s="1803"/>
    </row>
    <row r="114" spans="1:20" s="1802" customFormat="1" ht="20.100000000000001" customHeight="1">
      <c r="A114" s="55" t="s">
        <v>1184</v>
      </c>
      <c r="B114" s="1627" t="s">
        <v>237</v>
      </c>
      <c r="C114" s="30" t="s">
        <v>893</v>
      </c>
      <c r="D114" s="537"/>
      <c r="E114" s="537"/>
      <c r="F114" s="1967"/>
      <c r="G114" s="1967"/>
      <c r="H114" s="1967"/>
      <c r="I114" s="1968"/>
      <c r="J114" s="1805"/>
      <c r="K114" s="1969"/>
      <c r="L114" s="1967"/>
      <c r="M114" s="1967"/>
      <c r="N114" s="1967">
        <v>5735137.064000003</v>
      </c>
      <c r="O114" s="1804">
        <f t="shared" si="22"/>
        <v>5735137.064000003</v>
      </c>
      <c r="Q114" s="869">
        <f>+I114+O114</f>
        <v>5735137.064000003</v>
      </c>
      <c r="S114" s="1803"/>
      <c r="T114" s="1803"/>
    </row>
    <row r="115" spans="1:20" s="759" customFormat="1" ht="15.75" thickBot="1">
      <c r="A115" s="1732" t="s">
        <v>1031</v>
      </c>
      <c r="B115" s="1733" t="s">
        <v>247</v>
      </c>
      <c r="C115" s="1733"/>
      <c r="D115" s="131"/>
      <c r="E115" s="131"/>
      <c r="F115" s="706"/>
      <c r="G115" s="706">
        <v>19867238.904000044</v>
      </c>
      <c r="H115" s="706"/>
      <c r="I115" s="1988">
        <f>+G115</f>
        <v>19867238.904000044</v>
      </c>
      <c r="J115" s="764"/>
      <c r="K115" s="972"/>
      <c r="L115" s="706">
        <v>70000000</v>
      </c>
      <c r="M115" s="706"/>
      <c r="N115" s="706">
        <v>12613937.24000001</v>
      </c>
      <c r="O115" s="706">
        <f t="shared" si="22"/>
        <v>82613937.24000001</v>
      </c>
      <c r="Q115" s="867">
        <f t="shared" ref="Q115" si="36">+I115+O115</f>
        <v>102481176.14400005</v>
      </c>
      <c r="R115" s="1876">
        <f>+N115+G115</f>
        <v>32481176.144000053</v>
      </c>
    </row>
    <row r="116" spans="1:20" ht="15.75" thickBot="1">
      <c r="A116" s="2404" t="s">
        <v>10</v>
      </c>
      <c r="B116" s="2405"/>
      <c r="C116" s="2405"/>
      <c r="D116" s="2405"/>
      <c r="E116" s="2406"/>
      <c r="F116" s="1433">
        <f>+F84+F72+F7</f>
        <v>60483249</v>
      </c>
      <c r="G116" s="1433">
        <f>+G84+G72+G7</f>
        <v>804367420</v>
      </c>
      <c r="H116" s="1433">
        <f>+H84+H72+H7</f>
        <v>121058436</v>
      </c>
      <c r="I116" s="1434">
        <f>+I84+I72+I7</f>
        <v>985909105</v>
      </c>
      <c r="J116" s="354"/>
      <c r="K116" s="1435">
        <f>+K84+K72+K7</f>
        <v>0</v>
      </c>
      <c r="L116" s="1436">
        <f t="shared" ref="L116:N116" si="37">+L84+L72+L7</f>
        <v>70000000</v>
      </c>
      <c r="M116" s="1436">
        <f t="shared" si="37"/>
        <v>128915578.11119999</v>
      </c>
      <c r="N116" s="1436">
        <f t="shared" si="37"/>
        <v>149346360</v>
      </c>
      <c r="O116" s="1436">
        <f t="shared" si="22"/>
        <v>348261938.11119998</v>
      </c>
      <c r="P116" s="973"/>
      <c r="Q116" s="1437">
        <f>+Q84+Q72+Q7</f>
        <v>1334171043.1112003</v>
      </c>
    </row>
    <row r="117" spans="1:20" ht="15.75" thickBot="1">
      <c r="E117" s="1698"/>
      <c r="F117" s="1699"/>
      <c r="G117" s="1699"/>
      <c r="H117" s="1699"/>
      <c r="J117" s="1698"/>
      <c r="K117" s="1699"/>
      <c r="L117" s="1699"/>
      <c r="M117" s="1699"/>
      <c r="N117" s="1699"/>
      <c r="Q117" s="1699"/>
    </row>
    <row r="118" spans="1:20" ht="15.75" thickBot="1">
      <c r="E118" s="1698"/>
      <c r="F118" s="735">
        <v>60483249</v>
      </c>
      <c r="G118" s="735">
        <v>804367420</v>
      </c>
      <c r="H118" s="735">
        <v>121058436</v>
      </c>
      <c r="I118" s="735">
        <v>985909105</v>
      </c>
      <c r="J118" s="1698"/>
      <c r="K118" s="735">
        <f>103714372-103714372</f>
        <v>0</v>
      </c>
      <c r="L118" s="735">
        <v>70000000</v>
      </c>
      <c r="M118" s="735">
        <f>25201206+103714372</f>
        <v>128915578</v>
      </c>
      <c r="N118" s="735">
        <v>149346360</v>
      </c>
      <c r="O118" s="735">
        <v>348261938</v>
      </c>
      <c r="Q118" s="735">
        <v>1334171043</v>
      </c>
    </row>
    <row r="119" spans="1:20">
      <c r="D119" s="186"/>
      <c r="I119" s="1700"/>
      <c r="J119" s="1698"/>
      <c r="O119" s="1700"/>
    </row>
    <row r="120" spans="1:20">
      <c r="D120" s="186"/>
      <c r="F120" s="1700">
        <f>+F118-F116</f>
        <v>0</v>
      </c>
      <c r="G120" s="1700">
        <f t="shared" ref="G120:I120" si="38">+G118-G116</f>
        <v>0</v>
      </c>
      <c r="H120" s="1700">
        <f t="shared" si="38"/>
        <v>0</v>
      </c>
      <c r="I120" s="1700">
        <f t="shared" si="38"/>
        <v>0</v>
      </c>
      <c r="J120" s="1698"/>
      <c r="K120" s="1700">
        <f>+K118-K116</f>
        <v>0</v>
      </c>
      <c r="L120" s="1700">
        <f t="shared" ref="L120:Q120" si="39">+L118-L116</f>
        <v>0</v>
      </c>
      <c r="M120" s="1700">
        <f t="shared" si="39"/>
        <v>-0.1111999899148941</v>
      </c>
      <c r="N120" s="1700">
        <f t="shared" si="39"/>
        <v>0</v>
      </c>
      <c r="O120" s="1700">
        <f>+O118-O116</f>
        <v>-0.11119997501373291</v>
      </c>
      <c r="P120" s="1700"/>
      <c r="Q120" s="1700">
        <f t="shared" si="39"/>
        <v>-0.11120033264160156</v>
      </c>
    </row>
    <row r="121" spans="1:20">
      <c r="D121" s="186"/>
      <c r="I121" s="1700"/>
      <c r="J121" s="1698"/>
      <c r="O121" s="1700"/>
    </row>
    <row r="122" spans="1:20">
      <c r="D122" s="186"/>
      <c r="I122" s="1700"/>
      <c r="J122" s="1698"/>
      <c r="O122" s="1700"/>
    </row>
    <row r="123" spans="1:20">
      <c r="D123" s="186"/>
      <c r="I123" s="1700"/>
      <c r="J123" s="1698"/>
      <c r="O123" s="1700"/>
    </row>
    <row r="124" spans="1:20">
      <c r="D124" s="186"/>
      <c r="I124" s="1700"/>
      <c r="J124" s="1698"/>
      <c r="O124" s="1700"/>
    </row>
  </sheetData>
  <mergeCells count="20">
    <mergeCell ref="A1:I1"/>
    <mergeCell ref="A2:I2"/>
    <mergeCell ref="F4:H4"/>
    <mergeCell ref="F5:F6"/>
    <mergeCell ref="G5:G6"/>
    <mergeCell ref="A4:A6"/>
    <mergeCell ref="D4:D6"/>
    <mergeCell ref="E4:E6"/>
    <mergeCell ref="I4:I6"/>
    <mergeCell ref="B4:B6"/>
    <mergeCell ref="C4:C6"/>
    <mergeCell ref="Q4:Q6"/>
    <mergeCell ref="M5:M6"/>
    <mergeCell ref="A116:E116"/>
    <mergeCell ref="K4:N4"/>
    <mergeCell ref="O4:O6"/>
    <mergeCell ref="K5:K6"/>
    <mergeCell ref="L5:L6"/>
    <mergeCell ref="N5:N6"/>
    <mergeCell ref="H5:H6"/>
  </mergeCells>
  <pageMargins left="0.7" right="0.7" top="0.75" bottom="0.75" header="0.3" footer="0.3"/>
  <pageSetup orientation="portrait" verticalDpi="597"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9"/>
  <sheetViews>
    <sheetView workbookViewId="0"/>
  </sheetViews>
  <sheetFormatPr baseColWidth="10" defaultRowHeight="15"/>
  <cols>
    <col min="1" max="1" width="7.5703125" customWidth="1"/>
    <col min="2" max="2" width="36.7109375" customWidth="1"/>
    <col min="3" max="3" width="10.42578125" customWidth="1"/>
    <col min="4" max="4" width="45.85546875" customWidth="1"/>
    <col min="5" max="5" width="18.42578125" hidden="1" customWidth="1"/>
  </cols>
  <sheetData>
    <row r="1" spans="1:6" ht="15.75">
      <c r="A1" s="103" t="s">
        <v>69</v>
      </c>
      <c r="B1" s="104" t="s">
        <v>13</v>
      </c>
      <c r="C1" s="104" t="s">
        <v>69</v>
      </c>
      <c r="D1" s="104" t="s">
        <v>14</v>
      </c>
      <c r="E1" s="104"/>
      <c r="F1" s="105" t="s">
        <v>383</v>
      </c>
    </row>
    <row r="2" spans="1:6" ht="62.25" customHeight="1">
      <c r="A2" s="2203">
        <v>1</v>
      </c>
      <c r="B2" s="2205" t="s">
        <v>379</v>
      </c>
      <c r="C2" s="96" t="s">
        <v>15</v>
      </c>
      <c r="D2" s="118" t="s">
        <v>125</v>
      </c>
      <c r="E2" s="119">
        <v>3980276606</v>
      </c>
      <c r="F2" s="120">
        <v>10</v>
      </c>
    </row>
    <row r="3" spans="1:6" ht="15" customHeight="1">
      <c r="A3" s="2203"/>
      <c r="B3" s="2205"/>
      <c r="C3" s="2206" t="s">
        <v>16</v>
      </c>
      <c r="D3" s="2205" t="s">
        <v>17</v>
      </c>
      <c r="E3" s="2207">
        <v>10236150965</v>
      </c>
      <c r="F3" s="2208">
        <v>8</v>
      </c>
    </row>
    <row r="4" spans="1:6" ht="24" customHeight="1">
      <c r="A4" s="2203"/>
      <c r="B4" s="2205"/>
      <c r="C4" s="2206"/>
      <c r="D4" s="2205"/>
      <c r="E4" s="2207"/>
      <c r="F4" s="2208"/>
    </row>
    <row r="5" spans="1:6" ht="15" customHeight="1">
      <c r="A5" s="2204">
        <v>2</v>
      </c>
      <c r="B5" s="2200" t="s">
        <v>380</v>
      </c>
      <c r="C5" s="2201" t="s">
        <v>18</v>
      </c>
      <c r="D5" s="2200" t="s">
        <v>19</v>
      </c>
      <c r="E5" s="2202">
        <v>300000000</v>
      </c>
      <c r="F5" s="2209">
        <v>3</v>
      </c>
    </row>
    <row r="6" spans="1:6">
      <c r="A6" s="2204"/>
      <c r="B6" s="2200"/>
      <c r="C6" s="2201"/>
      <c r="D6" s="2200"/>
      <c r="E6" s="2202"/>
      <c r="F6" s="2209"/>
    </row>
    <row r="7" spans="1:6" ht="33.75" customHeight="1">
      <c r="A7" s="2204"/>
      <c r="B7" s="2200"/>
      <c r="C7" s="92" t="s">
        <v>20</v>
      </c>
      <c r="D7" s="93" t="s">
        <v>21</v>
      </c>
      <c r="E7" s="121">
        <v>300000000</v>
      </c>
      <c r="F7" s="109">
        <v>2</v>
      </c>
    </row>
    <row r="8" spans="1:6" ht="15" customHeight="1">
      <c r="A8" s="2203">
        <v>3</v>
      </c>
      <c r="B8" s="2205" t="s">
        <v>381</v>
      </c>
      <c r="C8" s="2206" t="s">
        <v>22</v>
      </c>
      <c r="D8" s="2206" t="s">
        <v>23</v>
      </c>
      <c r="E8" s="2207">
        <v>612138303</v>
      </c>
      <c r="F8" s="2208">
        <v>4</v>
      </c>
    </row>
    <row r="9" spans="1:6">
      <c r="A9" s="2203"/>
      <c r="B9" s="2205"/>
      <c r="C9" s="2206"/>
      <c r="D9" s="2206"/>
      <c r="E9" s="2207"/>
      <c r="F9" s="2208"/>
    </row>
    <row r="10" spans="1:6">
      <c r="A10" s="2203"/>
      <c r="B10" s="2205"/>
      <c r="C10" s="2206"/>
      <c r="D10" s="2206"/>
      <c r="E10" s="2207"/>
      <c r="F10" s="2208"/>
    </row>
    <row r="11" spans="1:6" ht="28.5">
      <c r="A11" s="2203"/>
      <c r="B11" s="2205"/>
      <c r="C11" s="96" t="s">
        <v>24</v>
      </c>
      <c r="D11" s="118" t="s">
        <v>126</v>
      </c>
      <c r="E11" s="119">
        <v>1671309671</v>
      </c>
      <c r="F11" s="120">
        <v>2</v>
      </c>
    </row>
    <row r="12" spans="1:6" ht="28.5">
      <c r="A12" s="2203"/>
      <c r="B12" s="2205"/>
      <c r="C12" s="96" t="s">
        <v>25</v>
      </c>
      <c r="D12" s="118" t="s">
        <v>26</v>
      </c>
      <c r="E12" s="119">
        <v>250000000</v>
      </c>
      <c r="F12" s="120">
        <v>2</v>
      </c>
    </row>
    <row r="13" spans="1:6" ht="15" customHeight="1">
      <c r="A13" s="2204">
        <v>4</v>
      </c>
      <c r="B13" s="2200" t="s">
        <v>382</v>
      </c>
      <c r="C13" s="2201" t="s">
        <v>27</v>
      </c>
      <c r="D13" s="2200" t="s">
        <v>28</v>
      </c>
      <c r="E13" s="2202">
        <v>5862664120</v>
      </c>
      <c r="F13" s="2209">
        <v>23</v>
      </c>
    </row>
    <row r="14" spans="1:6">
      <c r="A14" s="2204"/>
      <c r="B14" s="2200"/>
      <c r="C14" s="2201"/>
      <c r="D14" s="2200"/>
      <c r="E14" s="2202"/>
      <c r="F14" s="2209"/>
    </row>
    <row r="15" spans="1:6">
      <c r="A15" s="2204"/>
      <c r="B15" s="2200"/>
      <c r="C15" s="2201"/>
      <c r="D15" s="2200"/>
      <c r="E15" s="2202"/>
      <c r="F15" s="2209"/>
    </row>
    <row r="16" spans="1:6">
      <c r="A16" s="2204"/>
      <c r="B16" s="2200"/>
      <c r="C16" s="2201"/>
      <c r="D16" s="2200"/>
      <c r="E16" s="2202"/>
      <c r="F16" s="2209"/>
    </row>
    <row r="17" spans="1:6" ht="28.5">
      <c r="A17" s="2204"/>
      <c r="B17" s="2200"/>
      <c r="C17" s="92" t="s">
        <v>29</v>
      </c>
      <c r="D17" s="93" t="s">
        <v>30</v>
      </c>
      <c r="E17" s="121">
        <v>921189222</v>
      </c>
      <c r="F17" s="109">
        <v>6</v>
      </c>
    </row>
    <row r="18" spans="1:6">
      <c r="A18" s="2204"/>
      <c r="B18" s="2200"/>
      <c r="C18" s="92" t="s">
        <v>31</v>
      </c>
      <c r="D18" s="93" t="s">
        <v>32</v>
      </c>
      <c r="E18" s="121">
        <v>740138303</v>
      </c>
      <c r="F18" s="109">
        <v>2</v>
      </c>
    </row>
    <row r="19" spans="1:6" ht="15.75" thickBot="1">
      <c r="A19" s="2197"/>
      <c r="B19" s="2198"/>
      <c r="C19" s="2198"/>
      <c r="D19" s="2199"/>
      <c r="E19" s="107">
        <f>SUM(E2:E18)</f>
        <v>24873867190</v>
      </c>
      <c r="F19" s="117">
        <f>SUM(F2:F18)</f>
        <v>62</v>
      </c>
    </row>
  </sheetData>
  <mergeCells count="25">
    <mergeCell ref="C3:C4"/>
    <mergeCell ref="D3:D4"/>
    <mergeCell ref="E3:E4"/>
    <mergeCell ref="F3:F4"/>
    <mergeCell ref="F13:F16"/>
    <mergeCell ref="C5:C6"/>
    <mergeCell ref="D5:D6"/>
    <mergeCell ref="E5:E6"/>
    <mergeCell ref="F5:F6"/>
    <mergeCell ref="C8:C10"/>
    <mergeCell ref="D8:D10"/>
    <mergeCell ref="E8:E10"/>
    <mergeCell ref="F8:F10"/>
    <mergeCell ref="A2:A4"/>
    <mergeCell ref="A5:A7"/>
    <mergeCell ref="A8:A12"/>
    <mergeCell ref="A13:A18"/>
    <mergeCell ref="B5:B7"/>
    <mergeCell ref="B8:B12"/>
    <mergeCell ref="B2:B4"/>
    <mergeCell ref="A19:D19"/>
    <mergeCell ref="B13:B18"/>
    <mergeCell ref="C13:C16"/>
    <mergeCell ref="D13:D16"/>
    <mergeCell ref="E13:E1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theme="7" tint="0.59999389629810485"/>
  </sheetPr>
  <dimension ref="A1:Q25"/>
  <sheetViews>
    <sheetView zoomScale="68" zoomScaleNormal="68" workbookViewId="0">
      <selection activeCell="B15" sqref="B15"/>
    </sheetView>
  </sheetViews>
  <sheetFormatPr baseColWidth="10" defaultRowHeight="15"/>
  <cols>
    <col min="2" max="2" width="35.42578125" customWidth="1"/>
    <col min="5" max="7" width="18.85546875" customWidth="1"/>
    <col min="8" max="8" width="20.7109375" style="491" customWidth="1"/>
    <col min="9" max="9" width="5.5703125" customWidth="1"/>
    <col min="10" max="10" width="18.85546875" customWidth="1"/>
    <col min="11" max="11" width="5.85546875" style="828" customWidth="1"/>
    <col min="12" max="12" width="21.85546875" customWidth="1"/>
    <col min="13" max="13" width="18.85546875" customWidth="1"/>
    <col min="247" max="247" width="35.42578125" customWidth="1"/>
    <col min="248" max="249" width="0" hidden="1" customWidth="1"/>
    <col min="252" max="252" width="17.42578125" customWidth="1"/>
    <col min="253" max="253" width="19.42578125" customWidth="1"/>
    <col min="254" max="254" width="0" hidden="1" customWidth="1"/>
    <col min="255" max="255" width="15.5703125" customWidth="1"/>
    <col min="256" max="256" width="17.5703125" customWidth="1"/>
    <col min="257" max="257" width="27.140625" customWidth="1"/>
    <col min="258" max="258" width="14.28515625" customWidth="1"/>
    <col min="503" max="503" width="35.42578125" customWidth="1"/>
    <col min="504" max="505" width="0" hidden="1" customWidth="1"/>
    <col min="508" max="508" width="17.42578125" customWidth="1"/>
    <col min="509" max="509" width="19.42578125" customWidth="1"/>
    <col min="510" max="510" width="0" hidden="1" customWidth="1"/>
    <col min="511" max="511" width="15.5703125" customWidth="1"/>
    <col min="512" max="512" width="17.5703125" customWidth="1"/>
    <col min="513" max="513" width="27.140625" customWidth="1"/>
    <col min="514" max="514" width="14.28515625" customWidth="1"/>
    <col min="759" max="759" width="35.42578125" customWidth="1"/>
    <col min="760" max="761" width="0" hidden="1" customWidth="1"/>
    <col min="764" max="764" width="17.42578125" customWidth="1"/>
    <col min="765" max="765" width="19.42578125" customWidth="1"/>
    <col min="766" max="766" width="0" hidden="1" customWidth="1"/>
    <col min="767" max="767" width="15.5703125" customWidth="1"/>
    <col min="768" max="768" width="17.5703125" customWidth="1"/>
    <col min="769" max="769" width="27.140625" customWidth="1"/>
    <col min="770" max="770" width="14.28515625" customWidth="1"/>
    <col min="1015" max="1015" width="35.42578125" customWidth="1"/>
    <col min="1016" max="1017" width="0" hidden="1" customWidth="1"/>
    <col min="1020" max="1020" width="17.42578125" customWidth="1"/>
    <col min="1021" max="1021" width="19.42578125" customWidth="1"/>
    <col min="1022" max="1022" width="0" hidden="1" customWidth="1"/>
    <col min="1023" max="1023" width="15.5703125" customWidth="1"/>
    <col min="1024" max="1024" width="17.5703125" customWidth="1"/>
    <col min="1025" max="1025" width="27.140625" customWidth="1"/>
    <col min="1026" max="1026" width="14.28515625" customWidth="1"/>
    <col min="1271" max="1271" width="35.42578125" customWidth="1"/>
    <col min="1272" max="1273" width="0" hidden="1" customWidth="1"/>
    <col min="1276" max="1276" width="17.42578125" customWidth="1"/>
    <col min="1277" max="1277" width="19.42578125" customWidth="1"/>
    <col min="1278" max="1278" width="0" hidden="1" customWidth="1"/>
    <col min="1279" max="1279" width="15.5703125" customWidth="1"/>
    <col min="1280" max="1280" width="17.5703125" customWidth="1"/>
    <col min="1281" max="1281" width="27.140625" customWidth="1"/>
    <col min="1282" max="1282" width="14.28515625" customWidth="1"/>
    <col min="1527" max="1527" width="35.42578125" customWidth="1"/>
    <col min="1528" max="1529" width="0" hidden="1" customWidth="1"/>
    <col min="1532" max="1532" width="17.42578125" customWidth="1"/>
    <col min="1533" max="1533" width="19.42578125" customWidth="1"/>
    <col min="1534" max="1534" width="0" hidden="1" customWidth="1"/>
    <col min="1535" max="1535" width="15.5703125" customWidth="1"/>
    <col min="1536" max="1536" width="17.5703125" customWidth="1"/>
    <col min="1537" max="1537" width="27.140625" customWidth="1"/>
    <col min="1538" max="1538" width="14.28515625" customWidth="1"/>
    <col min="1783" max="1783" width="35.42578125" customWidth="1"/>
    <col min="1784" max="1785" width="0" hidden="1" customWidth="1"/>
    <col min="1788" max="1788" width="17.42578125" customWidth="1"/>
    <col min="1789" max="1789" width="19.42578125" customWidth="1"/>
    <col min="1790" max="1790" width="0" hidden="1" customWidth="1"/>
    <col min="1791" max="1791" width="15.5703125" customWidth="1"/>
    <col min="1792" max="1792" width="17.5703125" customWidth="1"/>
    <col min="1793" max="1793" width="27.140625" customWidth="1"/>
    <col min="1794" max="1794" width="14.28515625" customWidth="1"/>
    <col min="2039" max="2039" width="35.42578125" customWidth="1"/>
    <col min="2040" max="2041" width="0" hidden="1" customWidth="1"/>
    <col min="2044" max="2044" width="17.42578125" customWidth="1"/>
    <col min="2045" max="2045" width="19.42578125" customWidth="1"/>
    <col min="2046" max="2046" width="0" hidden="1" customWidth="1"/>
    <col min="2047" max="2047" width="15.5703125" customWidth="1"/>
    <col min="2048" max="2048" width="17.5703125" customWidth="1"/>
    <col min="2049" max="2049" width="27.140625" customWidth="1"/>
    <col min="2050" max="2050" width="14.28515625" customWidth="1"/>
    <col min="2295" max="2295" width="35.42578125" customWidth="1"/>
    <col min="2296" max="2297" width="0" hidden="1" customWidth="1"/>
    <col min="2300" max="2300" width="17.42578125" customWidth="1"/>
    <col min="2301" max="2301" width="19.42578125" customWidth="1"/>
    <col min="2302" max="2302" width="0" hidden="1" customWidth="1"/>
    <col min="2303" max="2303" width="15.5703125" customWidth="1"/>
    <col min="2304" max="2304" width="17.5703125" customWidth="1"/>
    <col min="2305" max="2305" width="27.140625" customWidth="1"/>
    <col min="2306" max="2306" width="14.28515625" customWidth="1"/>
    <col min="2551" max="2551" width="35.42578125" customWidth="1"/>
    <col min="2552" max="2553" width="0" hidden="1" customWidth="1"/>
    <col min="2556" max="2556" width="17.42578125" customWidth="1"/>
    <col min="2557" max="2557" width="19.42578125" customWidth="1"/>
    <col min="2558" max="2558" width="0" hidden="1" customWidth="1"/>
    <col min="2559" max="2559" width="15.5703125" customWidth="1"/>
    <col min="2560" max="2560" width="17.5703125" customWidth="1"/>
    <col min="2561" max="2561" width="27.140625" customWidth="1"/>
    <col min="2562" max="2562" width="14.28515625" customWidth="1"/>
    <col min="2807" max="2807" width="35.42578125" customWidth="1"/>
    <col min="2808" max="2809" width="0" hidden="1" customWidth="1"/>
    <col min="2812" max="2812" width="17.42578125" customWidth="1"/>
    <col min="2813" max="2813" width="19.42578125" customWidth="1"/>
    <col min="2814" max="2814" width="0" hidden="1" customWidth="1"/>
    <col min="2815" max="2815" width="15.5703125" customWidth="1"/>
    <col min="2816" max="2816" width="17.5703125" customWidth="1"/>
    <col min="2817" max="2817" width="27.140625" customWidth="1"/>
    <col min="2818" max="2818" width="14.28515625" customWidth="1"/>
    <col min="3063" max="3063" width="35.42578125" customWidth="1"/>
    <col min="3064" max="3065" width="0" hidden="1" customWidth="1"/>
    <col min="3068" max="3068" width="17.42578125" customWidth="1"/>
    <col min="3069" max="3069" width="19.42578125" customWidth="1"/>
    <col min="3070" max="3070" width="0" hidden="1" customWidth="1"/>
    <col min="3071" max="3071" width="15.5703125" customWidth="1"/>
    <col min="3072" max="3072" width="17.5703125" customWidth="1"/>
    <col min="3073" max="3073" width="27.140625" customWidth="1"/>
    <col min="3074" max="3074" width="14.28515625" customWidth="1"/>
    <col min="3319" max="3319" width="35.42578125" customWidth="1"/>
    <col min="3320" max="3321" width="0" hidden="1" customWidth="1"/>
    <col min="3324" max="3324" width="17.42578125" customWidth="1"/>
    <col min="3325" max="3325" width="19.42578125" customWidth="1"/>
    <col min="3326" max="3326" width="0" hidden="1" customWidth="1"/>
    <col min="3327" max="3327" width="15.5703125" customWidth="1"/>
    <col min="3328" max="3328" width="17.5703125" customWidth="1"/>
    <col min="3329" max="3329" width="27.140625" customWidth="1"/>
    <col min="3330" max="3330" width="14.28515625" customWidth="1"/>
    <col min="3575" max="3575" width="35.42578125" customWidth="1"/>
    <col min="3576" max="3577" width="0" hidden="1" customWidth="1"/>
    <col min="3580" max="3580" width="17.42578125" customWidth="1"/>
    <col min="3581" max="3581" width="19.42578125" customWidth="1"/>
    <col min="3582" max="3582" width="0" hidden="1" customWidth="1"/>
    <col min="3583" max="3583" width="15.5703125" customWidth="1"/>
    <col min="3584" max="3584" width="17.5703125" customWidth="1"/>
    <col min="3585" max="3585" width="27.140625" customWidth="1"/>
    <col min="3586" max="3586" width="14.28515625" customWidth="1"/>
    <col min="3831" max="3831" width="35.42578125" customWidth="1"/>
    <col min="3832" max="3833" width="0" hidden="1" customWidth="1"/>
    <col min="3836" max="3836" width="17.42578125" customWidth="1"/>
    <col min="3837" max="3837" width="19.42578125" customWidth="1"/>
    <col min="3838" max="3838" width="0" hidden="1" customWidth="1"/>
    <col min="3839" max="3839" width="15.5703125" customWidth="1"/>
    <col min="3840" max="3840" width="17.5703125" customWidth="1"/>
    <col min="3841" max="3841" width="27.140625" customWidth="1"/>
    <col min="3842" max="3842" width="14.28515625" customWidth="1"/>
    <col min="4087" max="4087" width="35.42578125" customWidth="1"/>
    <col min="4088" max="4089" width="0" hidden="1" customWidth="1"/>
    <col min="4092" max="4092" width="17.42578125" customWidth="1"/>
    <col min="4093" max="4093" width="19.42578125" customWidth="1"/>
    <col min="4094" max="4094" width="0" hidden="1" customWidth="1"/>
    <col min="4095" max="4095" width="15.5703125" customWidth="1"/>
    <col min="4096" max="4096" width="17.5703125" customWidth="1"/>
    <col min="4097" max="4097" width="27.140625" customWidth="1"/>
    <col min="4098" max="4098" width="14.28515625" customWidth="1"/>
    <col min="4343" max="4343" width="35.42578125" customWidth="1"/>
    <col min="4344" max="4345" width="0" hidden="1" customWidth="1"/>
    <col min="4348" max="4348" width="17.42578125" customWidth="1"/>
    <col min="4349" max="4349" width="19.42578125" customWidth="1"/>
    <col min="4350" max="4350" width="0" hidden="1" customWidth="1"/>
    <col min="4351" max="4351" width="15.5703125" customWidth="1"/>
    <col min="4352" max="4352" width="17.5703125" customWidth="1"/>
    <col min="4353" max="4353" width="27.140625" customWidth="1"/>
    <col min="4354" max="4354" width="14.28515625" customWidth="1"/>
    <col min="4599" max="4599" width="35.42578125" customWidth="1"/>
    <col min="4600" max="4601" width="0" hidden="1" customWidth="1"/>
    <col min="4604" max="4604" width="17.42578125" customWidth="1"/>
    <col min="4605" max="4605" width="19.42578125" customWidth="1"/>
    <col min="4606" max="4606" width="0" hidden="1" customWidth="1"/>
    <col min="4607" max="4607" width="15.5703125" customWidth="1"/>
    <col min="4608" max="4608" width="17.5703125" customWidth="1"/>
    <col min="4609" max="4609" width="27.140625" customWidth="1"/>
    <col min="4610" max="4610" width="14.28515625" customWidth="1"/>
    <col min="4855" max="4855" width="35.42578125" customWidth="1"/>
    <col min="4856" max="4857" width="0" hidden="1" customWidth="1"/>
    <col min="4860" max="4860" width="17.42578125" customWidth="1"/>
    <col min="4861" max="4861" width="19.42578125" customWidth="1"/>
    <col min="4862" max="4862" width="0" hidden="1" customWidth="1"/>
    <col min="4863" max="4863" width="15.5703125" customWidth="1"/>
    <col min="4864" max="4864" width="17.5703125" customWidth="1"/>
    <col min="4865" max="4865" width="27.140625" customWidth="1"/>
    <col min="4866" max="4866" width="14.28515625" customWidth="1"/>
    <col min="5111" max="5111" width="35.42578125" customWidth="1"/>
    <col min="5112" max="5113" width="0" hidden="1" customWidth="1"/>
    <col min="5116" max="5116" width="17.42578125" customWidth="1"/>
    <col min="5117" max="5117" width="19.42578125" customWidth="1"/>
    <col min="5118" max="5118" width="0" hidden="1" customWidth="1"/>
    <col min="5119" max="5119" width="15.5703125" customWidth="1"/>
    <col min="5120" max="5120" width="17.5703125" customWidth="1"/>
    <col min="5121" max="5121" width="27.140625" customWidth="1"/>
    <col min="5122" max="5122" width="14.28515625" customWidth="1"/>
    <col min="5367" max="5367" width="35.42578125" customWidth="1"/>
    <col min="5368" max="5369" width="0" hidden="1" customWidth="1"/>
    <col min="5372" max="5372" width="17.42578125" customWidth="1"/>
    <col min="5373" max="5373" width="19.42578125" customWidth="1"/>
    <col min="5374" max="5374" width="0" hidden="1" customWidth="1"/>
    <col min="5375" max="5375" width="15.5703125" customWidth="1"/>
    <col min="5376" max="5376" width="17.5703125" customWidth="1"/>
    <col min="5377" max="5377" width="27.140625" customWidth="1"/>
    <col min="5378" max="5378" width="14.28515625" customWidth="1"/>
    <col min="5623" max="5623" width="35.42578125" customWidth="1"/>
    <col min="5624" max="5625" width="0" hidden="1" customWidth="1"/>
    <col min="5628" max="5628" width="17.42578125" customWidth="1"/>
    <col min="5629" max="5629" width="19.42578125" customWidth="1"/>
    <col min="5630" max="5630" width="0" hidden="1" customWidth="1"/>
    <col min="5631" max="5631" width="15.5703125" customWidth="1"/>
    <col min="5632" max="5632" width="17.5703125" customWidth="1"/>
    <col min="5633" max="5633" width="27.140625" customWidth="1"/>
    <col min="5634" max="5634" width="14.28515625" customWidth="1"/>
    <col min="5879" max="5879" width="35.42578125" customWidth="1"/>
    <col min="5880" max="5881" width="0" hidden="1" customWidth="1"/>
    <col min="5884" max="5884" width="17.42578125" customWidth="1"/>
    <col min="5885" max="5885" width="19.42578125" customWidth="1"/>
    <col min="5886" max="5886" width="0" hidden="1" customWidth="1"/>
    <col min="5887" max="5887" width="15.5703125" customWidth="1"/>
    <col min="5888" max="5888" width="17.5703125" customWidth="1"/>
    <col min="5889" max="5889" width="27.140625" customWidth="1"/>
    <col min="5890" max="5890" width="14.28515625" customWidth="1"/>
    <col min="6135" max="6135" width="35.42578125" customWidth="1"/>
    <col min="6136" max="6137" width="0" hidden="1" customWidth="1"/>
    <col min="6140" max="6140" width="17.42578125" customWidth="1"/>
    <col min="6141" max="6141" width="19.42578125" customWidth="1"/>
    <col min="6142" max="6142" width="0" hidden="1" customWidth="1"/>
    <col min="6143" max="6143" width="15.5703125" customWidth="1"/>
    <col min="6144" max="6144" width="17.5703125" customWidth="1"/>
    <col min="6145" max="6145" width="27.140625" customWidth="1"/>
    <col min="6146" max="6146" width="14.28515625" customWidth="1"/>
    <col min="6391" max="6391" width="35.42578125" customWidth="1"/>
    <col min="6392" max="6393" width="0" hidden="1" customWidth="1"/>
    <col min="6396" max="6396" width="17.42578125" customWidth="1"/>
    <col min="6397" max="6397" width="19.42578125" customWidth="1"/>
    <col min="6398" max="6398" width="0" hidden="1" customWidth="1"/>
    <col min="6399" max="6399" width="15.5703125" customWidth="1"/>
    <col min="6400" max="6400" width="17.5703125" customWidth="1"/>
    <col min="6401" max="6401" width="27.140625" customWidth="1"/>
    <col min="6402" max="6402" width="14.28515625" customWidth="1"/>
    <col min="6647" max="6647" width="35.42578125" customWidth="1"/>
    <col min="6648" max="6649" width="0" hidden="1" customWidth="1"/>
    <col min="6652" max="6652" width="17.42578125" customWidth="1"/>
    <col min="6653" max="6653" width="19.42578125" customWidth="1"/>
    <col min="6654" max="6654" width="0" hidden="1" customWidth="1"/>
    <col min="6655" max="6655" width="15.5703125" customWidth="1"/>
    <col min="6656" max="6656" width="17.5703125" customWidth="1"/>
    <col min="6657" max="6657" width="27.140625" customWidth="1"/>
    <col min="6658" max="6658" width="14.28515625" customWidth="1"/>
    <col min="6903" max="6903" width="35.42578125" customWidth="1"/>
    <col min="6904" max="6905" width="0" hidden="1" customWidth="1"/>
    <col min="6908" max="6908" width="17.42578125" customWidth="1"/>
    <col min="6909" max="6909" width="19.42578125" customWidth="1"/>
    <col min="6910" max="6910" width="0" hidden="1" customWidth="1"/>
    <col min="6911" max="6911" width="15.5703125" customWidth="1"/>
    <col min="6912" max="6912" width="17.5703125" customWidth="1"/>
    <col min="6913" max="6913" width="27.140625" customWidth="1"/>
    <col min="6914" max="6914" width="14.28515625" customWidth="1"/>
    <col min="7159" max="7159" width="35.42578125" customWidth="1"/>
    <col min="7160" max="7161" width="0" hidden="1" customWidth="1"/>
    <col min="7164" max="7164" width="17.42578125" customWidth="1"/>
    <col min="7165" max="7165" width="19.42578125" customWidth="1"/>
    <col min="7166" max="7166" width="0" hidden="1" customWidth="1"/>
    <col min="7167" max="7167" width="15.5703125" customWidth="1"/>
    <col min="7168" max="7168" width="17.5703125" customWidth="1"/>
    <col min="7169" max="7169" width="27.140625" customWidth="1"/>
    <col min="7170" max="7170" width="14.28515625" customWidth="1"/>
    <col min="7415" max="7415" width="35.42578125" customWidth="1"/>
    <col min="7416" max="7417" width="0" hidden="1" customWidth="1"/>
    <col min="7420" max="7420" width="17.42578125" customWidth="1"/>
    <col min="7421" max="7421" width="19.42578125" customWidth="1"/>
    <col min="7422" max="7422" width="0" hidden="1" customWidth="1"/>
    <col min="7423" max="7423" width="15.5703125" customWidth="1"/>
    <col min="7424" max="7424" width="17.5703125" customWidth="1"/>
    <col min="7425" max="7425" width="27.140625" customWidth="1"/>
    <col min="7426" max="7426" width="14.28515625" customWidth="1"/>
    <col min="7671" max="7671" width="35.42578125" customWidth="1"/>
    <col min="7672" max="7673" width="0" hidden="1" customWidth="1"/>
    <col min="7676" max="7676" width="17.42578125" customWidth="1"/>
    <col min="7677" max="7677" width="19.42578125" customWidth="1"/>
    <col min="7678" max="7678" width="0" hidden="1" customWidth="1"/>
    <col min="7679" max="7679" width="15.5703125" customWidth="1"/>
    <col min="7680" max="7680" width="17.5703125" customWidth="1"/>
    <col min="7681" max="7681" width="27.140625" customWidth="1"/>
    <col min="7682" max="7682" width="14.28515625" customWidth="1"/>
    <col min="7927" max="7927" width="35.42578125" customWidth="1"/>
    <col min="7928" max="7929" width="0" hidden="1" customWidth="1"/>
    <col min="7932" max="7932" width="17.42578125" customWidth="1"/>
    <col min="7933" max="7933" width="19.42578125" customWidth="1"/>
    <col min="7934" max="7934" width="0" hidden="1" customWidth="1"/>
    <col min="7935" max="7935" width="15.5703125" customWidth="1"/>
    <col min="7936" max="7936" width="17.5703125" customWidth="1"/>
    <col min="7937" max="7937" width="27.140625" customWidth="1"/>
    <col min="7938" max="7938" width="14.28515625" customWidth="1"/>
    <col min="8183" max="8183" width="35.42578125" customWidth="1"/>
    <col min="8184" max="8185" width="0" hidden="1" customWidth="1"/>
    <col min="8188" max="8188" width="17.42578125" customWidth="1"/>
    <col min="8189" max="8189" width="19.42578125" customWidth="1"/>
    <col min="8190" max="8190" width="0" hidden="1" customWidth="1"/>
    <col min="8191" max="8191" width="15.5703125" customWidth="1"/>
    <col min="8192" max="8192" width="17.5703125" customWidth="1"/>
    <col min="8193" max="8193" width="27.140625" customWidth="1"/>
    <col min="8194" max="8194" width="14.28515625" customWidth="1"/>
    <col min="8439" max="8439" width="35.42578125" customWidth="1"/>
    <col min="8440" max="8441" width="0" hidden="1" customWidth="1"/>
    <col min="8444" max="8444" width="17.42578125" customWidth="1"/>
    <col min="8445" max="8445" width="19.42578125" customWidth="1"/>
    <col min="8446" max="8446" width="0" hidden="1" customWidth="1"/>
    <col min="8447" max="8447" width="15.5703125" customWidth="1"/>
    <col min="8448" max="8448" width="17.5703125" customWidth="1"/>
    <col min="8449" max="8449" width="27.140625" customWidth="1"/>
    <col min="8450" max="8450" width="14.28515625" customWidth="1"/>
    <col min="8695" max="8695" width="35.42578125" customWidth="1"/>
    <col min="8696" max="8697" width="0" hidden="1" customWidth="1"/>
    <col min="8700" max="8700" width="17.42578125" customWidth="1"/>
    <col min="8701" max="8701" width="19.42578125" customWidth="1"/>
    <col min="8702" max="8702" width="0" hidden="1" customWidth="1"/>
    <col min="8703" max="8703" width="15.5703125" customWidth="1"/>
    <col min="8704" max="8704" width="17.5703125" customWidth="1"/>
    <col min="8705" max="8705" width="27.140625" customWidth="1"/>
    <col min="8706" max="8706" width="14.28515625" customWidth="1"/>
    <col min="8951" max="8951" width="35.42578125" customWidth="1"/>
    <col min="8952" max="8953" width="0" hidden="1" customWidth="1"/>
    <col min="8956" max="8956" width="17.42578125" customWidth="1"/>
    <col min="8957" max="8957" width="19.42578125" customWidth="1"/>
    <col min="8958" max="8958" width="0" hidden="1" customWidth="1"/>
    <col min="8959" max="8959" width="15.5703125" customWidth="1"/>
    <col min="8960" max="8960" width="17.5703125" customWidth="1"/>
    <col min="8961" max="8961" width="27.140625" customWidth="1"/>
    <col min="8962" max="8962" width="14.28515625" customWidth="1"/>
    <col min="9207" max="9207" width="35.42578125" customWidth="1"/>
    <col min="9208" max="9209" width="0" hidden="1" customWidth="1"/>
    <col min="9212" max="9212" width="17.42578125" customWidth="1"/>
    <col min="9213" max="9213" width="19.42578125" customWidth="1"/>
    <col min="9214" max="9214" width="0" hidden="1" customWidth="1"/>
    <col min="9215" max="9215" width="15.5703125" customWidth="1"/>
    <col min="9216" max="9216" width="17.5703125" customWidth="1"/>
    <col min="9217" max="9217" width="27.140625" customWidth="1"/>
    <col min="9218" max="9218" width="14.28515625" customWidth="1"/>
    <col min="9463" max="9463" width="35.42578125" customWidth="1"/>
    <col min="9464" max="9465" width="0" hidden="1" customWidth="1"/>
    <col min="9468" max="9468" width="17.42578125" customWidth="1"/>
    <col min="9469" max="9469" width="19.42578125" customWidth="1"/>
    <col min="9470" max="9470" width="0" hidden="1" customWidth="1"/>
    <col min="9471" max="9471" width="15.5703125" customWidth="1"/>
    <col min="9472" max="9472" width="17.5703125" customWidth="1"/>
    <col min="9473" max="9473" width="27.140625" customWidth="1"/>
    <col min="9474" max="9474" width="14.28515625" customWidth="1"/>
    <col min="9719" max="9719" width="35.42578125" customWidth="1"/>
    <col min="9720" max="9721" width="0" hidden="1" customWidth="1"/>
    <col min="9724" max="9724" width="17.42578125" customWidth="1"/>
    <col min="9725" max="9725" width="19.42578125" customWidth="1"/>
    <col min="9726" max="9726" width="0" hidden="1" customWidth="1"/>
    <col min="9727" max="9727" width="15.5703125" customWidth="1"/>
    <col min="9728" max="9728" width="17.5703125" customWidth="1"/>
    <col min="9729" max="9729" width="27.140625" customWidth="1"/>
    <col min="9730" max="9730" width="14.28515625" customWidth="1"/>
    <col min="9975" max="9975" width="35.42578125" customWidth="1"/>
    <col min="9976" max="9977" width="0" hidden="1" customWidth="1"/>
    <col min="9980" max="9980" width="17.42578125" customWidth="1"/>
    <col min="9981" max="9981" width="19.42578125" customWidth="1"/>
    <col min="9982" max="9982" width="0" hidden="1" customWidth="1"/>
    <col min="9983" max="9983" width="15.5703125" customWidth="1"/>
    <col min="9984" max="9984" width="17.5703125" customWidth="1"/>
    <col min="9985" max="9985" width="27.140625" customWidth="1"/>
    <col min="9986" max="9986" width="14.28515625" customWidth="1"/>
    <col min="10231" max="10231" width="35.42578125" customWidth="1"/>
    <col min="10232" max="10233" width="0" hidden="1" customWidth="1"/>
    <col min="10236" max="10236" width="17.42578125" customWidth="1"/>
    <col min="10237" max="10237" width="19.42578125" customWidth="1"/>
    <col min="10238" max="10238" width="0" hidden="1" customWidth="1"/>
    <col min="10239" max="10239" width="15.5703125" customWidth="1"/>
    <col min="10240" max="10240" width="17.5703125" customWidth="1"/>
    <col min="10241" max="10241" width="27.140625" customWidth="1"/>
    <col min="10242" max="10242" width="14.28515625" customWidth="1"/>
    <col min="10487" max="10487" width="35.42578125" customWidth="1"/>
    <col min="10488" max="10489" width="0" hidden="1" customWidth="1"/>
    <col min="10492" max="10492" width="17.42578125" customWidth="1"/>
    <col min="10493" max="10493" width="19.42578125" customWidth="1"/>
    <col min="10494" max="10494" width="0" hidden="1" customWidth="1"/>
    <col min="10495" max="10495" width="15.5703125" customWidth="1"/>
    <col min="10496" max="10496" width="17.5703125" customWidth="1"/>
    <col min="10497" max="10497" width="27.140625" customWidth="1"/>
    <col min="10498" max="10498" width="14.28515625" customWidth="1"/>
    <col min="10743" max="10743" width="35.42578125" customWidth="1"/>
    <col min="10744" max="10745" width="0" hidden="1" customWidth="1"/>
    <col min="10748" max="10748" width="17.42578125" customWidth="1"/>
    <col min="10749" max="10749" width="19.42578125" customWidth="1"/>
    <col min="10750" max="10750" width="0" hidden="1" customWidth="1"/>
    <col min="10751" max="10751" width="15.5703125" customWidth="1"/>
    <col min="10752" max="10752" width="17.5703125" customWidth="1"/>
    <col min="10753" max="10753" width="27.140625" customWidth="1"/>
    <col min="10754" max="10754" width="14.28515625" customWidth="1"/>
    <col min="10999" max="10999" width="35.42578125" customWidth="1"/>
    <col min="11000" max="11001" width="0" hidden="1" customWidth="1"/>
    <col min="11004" max="11004" width="17.42578125" customWidth="1"/>
    <col min="11005" max="11005" width="19.42578125" customWidth="1"/>
    <col min="11006" max="11006" width="0" hidden="1" customWidth="1"/>
    <col min="11007" max="11007" width="15.5703125" customWidth="1"/>
    <col min="11008" max="11008" width="17.5703125" customWidth="1"/>
    <col min="11009" max="11009" width="27.140625" customWidth="1"/>
    <col min="11010" max="11010" width="14.28515625" customWidth="1"/>
    <col min="11255" max="11255" width="35.42578125" customWidth="1"/>
    <col min="11256" max="11257" width="0" hidden="1" customWidth="1"/>
    <col min="11260" max="11260" width="17.42578125" customWidth="1"/>
    <col min="11261" max="11261" width="19.42578125" customWidth="1"/>
    <col min="11262" max="11262" width="0" hidden="1" customWidth="1"/>
    <col min="11263" max="11263" width="15.5703125" customWidth="1"/>
    <col min="11264" max="11264" width="17.5703125" customWidth="1"/>
    <col min="11265" max="11265" width="27.140625" customWidth="1"/>
    <col min="11266" max="11266" width="14.28515625" customWidth="1"/>
    <col min="11511" max="11511" width="35.42578125" customWidth="1"/>
    <col min="11512" max="11513" width="0" hidden="1" customWidth="1"/>
    <col min="11516" max="11516" width="17.42578125" customWidth="1"/>
    <col min="11517" max="11517" width="19.42578125" customWidth="1"/>
    <col min="11518" max="11518" width="0" hidden="1" customWidth="1"/>
    <col min="11519" max="11519" width="15.5703125" customWidth="1"/>
    <col min="11520" max="11520" width="17.5703125" customWidth="1"/>
    <col min="11521" max="11521" width="27.140625" customWidth="1"/>
    <col min="11522" max="11522" width="14.28515625" customWidth="1"/>
    <col min="11767" max="11767" width="35.42578125" customWidth="1"/>
    <col min="11768" max="11769" width="0" hidden="1" customWidth="1"/>
    <col min="11772" max="11772" width="17.42578125" customWidth="1"/>
    <col min="11773" max="11773" width="19.42578125" customWidth="1"/>
    <col min="11774" max="11774" width="0" hidden="1" customWidth="1"/>
    <col min="11775" max="11775" width="15.5703125" customWidth="1"/>
    <col min="11776" max="11776" width="17.5703125" customWidth="1"/>
    <col min="11777" max="11777" width="27.140625" customWidth="1"/>
    <col min="11778" max="11778" width="14.28515625" customWidth="1"/>
    <col min="12023" max="12023" width="35.42578125" customWidth="1"/>
    <col min="12024" max="12025" width="0" hidden="1" customWidth="1"/>
    <col min="12028" max="12028" width="17.42578125" customWidth="1"/>
    <col min="12029" max="12029" width="19.42578125" customWidth="1"/>
    <col min="12030" max="12030" width="0" hidden="1" customWidth="1"/>
    <col min="12031" max="12031" width="15.5703125" customWidth="1"/>
    <col min="12032" max="12032" width="17.5703125" customWidth="1"/>
    <col min="12033" max="12033" width="27.140625" customWidth="1"/>
    <col min="12034" max="12034" width="14.28515625" customWidth="1"/>
    <col min="12279" max="12279" width="35.42578125" customWidth="1"/>
    <col min="12280" max="12281" width="0" hidden="1" customWidth="1"/>
    <col min="12284" max="12284" width="17.42578125" customWidth="1"/>
    <col min="12285" max="12285" width="19.42578125" customWidth="1"/>
    <col min="12286" max="12286" width="0" hidden="1" customWidth="1"/>
    <col min="12287" max="12287" width="15.5703125" customWidth="1"/>
    <col min="12288" max="12288" width="17.5703125" customWidth="1"/>
    <col min="12289" max="12289" width="27.140625" customWidth="1"/>
    <col min="12290" max="12290" width="14.28515625" customWidth="1"/>
    <col min="12535" max="12535" width="35.42578125" customWidth="1"/>
    <col min="12536" max="12537" width="0" hidden="1" customWidth="1"/>
    <col min="12540" max="12540" width="17.42578125" customWidth="1"/>
    <col min="12541" max="12541" width="19.42578125" customWidth="1"/>
    <col min="12542" max="12542" width="0" hidden="1" customWidth="1"/>
    <col min="12543" max="12543" width="15.5703125" customWidth="1"/>
    <col min="12544" max="12544" width="17.5703125" customWidth="1"/>
    <col min="12545" max="12545" width="27.140625" customWidth="1"/>
    <col min="12546" max="12546" width="14.28515625" customWidth="1"/>
    <col min="12791" max="12791" width="35.42578125" customWidth="1"/>
    <col min="12792" max="12793" width="0" hidden="1" customWidth="1"/>
    <col min="12796" max="12796" width="17.42578125" customWidth="1"/>
    <col min="12797" max="12797" width="19.42578125" customWidth="1"/>
    <col min="12798" max="12798" width="0" hidden="1" customWidth="1"/>
    <col min="12799" max="12799" width="15.5703125" customWidth="1"/>
    <col min="12800" max="12800" width="17.5703125" customWidth="1"/>
    <col min="12801" max="12801" width="27.140625" customWidth="1"/>
    <col min="12802" max="12802" width="14.28515625" customWidth="1"/>
    <col min="13047" max="13047" width="35.42578125" customWidth="1"/>
    <col min="13048" max="13049" width="0" hidden="1" customWidth="1"/>
    <col min="13052" max="13052" width="17.42578125" customWidth="1"/>
    <col min="13053" max="13053" width="19.42578125" customWidth="1"/>
    <col min="13054" max="13054" width="0" hidden="1" customWidth="1"/>
    <col min="13055" max="13055" width="15.5703125" customWidth="1"/>
    <col min="13056" max="13056" width="17.5703125" customWidth="1"/>
    <col min="13057" max="13057" width="27.140625" customWidth="1"/>
    <col min="13058" max="13058" width="14.28515625" customWidth="1"/>
    <col min="13303" max="13303" width="35.42578125" customWidth="1"/>
    <col min="13304" max="13305" width="0" hidden="1" customWidth="1"/>
    <col min="13308" max="13308" width="17.42578125" customWidth="1"/>
    <col min="13309" max="13309" width="19.42578125" customWidth="1"/>
    <col min="13310" max="13310" width="0" hidden="1" customWidth="1"/>
    <col min="13311" max="13311" width="15.5703125" customWidth="1"/>
    <col min="13312" max="13312" width="17.5703125" customWidth="1"/>
    <col min="13313" max="13313" width="27.140625" customWidth="1"/>
    <col min="13314" max="13314" width="14.28515625" customWidth="1"/>
    <col min="13559" max="13559" width="35.42578125" customWidth="1"/>
    <col min="13560" max="13561" width="0" hidden="1" customWidth="1"/>
    <col min="13564" max="13564" width="17.42578125" customWidth="1"/>
    <col min="13565" max="13565" width="19.42578125" customWidth="1"/>
    <col min="13566" max="13566" width="0" hidden="1" customWidth="1"/>
    <col min="13567" max="13567" width="15.5703125" customWidth="1"/>
    <col min="13568" max="13568" width="17.5703125" customWidth="1"/>
    <col min="13569" max="13569" width="27.140625" customWidth="1"/>
    <col min="13570" max="13570" width="14.28515625" customWidth="1"/>
    <col min="13815" max="13815" width="35.42578125" customWidth="1"/>
    <col min="13816" max="13817" width="0" hidden="1" customWidth="1"/>
    <col min="13820" max="13820" width="17.42578125" customWidth="1"/>
    <col min="13821" max="13821" width="19.42578125" customWidth="1"/>
    <col min="13822" max="13822" width="0" hidden="1" customWidth="1"/>
    <col min="13823" max="13823" width="15.5703125" customWidth="1"/>
    <col min="13824" max="13824" width="17.5703125" customWidth="1"/>
    <col min="13825" max="13825" width="27.140625" customWidth="1"/>
    <col min="13826" max="13826" width="14.28515625" customWidth="1"/>
    <col min="14071" max="14071" width="35.42578125" customWidth="1"/>
    <col min="14072" max="14073" width="0" hidden="1" customWidth="1"/>
    <col min="14076" max="14076" width="17.42578125" customWidth="1"/>
    <col min="14077" max="14077" width="19.42578125" customWidth="1"/>
    <col min="14078" max="14078" width="0" hidden="1" customWidth="1"/>
    <col min="14079" max="14079" width="15.5703125" customWidth="1"/>
    <col min="14080" max="14080" width="17.5703125" customWidth="1"/>
    <col min="14081" max="14081" width="27.140625" customWidth="1"/>
    <col min="14082" max="14082" width="14.28515625" customWidth="1"/>
    <col min="14327" max="14327" width="35.42578125" customWidth="1"/>
    <col min="14328" max="14329" width="0" hidden="1" customWidth="1"/>
    <col min="14332" max="14332" width="17.42578125" customWidth="1"/>
    <col min="14333" max="14333" width="19.42578125" customWidth="1"/>
    <col min="14334" max="14334" width="0" hidden="1" customWidth="1"/>
    <col min="14335" max="14335" width="15.5703125" customWidth="1"/>
    <col min="14336" max="14336" width="17.5703125" customWidth="1"/>
    <col min="14337" max="14337" width="27.140625" customWidth="1"/>
    <col min="14338" max="14338" width="14.28515625" customWidth="1"/>
    <col min="14583" max="14583" width="35.42578125" customWidth="1"/>
    <col min="14584" max="14585" width="0" hidden="1" customWidth="1"/>
    <col min="14588" max="14588" width="17.42578125" customWidth="1"/>
    <col min="14589" max="14589" width="19.42578125" customWidth="1"/>
    <col min="14590" max="14590" width="0" hidden="1" customWidth="1"/>
    <col min="14591" max="14591" width="15.5703125" customWidth="1"/>
    <col min="14592" max="14592" width="17.5703125" customWidth="1"/>
    <col min="14593" max="14593" width="27.140625" customWidth="1"/>
    <col min="14594" max="14594" width="14.28515625" customWidth="1"/>
    <col min="14839" max="14839" width="35.42578125" customWidth="1"/>
    <col min="14840" max="14841" width="0" hidden="1" customWidth="1"/>
    <col min="14844" max="14844" width="17.42578125" customWidth="1"/>
    <col min="14845" max="14845" width="19.42578125" customWidth="1"/>
    <col min="14846" max="14846" width="0" hidden="1" customWidth="1"/>
    <col min="14847" max="14847" width="15.5703125" customWidth="1"/>
    <col min="14848" max="14848" width="17.5703125" customWidth="1"/>
    <col min="14849" max="14849" width="27.140625" customWidth="1"/>
    <col min="14850" max="14850" width="14.28515625" customWidth="1"/>
    <col min="15095" max="15095" width="35.42578125" customWidth="1"/>
    <col min="15096" max="15097" width="0" hidden="1" customWidth="1"/>
    <col min="15100" max="15100" width="17.42578125" customWidth="1"/>
    <col min="15101" max="15101" width="19.42578125" customWidth="1"/>
    <col min="15102" max="15102" width="0" hidden="1" customWidth="1"/>
    <col min="15103" max="15103" width="15.5703125" customWidth="1"/>
    <col min="15104" max="15104" width="17.5703125" customWidth="1"/>
    <col min="15105" max="15105" width="27.140625" customWidth="1"/>
    <col min="15106" max="15106" width="14.28515625" customWidth="1"/>
    <col min="15351" max="15351" width="35.42578125" customWidth="1"/>
    <col min="15352" max="15353" width="0" hidden="1" customWidth="1"/>
    <col min="15356" max="15356" width="17.42578125" customWidth="1"/>
    <col min="15357" max="15357" width="19.42578125" customWidth="1"/>
    <col min="15358" max="15358" width="0" hidden="1" customWidth="1"/>
    <col min="15359" max="15359" width="15.5703125" customWidth="1"/>
    <col min="15360" max="15360" width="17.5703125" customWidth="1"/>
    <col min="15361" max="15361" width="27.140625" customWidth="1"/>
    <col min="15362" max="15362" width="14.28515625" customWidth="1"/>
    <col min="15607" max="15607" width="35.42578125" customWidth="1"/>
    <col min="15608" max="15609" width="0" hidden="1" customWidth="1"/>
    <col min="15612" max="15612" width="17.42578125" customWidth="1"/>
    <col min="15613" max="15613" width="19.42578125" customWidth="1"/>
    <col min="15614" max="15614" width="0" hidden="1" customWidth="1"/>
    <col min="15615" max="15615" width="15.5703125" customWidth="1"/>
    <col min="15616" max="15616" width="17.5703125" customWidth="1"/>
    <col min="15617" max="15617" width="27.140625" customWidth="1"/>
    <col min="15618" max="15618" width="14.28515625" customWidth="1"/>
    <col min="15863" max="15863" width="35.42578125" customWidth="1"/>
    <col min="15864" max="15865" width="0" hidden="1" customWidth="1"/>
    <col min="15868" max="15868" width="17.42578125" customWidth="1"/>
    <col min="15869" max="15869" width="19.42578125" customWidth="1"/>
    <col min="15870" max="15870" width="0" hidden="1" customWidth="1"/>
    <col min="15871" max="15871" width="15.5703125" customWidth="1"/>
    <col min="15872" max="15872" width="17.5703125" customWidth="1"/>
    <col min="15873" max="15873" width="27.140625" customWidth="1"/>
    <col min="15874" max="15874" width="14.28515625" customWidth="1"/>
    <col min="16119" max="16119" width="35.42578125" customWidth="1"/>
    <col min="16120" max="16121" width="0" hidden="1" customWidth="1"/>
    <col min="16124" max="16124" width="17.42578125" customWidth="1"/>
    <col min="16125" max="16125" width="19.42578125" customWidth="1"/>
    <col min="16126" max="16126" width="0" hidden="1" customWidth="1"/>
    <col min="16127" max="16127" width="15.5703125" customWidth="1"/>
    <col min="16128" max="16128" width="17.5703125" customWidth="1"/>
    <col min="16129" max="16129" width="27.140625" customWidth="1"/>
    <col min="16130" max="16130" width="14.28515625" customWidth="1"/>
  </cols>
  <sheetData>
    <row r="1" spans="1:17" s="1" customFormat="1" ht="16.5" customHeight="1">
      <c r="A1" s="2311" t="s">
        <v>181</v>
      </c>
      <c r="B1" s="2311"/>
      <c r="C1" s="2311"/>
      <c r="D1" s="2311"/>
      <c r="E1" s="2311"/>
      <c r="F1" s="2311"/>
      <c r="G1" s="2311"/>
      <c r="H1" s="2311"/>
      <c r="K1" s="807"/>
      <c r="M1" s="1663"/>
    </row>
    <row r="2" spans="1:17" s="1" customFormat="1" ht="17.25" customHeight="1">
      <c r="A2" s="2409" t="s">
        <v>384</v>
      </c>
      <c r="B2" s="2409"/>
      <c r="C2" s="2409"/>
      <c r="D2" s="2409"/>
      <c r="E2" s="2409"/>
      <c r="F2" s="2409"/>
      <c r="G2" s="2409"/>
      <c r="H2" s="2409"/>
      <c r="K2" s="807"/>
      <c r="M2" s="1663"/>
    </row>
    <row r="3" spans="1:17" ht="21.75" thickBot="1">
      <c r="B3" s="123"/>
      <c r="M3" s="1664"/>
      <c r="N3" s="418"/>
      <c r="O3" s="418"/>
      <c r="P3" s="418"/>
      <c r="Q3" s="1"/>
    </row>
    <row r="4" spans="1:17" ht="15" customHeight="1">
      <c r="A4" s="2369" t="s">
        <v>394</v>
      </c>
      <c r="B4" s="2418" t="s">
        <v>290</v>
      </c>
      <c r="C4" s="2410">
        <v>2022</v>
      </c>
      <c r="D4" s="2410"/>
      <c r="E4" s="2410"/>
      <c r="F4" s="2410"/>
      <c r="G4" s="2410"/>
      <c r="H4" s="2421" t="s">
        <v>10</v>
      </c>
      <c r="J4" s="2344" t="s">
        <v>1005</v>
      </c>
      <c r="K4" s="829"/>
      <c r="L4" s="2313" t="s">
        <v>1006</v>
      </c>
      <c r="M4" s="1664"/>
      <c r="N4" s="418"/>
      <c r="O4" s="418"/>
      <c r="P4" s="418"/>
      <c r="Q4" s="1"/>
    </row>
    <row r="5" spans="1:17" ht="15" customHeight="1">
      <c r="A5" s="2370"/>
      <c r="B5" s="2419"/>
      <c r="C5" s="2411" t="s">
        <v>200</v>
      </c>
      <c r="D5" s="2413" t="s">
        <v>201</v>
      </c>
      <c r="E5" s="2415" t="s">
        <v>199</v>
      </c>
      <c r="F5" s="2415"/>
      <c r="G5" s="2415"/>
      <c r="H5" s="2422"/>
      <c r="J5" s="2345"/>
      <c r="K5" s="829"/>
      <c r="L5" s="2314"/>
      <c r="M5" s="1664"/>
      <c r="N5" s="418"/>
      <c r="O5" s="418"/>
      <c r="P5" s="418"/>
      <c r="Q5" s="1"/>
    </row>
    <row r="6" spans="1:17" ht="26.25" thickBot="1">
      <c r="A6" s="2371"/>
      <c r="B6" s="2420"/>
      <c r="C6" s="2412"/>
      <c r="D6" s="2414"/>
      <c r="E6" s="589" t="s">
        <v>202</v>
      </c>
      <c r="F6" s="589" t="s">
        <v>204</v>
      </c>
      <c r="G6" s="589" t="s">
        <v>926</v>
      </c>
      <c r="H6" s="2423"/>
      <c r="J6" s="815" t="s">
        <v>1011</v>
      </c>
      <c r="K6" s="829"/>
      <c r="L6" s="2334"/>
      <c r="M6" s="1664"/>
      <c r="N6" s="418"/>
      <c r="O6" s="418"/>
      <c r="P6" s="418"/>
      <c r="Q6" s="1"/>
    </row>
    <row r="7" spans="1:17" ht="26.25" thickBot="1">
      <c r="A7" s="209">
        <v>3202005</v>
      </c>
      <c r="B7" s="585" t="s">
        <v>292</v>
      </c>
      <c r="C7" s="586" t="s">
        <v>215</v>
      </c>
      <c r="D7" s="586">
        <v>100</v>
      </c>
      <c r="E7" s="587">
        <f>+E8</f>
        <v>120228593</v>
      </c>
      <c r="F7" s="587">
        <f>+F8</f>
        <v>0</v>
      </c>
      <c r="G7" s="587">
        <f>+G8</f>
        <v>0</v>
      </c>
      <c r="H7" s="588">
        <f>+'ACCIONES 320203'!J7</f>
        <v>120228593</v>
      </c>
      <c r="I7" s="50">
        <f>+(E7+F7+G7)-H7</f>
        <v>0</v>
      </c>
      <c r="J7" s="877">
        <f>+'ACCIONES 320203'!L7</f>
        <v>0</v>
      </c>
      <c r="K7" s="874"/>
      <c r="L7" s="877">
        <f>+'ACCIONES 320203'!N7</f>
        <v>120228593</v>
      </c>
      <c r="M7" s="1664"/>
      <c r="N7" s="418"/>
      <c r="O7" s="418"/>
      <c r="P7" s="418"/>
      <c r="Q7" s="1"/>
    </row>
    <row r="8" spans="1:17" ht="101.25" customHeight="1" thickBot="1">
      <c r="B8" s="570" t="s">
        <v>41</v>
      </c>
      <c r="C8" s="571" t="s">
        <v>293</v>
      </c>
      <c r="D8" s="571">
        <v>50</v>
      </c>
      <c r="E8" s="572">
        <f>+'ACCIONES 320203'!G8</f>
        <v>120228593</v>
      </c>
      <c r="F8" s="572">
        <f>+'ACCIONES 320203'!H8</f>
        <v>0</v>
      </c>
      <c r="G8" s="572">
        <f>+'ACCIONES 320203'!I8</f>
        <v>0</v>
      </c>
      <c r="H8" s="572">
        <f>+'ACCIONES 320203'!J8</f>
        <v>120228593</v>
      </c>
      <c r="I8" s="50">
        <f t="shared" ref="I8:I20" si="0">+(E8+F8+G8)-H8</f>
        <v>0</v>
      </c>
      <c r="J8" s="878">
        <f>+'ACCIONES 320203'!L8</f>
        <v>0</v>
      </c>
      <c r="K8" s="875"/>
      <c r="L8" s="878">
        <f>+'ACCIONES 320203'!N8</f>
        <v>120228593</v>
      </c>
    </row>
    <row r="9" spans="1:17" ht="51.75" thickBot="1">
      <c r="A9" s="210">
        <v>3202006</v>
      </c>
      <c r="B9" s="575" t="s">
        <v>60</v>
      </c>
      <c r="C9" s="576" t="s">
        <v>215</v>
      </c>
      <c r="D9" s="576">
        <v>100</v>
      </c>
      <c r="E9" s="577">
        <f>+E10+E11</f>
        <v>154164149</v>
      </c>
      <c r="F9" s="577">
        <f>+F10+F11</f>
        <v>13258003</v>
      </c>
      <c r="G9" s="577">
        <f>+G10+G11</f>
        <v>172312085</v>
      </c>
      <c r="H9" s="578">
        <f>+'ACCIONES 320203'!J10</f>
        <v>339734237</v>
      </c>
      <c r="I9" s="50">
        <f t="shared" si="0"/>
        <v>0</v>
      </c>
      <c r="J9" s="879">
        <f>+'ACCIONES 320203'!L10</f>
        <v>0</v>
      </c>
      <c r="K9" s="874"/>
      <c r="L9" s="879">
        <f>+'ACCIONES 320203'!N10</f>
        <v>339734237</v>
      </c>
    </row>
    <row r="10" spans="1:17" ht="63.75">
      <c r="B10" s="573" t="s">
        <v>294</v>
      </c>
      <c r="C10" s="574" t="s">
        <v>293</v>
      </c>
      <c r="D10" s="574">
        <v>20</v>
      </c>
      <c r="E10" s="569">
        <f>+'ACCIONES 320203'!G11</f>
        <v>154164149</v>
      </c>
      <c r="F10" s="569">
        <f>+'ACCIONES 320203'!H11</f>
        <v>0</v>
      </c>
      <c r="G10" s="569">
        <f>+'ACCIONES 320203'!I11</f>
        <v>91426291</v>
      </c>
      <c r="H10" s="569">
        <f>+'ACCIONES 320203'!J11</f>
        <v>245590440</v>
      </c>
      <c r="I10" s="50">
        <f t="shared" si="0"/>
        <v>0</v>
      </c>
      <c r="J10" s="880">
        <f>+'ACCIONES 320203'!L11</f>
        <v>0</v>
      </c>
      <c r="K10" s="874"/>
      <c r="L10" s="880">
        <f>+'ACCIONES 320203'!N11</f>
        <v>245590440</v>
      </c>
    </row>
    <row r="11" spans="1:17" ht="64.5" thickBot="1">
      <c r="B11" s="579" t="s">
        <v>295</v>
      </c>
      <c r="C11" s="308" t="s">
        <v>293</v>
      </c>
      <c r="D11" s="308">
        <v>60</v>
      </c>
      <c r="E11" s="214">
        <f>+'ACCIONES 320203'!G17</f>
        <v>0</v>
      </c>
      <c r="F11" s="214">
        <f>+'ACCIONES 320203'!H17</f>
        <v>13258003</v>
      </c>
      <c r="G11" s="214">
        <f>+'ACCIONES 320203'!I17</f>
        <v>80885794</v>
      </c>
      <c r="H11" s="214">
        <f>+'ACCIONES 320203'!J17</f>
        <v>94143797</v>
      </c>
      <c r="I11" s="50">
        <f t="shared" si="0"/>
        <v>0</v>
      </c>
      <c r="J11" s="881">
        <f>+'ACCIONES 320203'!L17</f>
        <v>0</v>
      </c>
      <c r="K11" s="874"/>
      <c r="L11" s="881">
        <f>+'ACCIONES 320203'!N17</f>
        <v>94143797</v>
      </c>
    </row>
    <row r="12" spans="1:17" ht="39.75" customHeight="1" thickBot="1">
      <c r="A12" s="210">
        <v>3202006</v>
      </c>
      <c r="B12" s="575" t="s">
        <v>42</v>
      </c>
      <c r="C12" s="576" t="s">
        <v>296</v>
      </c>
      <c r="D12" s="576">
        <v>300</v>
      </c>
      <c r="E12" s="577">
        <f>+E13+E14</f>
        <v>182234366</v>
      </c>
      <c r="F12" s="577">
        <f>+F13+F14</f>
        <v>0</v>
      </c>
      <c r="G12" s="577">
        <f>+G13+G14</f>
        <v>0</v>
      </c>
      <c r="H12" s="578">
        <f>+'ACCIONES 320203'!J21</f>
        <v>182234366</v>
      </c>
      <c r="I12" s="50">
        <f t="shared" si="0"/>
        <v>0</v>
      </c>
      <c r="J12" s="879">
        <f>+'ACCIONES 320203'!L21</f>
        <v>0</v>
      </c>
      <c r="K12" s="874"/>
      <c r="L12" s="879">
        <f>+'ACCIONES 320203'!N21</f>
        <v>182234366</v>
      </c>
    </row>
    <row r="13" spans="1:17" ht="76.5">
      <c r="B13" s="51" t="s">
        <v>297</v>
      </c>
      <c r="C13" s="580" t="s">
        <v>298</v>
      </c>
      <c r="D13" s="580">
        <v>30000</v>
      </c>
      <c r="E13" s="569">
        <f>+'ACCIONES 320203'!G22</f>
        <v>182234366</v>
      </c>
      <c r="F13" s="569">
        <f>+'ACCIONES 320203'!H22</f>
        <v>0</v>
      </c>
      <c r="G13" s="569">
        <f>+'ACCIONES 320203'!I22</f>
        <v>0</v>
      </c>
      <c r="H13" s="569">
        <f>+'ACCIONES 320203'!J22</f>
        <v>182234366</v>
      </c>
      <c r="I13" s="50">
        <f t="shared" si="0"/>
        <v>0</v>
      </c>
      <c r="J13" s="880">
        <f>+'ACCIONES 320203'!L22</f>
        <v>0</v>
      </c>
      <c r="K13" s="874"/>
      <c r="L13" s="880">
        <f>+'ACCIONES 320203'!N22</f>
        <v>182234366</v>
      </c>
    </row>
    <row r="14" spans="1:17" ht="26.25" thickBot="1">
      <c r="B14" s="49" t="s">
        <v>299</v>
      </c>
      <c r="C14" s="45" t="s">
        <v>211</v>
      </c>
      <c r="D14" s="192">
        <f>+'ACCIONES 320203'!F26</f>
        <v>0</v>
      </c>
      <c r="E14" s="192">
        <f>+'ACCIONES 320203'!G26</f>
        <v>0</v>
      </c>
      <c r="F14" s="192">
        <f>+'ACCIONES 320203'!H26</f>
        <v>0</v>
      </c>
      <c r="G14" s="192">
        <f>+'ACCIONES 320203'!I26</f>
        <v>0</v>
      </c>
      <c r="H14" s="192">
        <f>+'ACCIONES 320203'!J26</f>
        <v>0</v>
      </c>
      <c r="I14" s="50">
        <f t="shared" si="0"/>
        <v>0</v>
      </c>
      <c r="J14" s="882">
        <f>+'ACCIONES 320203'!L26</f>
        <v>0</v>
      </c>
      <c r="K14" s="874"/>
      <c r="L14" s="882">
        <f>+'ACCIONES 320203'!N26</f>
        <v>0</v>
      </c>
    </row>
    <row r="15" spans="1:17" ht="51.75" thickBot="1">
      <c r="A15" s="210">
        <v>3202006</v>
      </c>
      <c r="B15" s="46" t="s">
        <v>43</v>
      </c>
      <c r="C15" s="47" t="s">
        <v>215</v>
      </c>
      <c r="D15" s="47">
        <v>100</v>
      </c>
      <c r="E15" s="48">
        <f>+E16</f>
        <v>97327818</v>
      </c>
      <c r="F15" s="48">
        <f>+F16</f>
        <v>0</v>
      </c>
      <c r="G15" s="48">
        <f>+G16</f>
        <v>200373217</v>
      </c>
      <c r="H15" s="122">
        <f>+'ACCIONES 320203'!J28</f>
        <v>297701035</v>
      </c>
      <c r="I15" s="50">
        <f t="shared" si="0"/>
        <v>0</v>
      </c>
      <c r="J15" s="883">
        <f>+'ACCIONES 320203'!L28</f>
        <v>0</v>
      </c>
      <c r="K15" s="874"/>
      <c r="L15" s="883">
        <f>+'ACCIONES 320203'!N28</f>
        <v>297701035</v>
      </c>
    </row>
    <row r="16" spans="1:17" ht="115.5" thickBot="1">
      <c r="B16" s="579" t="s">
        <v>300</v>
      </c>
      <c r="C16" s="581" t="s">
        <v>298</v>
      </c>
      <c r="D16" s="581">
        <v>127742</v>
      </c>
      <c r="E16" s="214">
        <f>+'ACCIONES 320203'!G29</f>
        <v>97327818</v>
      </c>
      <c r="F16" s="214">
        <f>+'ACCIONES 320203'!H29</f>
        <v>0</v>
      </c>
      <c r="G16" s="214">
        <f>+'ACCIONES 320203'!I29</f>
        <v>200373217</v>
      </c>
      <c r="H16" s="214">
        <f>+'ACCIONES 320203'!J29</f>
        <v>297701035</v>
      </c>
      <c r="I16" s="50">
        <f t="shared" si="0"/>
        <v>0</v>
      </c>
      <c r="J16" s="881">
        <f>+'ACCIONES 320203'!L29</f>
        <v>0</v>
      </c>
      <c r="K16" s="874"/>
      <c r="L16" s="881">
        <f>+'ACCIONES 320203'!N29</f>
        <v>297701035</v>
      </c>
    </row>
    <row r="17" spans="1:12" ht="64.5" thickBot="1">
      <c r="A17" s="210">
        <v>3202043</v>
      </c>
      <c r="B17" s="575" t="s">
        <v>44</v>
      </c>
      <c r="C17" s="584" t="s">
        <v>293</v>
      </c>
      <c r="D17" s="584">
        <v>500</v>
      </c>
      <c r="E17" s="577">
        <f>+E18+E19</f>
        <v>188818924</v>
      </c>
      <c r="F17" s="577">
        <f>+F18+F19</f>
        <v>0</v>
      </c>
      <c r="G17" s="577">
        <f>+G18+G19</f>
        <v>1055263</v>
      </c>
      <c r="H17" s="578">
        <f>+'ACCIONES 320203'!J32</f>
        <v>189874187</v>
      </c>
      <c r="I17" s="50">
        <f t="shared" si="0"/>
        <v>0</v>
      </c>
      <c r="J17" s="879">
        <f>+'ACCIONES 320203'!L32</f>
        <v>26459577</v>
      </c>
      <c r="K17" s="874"/>
      <c r="L17" s="879">
        <f>+'ACCIONES 320203'!N32</f>
        <v>216333764</v>
      </c>
    </row>
    <row r="18" spans="1:12" ht="51">
      <c r="B18" s="582" t="s">
        <v>452</v>
      </c>
      <c r="C18" s="583" t="s">
        <v>293</v>
      </c>
      <c r="D18" s="583">
        <v>110</v>
      </c>
      <c r="E18" s="569">
        <f>+'ACCIONES 320203'!G33</f>
        <v>188818924</v>
      </c>
      <c r="F18" s="569">
        <f>+'ACCIONES 320203'!H33</f>
        <v>0</v>
      </c>
      <c r="G18" s="569">
        <f>+'ACCIONES 320203'!I33</f>
        <v>1055263</v>
      </c>
      <c r="H18" s="569">
        <f>+'ACCIONES 320203'!J33</f>
        <v>189874187</v>
      </c>
      <c r="I18" s="50">
        <f t="shared" si="0"/>
        <v>0</v>
      </c>
      <c r="J18" s="880">
        <f>+'ACCIONES 320203'!L33</f>
        <v>26459577</v>
      </c>
      <c r="K18" s="874"/>
      <c r="L18" s="880">
        <f>+'ACCIONES 320203'!N33</f>
        <v>216333764</v>
      </c>
    </row>
    <row r="19" spans="1:12" ht="15.75" thickBot="1">
      <c r="B19" s="211"/>
      <c r="C19" s="212"/>
      <c r="D19" s="212"/>
      <c r="E19" s="213"/>
      <c r="F19" s="213"/>
      <c r="G19" s="213"/>
      <c r="H19" s="214"/>
      <c r="I19" s="50">
        <f t="shared" si="0"/>
        <v>0</v>
      </c>
      <c r="J19" s="881"/>
      <c r="K19" s="874"/>
      <c r="L19" s="884"/>
    </row>
    <row r="20" spans="1:12" ht="16.5" thickBot="1">
      <c r="B20" s="2416" t="s">
        <v>278</v>
      </c>
      <c r="C20" s="2417"/>
      <c r="D20" s="2417"/>
      <c r="E20" s="1438">
        <f>+E17+E15+E12+E9+E7</f>
        <v>742773850</v>
      </c>
      <c r="F20" s="1438">
        <f>+F17+F15+F12+F9+F7</f>
        <v>13258003</v>
      </c>
      <c r="G20" s="1438">
        <f>+G17+G15+G12+G9+G7</f>
        <v>373740565</v>
      </c>
      <c r="H20" s="1439">
        <f>+H17+H15+H12+H9+H7</f>
        <v>1129772418</v>
      </c>
      <c r="I20" s="50">
        <f t="shared" si="0"/>
        <v>0</v>
      </c>
      <c r="J20" s="1440">
        <f>+'ACCIONES 320203'!L35</f>
        <v>26459577</v>
      </c>
      <c r="K20" s="876"/>
      <c r="L20" s="1440">
        <f>+'ACCIONES 320203'!N35</f>
        <v>1156231995</v>
      </c>
    </row>
    <row r="21" spans="1:12">
      <c r="H21" s="193"/>
      <c r="J21" s="193"/>
      <c r="L21" s="193"/>
    </row>
    <row r="22" spans="1:12" ht="15.75" thickBot="1">
      <c r="E22" s="50"/>
      <c r="G22" s="504"/>
      <c r="J22" s="816"/>
      <c r="L22" s="816"/>
    </row>
    <row r="23" spans="1:12" ht="15.75" thickBot="1">
      <c r="E23" s="1228">
        <v>742773850</v>
      </c>
      <c r="F23" s="742">
        <v>13258003</v>
      </c>
      <c r="G23" s="742">
        <v>373740565</v>
      </c>
      <c r="H23" s="1229">
        <v>1129772418.1903043</v>
      </c>
      <c r="J23" s="1227">
        <v>26459577</v>
      </c>
      <c r="L23" s="1227">
        <v>1156231995</v>
      </c>
    </row>
    <row r="24" spans="1:12">
      <c r="G24" s="505"/>
      <c r="J24" s="816"/>
      <c r="L24" s="816"/>
    </row>
    <row r="25" spans="1:12">
      <c r="E25" s="50">
        <f>+E23-E20</f>
        <v>0</v>
      </c>
      <c r="F25" s="50">
        <f t="shared" ref="F25:H25" si="1">+F23-F20</f>
        <v>0</v>
      </c>
      <c r="G25" s="50">
        <f t="shared" si="1"/>
        <v>0</v>
      </c>
      <c r="H25" s="50">
        <f t="shared" si="1"/>
        <v>0.19030427932739258</v>
      </c>
      <c r="J25" s="50">
        <f>+J23-J20</f>
        <v>0</v>
      </c>
      <c r="L25" s="50">
        <f t="shared" ref="L25" si="2">+L23-L20</f>
        <v>0</v>
      </c>
    </row>
  </sheetData>
  <mergeCells count="12">
    <mergeCell ref="J4:J5"/>
    <mergeCell ref="L4:L6"/>
    <mergeCell ref="B20:D20"/>
    <mergeCell ref="B4:B6"/>
    <mergeCell ref="H4:H6"/>
    <mergeCell ref="A1:H1"/>
    <mergeCell ref="A2:H2"/>
    <mergeCell ref="C4:G4"/>
    <mergeCell ref="C5:C6"/>
    <mergeCell ref="D5:D6"/>
    <mergeCell ref="E5:G5"/>
    <mergeCell ref="A4:A6"/>
  </mergeCells>
  <pageMargins left="0.7" right="0.7" top="0.75" bottom="0.75" header="0.3" footer="0.3"/>
  <pageSetup orientation="portrait" verticalDpi="597"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theme="7" tint="0.59999389629810485"/>
  </sheetPr>
  <dimension ref="A1:S45"/>
  <sheetViews>
    <sheetView zoomScale="87" zoomScaleNormal="87" workbookViewId="0">
      <pane ySplit="6" topLeftCell="A19" activePane="bottomLeft" state="frozen"/>
      <selection pane="bottomLeft" activeCell="J53" sqref="J53"/>
    </sheetView>
  </sheetViews>
  <sheetFormatPr baseColWidth="10" defaultRowHeight="15"/>
  <cols>
    <col min="1" max="1" width="39.85546875" style="302" customWidth="1"/>
    <col min="2" max="2" width="19.5703125" style="302" customWidth="1"/>
    <col min="3" max="3" width="12.7109375" style="302" customWidth="1"/>
    <col min="4" max="5" width="11.42578125" style="453" customWidth="1"/>
    <col min="6" max="6" width="16" style="355" customWidth="1"/>
    <col min="7" max="7" width="17.5703125" style="355" customWidth="1"/>
    <col min="8" max="8" width="13.28515625" style="355" customWidth="1"/>
    <col min="9" max="9" width="26.140625" style="355" customWidth="1"/>
    <col min="10" max="10" width="24.7109375" style="302" customWidth="1"/>
    <col min="11" max="11" width="0.5703125" style="302" customWidth="1"/>
    <col min="12" max="12" width="17.42578125" style="302" customWidth="1"/>
    <col min="13" max="13" width="0.42578125" style="866" customWidth="1"/>
    <col min="14" max="14" width="18.140625" style="302" customWidth="1"/>
    <col min="15" max="16" width="11.42578125" style="302"/>
    <col min="17" max="17" width="28.42578125" style="302" customWidth="1"/>
    <col min="18" max="254" width="11.42578125" style="302"/>
    <col min="255" max="255" width="39.85546875" style="302" customWidth="1"/>
    <col min="256" max="256" width="30.140625" style="302" customWidth="1"/>
    <col min="257" max="257" width="0" style="302" hidden="1" customWidth="1"/>
    <col min="258" max="258" width="16.140625" style="302" customWidth="1"/>
    <col min="259" max="260" width="11.42578125" style="302"/>
    <col min="261" max="264" width="14.85546875" style="302" customWidth="1"/>
    <col min="265" max="266" width="16.85546875" style="302" customWidth="1"/>
    <col min="267" max="267" width="11.42578125" style="302"/>
    <col min="268" max="268" width="0" style="302" hidden="1" customWidth="1"/>
    <col min="269" max="510" width="11.42578125" style="302"/>
    <col min="511" max="511" width="39.85546875" style="302" customWidth="1"/>
    <col min="512" max="512" width="30.140625" style="302" customWidth="1"/>
    <col min="513" max="513" width="0" style="302" hidden="1" customWidth="1"/>
    <col min="514" max="514" width="16.140625" style="302" customWidth="1"/>
    <col min="515" max="516" width="11.42578125" style="302"/>
    <col min="517" max="520" width="14.85546875" style="302" customWidth="1"/>
    <col min="521" max="522" width="16.85546875" style="302" customWidth="1"/>
    <col min="523" max="523" width="11.42578125" style="302"/>
    <col min="524" max="524" width="0" style="302" hidden="1" customWidth="1"/>
    <col min="525" max="766" width="11.42578125" style="302"/>
    <col min="767" max="767" width="39.85546875" style="302" customWidth="1"/>
    <col min="768" max="768" width="30.140625" style="302" customWidth="1"/>
    <col min="769" max="769" width="0" style="302" hidden="1" customWidth="1"/>
    <col min="770" max="770" width="16.140625" style="302" customWidth="1"/>
    <col min="771" max="772" width="11.42578125" style="302"/>
    <col min="773" max="776" width="14.85546875" style="302" customWidth="1"/>
    <col min="777" max="778" width="16.85546875" style="302" customWidth="1"/>
    <col min="779" max="779" width="11.42578125" style="302"/>
    <col min="780" max="780" width="0" style="302" hidden="1" customWidth="1"/>
    <col min="781" max="1022" width="11.42578125" style="302"/>
    <col min="1023" max="1023" width="39.85546875" style="302" customWidth="1"/>
    <col min="1024" max="1024" width="30.140625" style="302" customWidth="1"/>
    <col min="1025" max="1025" width="0" style="302" hidden="1" customWidth="1"/>
    <col min="1026" max="1026" width="16.140625" style="302" customWidth="1"/>
    <col min="1027" max="1028" width="11.42578125" style="302"/>
    <col min="1029" max="1032" width="14.85546875" style="302" customWidth="1"/>
    <col min="1033" max="1034" width="16.85546875" style="302" customWidth="1"/>
    <col min="1035" max="1035" width="11.42578125" style="302"/>
    <col min="1036" max="1036" width="0" style="302" hidden="1" customWidth="1"/>
    <col min="1037" max="1278" width="11.42578125" style="302"/>
    <col min="1279" max="1279" width="39.85546875" style="302" customWidth="1"/>
    <col min="1280" max="1280" width="30.140625" style="302" customWidth="1"/>
    <col min="1281" max="1281" width="0" style="302" hidden="1" customWidth="1"/>
    <col min="1282" max="1282" width="16.140625" style="302" customWidth="1"/>
    <col min="1283" max="1284" width="11.42578125" style="302"/>
    <col min="1285" max="1288" width="14.85546875" style="302" customWidth="1"/>
    <col min="1289" max="1290" width="16.85546875" style="302" customWidth="1"/>
    <col min="1291" max="1291" width="11.42578125" style="302"/>
    <col min="1292" max="1292" width="0" style="302" hidden="1" customWidth="1"/>
    <col min="1293" max="1534" width="11.42578125" style="302"/>
    <col min="1535" max="1535" width="39.85546875" style="302" customWidth="1"/>
    <col min="1536" max="1536" width="30.140625" style="302" customWidth="1"/>
    <col min="1537" max="1537" width="0" style="302" hidden="1" customWidth="1"/>
    <col min="1538" max="1538" width="16.140625" style="302" customWidth="1"/>
    <col min="1539" max="1540" width="11.42578125" style="302"/>
    <col min="1541" max="1544" width="14.85546875" style="302" customWidth="1"/>
    <col min="1545" max="1546" width="16.85546875" style="302" customWidth="1"/>
    <col min="1547" max="1547" width="11.42578125" style="302"/>
    <col min="1548" max="1548" width="0" style="302" hidden="1" customWidth="1"/>
    <col min="1549" max="1790" width="11.42578125" style="302"/>
    <col min="1791" max="1791" width="39.85546875" style="302" customWidth="1"/>
    <col min="1792" max="1792" width="30.140625" style="302" customWidth="1"/>
    <col min="1793" max="1793" width="0" style="302" hidden="1" customWidth="1"/>
    <col min="1794" max="1794" width="16.140625" style="302" customWidth="1"/>
    <col min="1795" max="1796" width="11.42578125" style="302"/>
    <col min="1797" max="1800" width="14.85546875" style="302" customWidth="1"/>
    <col min="1801" max="1802" width="16.85546875" style="302" customWidth="1"/>
    <col min="1803" max="1803" width="11.42578125" style="302"/>
    <col min="1804" max="1804" width="0" style="302" hidden="1" customWidth="1"/>
    <col min="1805" max="2046" width="11.42578125" style="302"/>
    <col min="2047" max="2047" width="39.85546875" style="302" customWidth="1"/>
    <col min="2048" max="2048" width="30.140625" style="302" customWidth="1"/>
    <col min="2049" max="2049" width="0" style="302" hidden="1" customWidth="1"/>
    <col min="2050" max="2050" width="16.140625" style="302" customWidth="1"/>
    <col min="2051" max="2052" width="11.42578125" style="302"/>
    <col min="2053" max="2056" width="14.85546875" style="302" customWidth="1"/>
    <col min="2057" max="2058" width="16.85546875" style="302" customWidth="1"/>
    <col min="2059" max="2059" width="11.42578125" style="302"/>
    <col min="2060" max="2060" width="0" style="302" hidden="1" customWidth="1"/>
    <col min="2061" max="2302" width="11.42578125" style="302"/>
    <col min="2303" max="2303" width="39.85546875" style="302" customWidth="1"/>
    <col min="2304" max="2304" width="30.140625" style="302" customWidth="1"/>
    <col min="2305" max="2305" width="0" style="302" hidden="1" customWidth="1"/>
    <col min="2306" max="2306" width="16.140625" style="302" customWidth="1"/>
    <col min="2307" max="2308" width="11.42578125" style="302"/>
    <col min="2309" max="2312" width="14.85546875" style="302" customWidth="1"/>
    <col min="2313" max="2314" width="16.85546875" style="302" customWidth="1"/>
    <col min="2315" max="2315" width="11.42578125" style="302"/>
    <col min="2316" max="2316" width="0" style="302" hidden="1" customWidth="1"/>
    <col min="2317" max="2558" width="11.42578125" style="302"/>
    <col min="2559" max="2559" width="39.85546875" style="302" customWidth="1"/>
    <col min="2560" max="2560" width="30.140625" style="302" customWidth="1"/>
    <col min="2561" max="2561" width="0" style="302" hidden="1" customWidth="1"/>
    <col min="2562" max="2562" width="16.140625" style="302" customWidth="1"/>
    <col min="2563" max="2564" width="11.42578125" style="302"/>
    <col min="2565" max="2568" width="14.85546875" style="302" customWidth="1"/>
    <col min="2569" max="2570" width="16.85546875" style="302" customWidth="1"/>
    <col min="2571" max="2571" width="11.42578125" style="302"/>
    <col min="2572" max="2572" width="0" style="302" hidden="1" customWidth="1"/>
    <col min="2573" max="2814" width="11.42578125" style="302"/>
    <col min="2815" max="2815" width="39.85546875" style="302" customWidth="1"/>
    <col min="2816" max="2816" width="30.140625" style="302" customWidth="1"/>
    <col min="2817" max="2817" width="0" style="302" hidden="1" customWidth="1"/>
    <col min="2818" max="2818" width="16.140625" style="302" customWidth="1"/>
    <col min="2819" max="2820" width="11.42578125" style="302"/>
    <col min="2821" max="2824" width="14.85546875" style="302" customWidth="1"/>
    <col min="2825" max="2826" width="16.85546875" style="302" customWidth="1"/>
    <col min="2827" max="2827" width="11.42578125" style="302"/>
    <col min="2828" max="2828" width="0" style="302" hidden="1" customWidth="1"/>
    <col min="2829" max="3070" width="11.42578125" style="302"/>
    <col min="3071" max="3071" width="39.85546875" style="302" customWidth="1"/>
    <col min="3072" max="3072" width="30.140625" style="302" customWidth="1"/>
    <col min="3073" max="3073" width="0" style="302" hidden="1" customWidth="1"/>
    <col min="3074" max="3074" width="16.140625" style="302" customWidth="1"/>
    <col min="3075" max="3076" width="11.42578125" style="302"/>
    <col min="3077" max="3080" width="14.85546875" style="302" customWidth="1"/>
    <col min="3081" max="3082" width="16.85546875" style="302" customWidth="1"/>
    <col min="3083" max="3083" width="11.42578125" style="302"/>
    <col min="3084" max="3084" width="0" style="302" hidden="1" customWidth="1"/>
    <col min="3085" max="3326" width="11.42578125" style="302"/>
    <col min="3327" max="3327" width="39.85546875" style="302" customWidth="1"/>
    <col min="3328" max="3328" width="30.140625" style="302" customWidth="1"/>
    <col min="3329" max="3329" width="0" style="302" hidden="1" customWidth="1"/>
    <col min="3330" max="3330" width="16.140625" style="302" customWidth="1"/>
    <col min="3331" max="3332" width="11.42578125" style="302"/>
    <col min="3333" max="3336" width="14.85546875" style="302" customWidth="1"/>
    <col min="3337" max="3338" width="16.85546875" style="302" customWidth="1"/>
    <col min="3339" max="3339" width="11.42578125" style="302"/>
    <col min="3340" max="3340" width="0" style="302" hidden="1" customWidth="1"/>
    <col min="3341" max="3582" width="11.42578125" style="302"/>
    <col min="3583" max="3583" width="39.85546875" style="302" customWidth="1"/>
    <col min="3584" max="3584" width="30.140625" style="302" customWidth="1"/>
    <col min="3585" max="3585" width="0" style="302" hidden="1" customWidth="1"/>
    <col min="3586" max="3586" width="16.140625" style="302" customWidth="1"/>
    <col min="3587" max="3588" width="11.42578125" style="302"/>
    <col min="3589" max="3592" width="14.85546875" style="302" customWidth="1"/>
    <col min="3593" max="3594" width="16.85546875" style="302" customWidth="1"/>
    <col min="3595" max="3595" width="11.42578125" style="302"/>
    <col min="3596" max="3596" width="0" style="302" hidden="1" customWidth="1"/>
    <col min="3597" max="3838" width="11.42578125" style="302"/>
    <col min="3839" max="3839" width="39.85546875" style="302" customWidth="1"/>
    <col min="3840" max="3840" width="30.140625" style="302" customWidth="1"/>
    <col min="3841" max="3841" width="0" style="302" hidden="1" customWidth="1"/>
    <col min="3842" max="3842" width="16.140625" style="302" customWidth="1"/>
    <col min="3843" max="3844" width="11.42578125" style="302"/>
    <col min="3845" max="3848" width="14.85546875" style="302" customWidth="1"/>
    <col min="3849" max="3850" width="16.85546875" style="302" customWidth="1"/>
    <col min="3851" max="3851" width="11.42578125" style="302"/>
    <col min="3852" max="3852" width="0" style="302" hidden="1" customWidth="1"/>
    <col min="3853" max="4094" width="11.42578125" style="302"/>
    <col min="4095" max="4095" width="39.85546875" style="302" customWidth="1"/>
    <col min="4096" max="4096" width="30.140625" style="302" customWidth="1"/>
    <col min="4097" max="4097" width="0" style="302" hidden="1" customWidth="1"/>
    <col min="4098" max="4098" width="16.140625" style="302" customWidth="1"/>
    <col min="4099" max="4100" width="11.42578125" style="302"/>
    <col min="4101" max="4104" width="14.85546875" style="302" customWidth="1"/>
    <col min="4105" max="4106" width="16.85546875" style="302" customWidth="1"/>
    <col min="4107" max="4107" width="11.42578125" style="302"/>
    <col min="4108" max="4108" width="0" style="302" hidden="1" customWidth="1"/>
    <col min="4109" max="4350" width="11.42578125" style="302"/>
    <col min="4351" max="4351" width="39.85546875" style="302" customWidth="1"/>
    <col min="4352" max="4352" width="30.140625" style="302" customWidth="1"/>
    <col min="4353" max="4353" width="0" style="302" hidden="1" customWidth="1"/>
    <col min="4354" max="4354" width="16.140625" style="302" customWidth="1"/>
    <col min="4355" max="4356" width="11.42578125" style="302"/>
    <col min="4357" max="4360" width="14.85546875" style="302" customWidth="1"/>
    <col min="4361" max="4362" width="16.85546875" style="302" customWidth="1"/>
    <col min="4363" max="4363" width="11.42578125" style="302"/>
    <col min="4364" max="4364" width="0" style="302" hidden="1" customWidth="1"/>
    <col min="4365" max="4606" width="11.42578125" style="302"/>
    <col min="4607" max="4607" width="39.85546875" style="302" customWidth="1"/>
    <col min="4608" max="4608" width="30.140625" style="302" customWidth="1"/>
    <col min="4609" max="4609" width="0" style="302" hidden="1" customWidth="1"/>
    <col min="4610" max="4610" width="16.140625" style="302" customWidth="1"/>
    <col min="4611" max="4612" width="11.42578125" style="302"/>
    <col min="4613" max="4616" width="14.85546875" style="302" customWidth="1"/>
    <col min="4617" max="4618" width="16.85546875" style="302" customWidth="1"/>
    <col min="4619" max="4619" width="11.42578125" style="302"/>
    <col min="4620" max="4620" width="0" style="302" hidden="1" customWidth="1"/>
    <col min="4621" max="4862" width="11.42578125" style="302"/>
    <col min="4863" max="4863" width="39.85546875" style="302" customWidth="1"/>
    <col min="4864" max="4864" width="30.140625" style="302" customWidth="1"/>
    <col min="4865" max="4865" width="0" style="302" hidden="1" customWidth="1"/>
    <col min="4866" max="4866" width="16.140625" style="302" customWidth="1"/>
    <col min="4867" max="4868" width="11.42578125" style="302"/>
    <col min="4869" max="4872" width="14.85546875" style="302" customWidth="1"/>
    <col min="4873" max="4874" width="16.85546875" style="302" customWidth="1"/>
    <col min="4875" max="4875" width="11.42578125" style="302"/>
    <col min="4876" max="4876" width="0" style="302" hidden="1" customWidth="1"/>
    <col min="4877" max="5118" width="11.42578125" style="302"/>
    <col min="5119" max="5119" width="39.85546875" style="302" customWidth="1"/>
    <col min="5120" max="5120" width="30.140625" style="302" customWidth="1"/>
    <col min="5121" max="5121" width="0" style="302" hidden="1" customWidth="1"/>
    <col min="5122" max="5122" width="16.140625" style="302" customWidth="1"/>
    <col min="5123" max="5124" width="11.42578125" style="302"/>
    <col min="5125" max="5128" width="14.85546875" style="302" customWidth="1"/>
    <col min="5129" max="5130" width="16.85546875" style="302" customWidth="1"/>
    <col min="5131" max="5131" width="11.42578125" style="302"/>
    <col min="5132" max="5132" width="0" style="302" hidden="1" customWidth="1"/>
    <col min="5133" max="5374" width="11.42578125" style="302"/>
    <col min="5375" max="5375" width="39.85546875" style="302" customWidth="1"/>
    <col min="5376" max="5376" width="30.140625" style="302" customWidth="1"/>
    <col min="5377" max="5377" width="0" style="302" hidden="1" customWidth="1"/>
    <col min="5378" max="5378" width="16.140625" style="302" customWidth="1"/>
    <col min="5379" max="5380" width="11.42578125" style="302"/>
    <col min="5381" max="5384" width="14.85546875" style="302" customWidth="1"/>
    <col min="5385" max="5386" width="16.85546875" style="302" customWidth="1"/>
    <col min="5387" max="5387" width="11.42578125" style="302"/>
    <col min="5388" max="5388" width="0" style="302" hidden="1" customWidth="1"/>
    <col min="5389" max="5630" width="11.42578125" style="302"/>
    <col min="5631" max="5631" width="39.85546875" style="302" customWidth="1"/>
    <col min="5632" max="5632" width="30.140625" style="302" customWidth="1"/>
    <col min="5633" max="5633" width="0" style="302" hidden="1" customWidth="1"/>
    <col min="5634" max="5634" width="16.140625" style="302" customWidth="1"/>
    <col min="5635" max="5636" width="11.42578125" style="302"/>
    <col min="5637" max="5640" width="14.85546875" style="302" customWidth="1"/>
    <col min="5641" max="5642" width="16.85546875" style="302" customWidth="1"/>
    <col min="5643" max="5643" width="11.42578125" style="302"/>
    <col min="5644" max="5644" width="0" style="302" hidden="1" customWidth="1"/>
    <col min="5645" max="5886" width="11.42578125" style="302"/>
    <col min="5887" max="5887" width="39.85546875" style="302" customWidth="1"/>
    <col min="5888" max="5888" width="30.140625" style="302" customWidth="1"/>
    <col min="5889" max="5889" width="0" style="302" hidden="1" customWidth="1"/>
    <col min="5890" max="5890" width="16.140625" style="302" customWidth="1"/>
    <col min="5891" max="5892" width="11.42578125" style="302"/>
    <col min="5893" max="5896" width="14.85546875" style="302" customWidth="1"/>
    <col min="5897" max="5898" width="16.85546875" style="302" customWidth="1"/>
    <col min="5899" max="5899" width="11.42578125" style="302"/>
    <col min="5900" max="5900" width="0" style="302" hidden="1" customWidth="1"/>
    <col min="5901" max="6142" width="11.42578125" style="302"/>
    <col min="6143" max="6143" width="39.85546875" style="302" customWidth="1"/>
    <col min="6144" max="6144" width="30.140625" style="302" customWidth="1"/>
    <col min="6145" max="6145" width="0" style="302" hidden="1" customWidth="1"/>
    <col min="6146" max="6146" width="16.140625" style="302" customWidth="1"/>
    <col min="6147" max="6148" width="11.42578125" style="302"/>
    <col min="6149" max="6152" width="14.85546875" style="302" customWidth="1"/>
    <col min="6153" max="6154" width="16.85546875" style="302" customWidth="1"/>
    <col min="6155" max="6155" width="11.42578125" style="302"/>
    <col min="6156" max="6156" width="0" style="302" hidden="1" customWidth="1"/>
    <col min="6157" max="6398" width="11.42578125" style="302"/>
    <col min="6399" max="6399" width="39.85546875" style="302" customWidth="1"/>
    <col min="6400" max="6400" width="30.140625" style="302" customWidth="1"/>
    <col min="6401" max="6401" width="0" style="302" hidden="1" customWidth="1"/>
    <col min="6402" max="6402" width="16.140625" style="302" customWidth="1"/>
    <col min="6403" max="6404" width="11.42578125" style="302"/>
    <col min="6405" max="6408" width="14.85546875" style="302" customWidth="1"/>
    <col min="6409" max="6410" width="16.85546875" style="302" customWidth="1"/>
    <col min="6411" max="6411" width="11.42578125" style="302"/>
    <col min="6412" max="6412" width="0" style="302" hidden="1" customWidth="1"/>
    <col min="6413" max="6654" width="11.42578125" style="302"/>
    <col min="6655" max="6655" width="39.85546875" style="302" customWidth="1"/>
    <col min="6656" max="6656" width="30.140625" style="302" customWidth="1"/>
    <col min="6657" max="6657" width="0" style="302" hidden="1" customWidth="1"/>
    <col min="6658" max="6658" width="16.140625" style="302" customWidth="1"/>
    <col min="6659" max="6660" width="11.42578125" style="302"/>
    <col min="6661" max="6664" width="14.85546875" style="302" customWidth="1"/>
    <col min="6665" max="6666" width="16.85546875" style="302" customWidth="1"/>
    <col min="6667" max="6667" width="11.42578125" style="302"/>
    <col min="6668" max="6668" width="0" style="302" hidden="1" customWidth="1"/>
    <col min="6669" max="6910" width="11.42578125" style="302"/>
    <col min="6911" max="6911" width="39.85546875" style="302" customWidth="1"/>
    <col min="6912" max="6912" width="30.140625" style="302" customWidth="1"/>
    <col min="6913" max="6913" width="0" style="302" hidden="1" customWidth="1"/>
    <col min="6914" max="6914" width="16.140625" style="302" customWidth="1"/>
    <col min="6915" max="6916" width="11.42578125" style="302"/>
    <col min="6917" max="6920" width="14.85546875" style="302" customWidth="1"/>
    <col min="6921" max="6922" width="16.85546875" style="302" customWidth="1"/>
    <col min="6923" max="6923" width="11.42578125" style="302"/>
    <col min="6924" max="6924" width="0" style="302" hidden="1" customWidth="1"/>
    <col min="6925" max="7166" width="11.42578125" style="302"/>
    <col min="7167" max="7167" width="39.85546875" style="302" customWidth="1"/>
    <col min="7168" max="7168" width="30.140625" style="302" customWidth="1"/>
    <col min="7169" max="7169" width="0" style="302" hidden="1" customWidth="1"/>
    <col min="7170" max="7170" width="16.140625" style="302" customWidth="1"/>
    <col min="7171" max="7172" width="11.42578125" style="302"/>
    <col min="7173" max="7176" width="14.85546875" style="302" customWidth="1"/>
    <col min="7177" max="7178" width="16.85546875" style="302" customWidth="1"/>
    <col min="7179" max="7179" width="11.42578125" style="302"/>
    <col min="7180" max="7180" width="0" style="302" hidden="1" customWidth="1"/>
    <col min="7181" max="7422" width="11.42578125" style="302"/>
    <col min="7423" max="7423" width="39.85546875" style="302" customWidth="1"/>
    <col min="7424" max="7424" width="30.140625" style="302" customWidth="1"/>
    <col min="7425" max="7425" width="0" style="302" hidden="1" customWidth="1"/>
    <col min="7426" max="7426" width="16.140625" style="302" customWidth="1"/>
    <col min="7427" max="7428" width="11.42578125" style="302"/>
    <col min="7429" max="7432" width="14.85546875" style="302" customWidth="1"/>
    <col min="7433" max="7434" width="16.85546875" style="302" customWidth="1"/>
    <col min="7435" max="7435" width="11.42578125" style="302"/>
    <col min="7436" max="7436" width="0" style="302" hidden="1" customWidth="1"/>
    <col min="7437" max="7678" width="11.42578125" style="302"/>
    <col min="7679" max="7679" width="39.85546875" style="302" customWidth="1"/>
    <col min="7680" max="7680" width="30.140625" style="302" customWidth="1"/>
    <col min="7681" max="7681" width="0" style="302" hidden="1" customWidth="1"/>
    <col min="7682" max="7682" width="16.140625" style="302" customWidth="1"/>
    <col min="7683" max="7684" width="11.42578125" style="302"/>
    <col min="7685" max="7688" width="14.85546875" style="302" customWidth="1"/>
    <col min="7689" max="7690" width="16.85546875" style="302" customWidth="1"/>
    <col min="7691" max="7691" width="11.42578125" style="302"/>
    <col min="7692" max="7692" width="0" style="302" hidden="1" customWidth="1"/>
    <col min="7693" max="7934" width="11.42578125" style="302"/>
    <col min="7935" max="7935" width="39.85546875" style="302" customWidth="1"/>
    <col min="7936" max="7936" width="30.140625" style="302" customWidth="1"/>
    <col min="7937" max="7937" width="0" style="302" hidden="1" customWidth="1"/>
    <col min="7938" max="7938" width="16.140625" style="302" customWidth="1"/>
    <col min="7939" max="7940" width="11.42578125" style="302"/>
    <col min="7941" max="7944" width="14.85546875" style="302" customWidth="1"/>
    <col min="7945" max="7946" width="16.85546875" style="302" customWidth="1"/>
    <col min="7947" max="7947" width="11.42578125" style="302"/>
    <col min="7948" max="7948" width="0" style="302" hidden="1" customWidth="1"/>
    <col min="7949" max="8190" width="11.42578125" style="302"/>
    <col min="8191" max="8191" width="39.85546875" style="302" customWidth="1"/>
    <col min="8192" max="8192" width="30.140625" style="302" customWidth="1"/>
    <col min="8193" max="8193" width="0" style="302" hidden="1" customWidth="1"/>
    <col min="8194" max="8194" width="16.140625" style="302" customWidth="1"/>
    <col min="8195" max="8196" width="11.42578125" style="302"/>
    <col min="8197" max="8200" width="14.85546875" style="302" customWidth="1"/>
    <col min="8201" max="8202" width="16.85546875" style="302" customWidth="1"/>
    <col min="8203" max="8203" width="11.42578125" style="302"/>
    <col min="8204" max="8204" width="0" style="302" hidden="1" customWidth="1"/>
    <col min="8205" max="8446" width="11.42578125" style="302"/>
    <col min="8447" max="8447" width="39.85546875" style="302" customWidth="1"/>
    <col min="8448" max="8448" width="30.140625" style="302" customWidth="1"/>
    <col min="8449" max="8449" width="0" style="302" hidden="1" customWidth="1"/>
    <col min="8450" max="8450" width="16.140625" style="302" customWidth="1"/>
    <col min="8451" max="8452" width="11.42578125" style="302"/>
    <col min="8453" max="8456" width="14.85546875" style="302" customWidth="1"/>
    <col min="8457" max="8458" width="16.85546875" style="302" customWidth="1"/>
    <col min="8459" max="8459" width="11.42578125" style="302"/>
    <col min="8460" max="8460" width="0" style="302" hidden="1" customWidth="1"/>
    <col min="8461" max="8702" width="11.42578125" style="302"/>
    <col min="8703" max="8703" width="39.85546875" style="302" customWidth="1"/>
    <col min="8704" max="8704" width="30.140625" style="302" customWidth="1"/>
    <col min="8705" max="8705" width="0" style="302" hidden="1" customWidth="1"/>
    <col min="8706" max="8706" width="16.140625" style="302" customWidth="1"/>
    <col min="8707" max="8708" width="11.42578125" style="302"/>
    <col min="8709" max="8712" width="14.85546875" style="302" customWidth="1"/>
    <col min="8713" max="8714" width="16.85546875" style="302" customWidth="1"/>
    <col min="8715" max="8715" width="11.42578125" style="302"/>
    <col min="8716" max="8716" width="0" style="302" hidden="1" customWidth="1"/>
    <col min="8717" max="8958" width="11.42578125" style="302"/>
    <col min="8959" max="8959" width="39.85546875" style="302" customWidth="1"/>
    <col min="8960" max="8960" width="30.140625" style="302" customWidth="1"/>
    <col min="8961" max="8961" width="0" style="302" hidden="1" customWidth="1"/>
    <col min="8962" max="8962" width="16.140625" style="302" customWidth="1"/>
    <col min="8963" max="8964" width="11.42578125" style="302"/>
    <col min="8965" max="8968" width="14.85546875" style="302" customWidth="1"/>
    <col min="8969" max="8970" width="16.85546875" style="302" customWidth="1"/>
    <col min="8971" max="8971" width="11.42578125" style="302"/>
    <col min="8972" max="8972" width="0" style="302" hidden="1" customWidth="1"/>
    <col min="8973" max="9214" width="11.42578125" style="302"/>
    <col min="9215" max="9215" width="39.85546875" style="302" customWidth="1"/>
    <col min="9216" max="9216" width="30.140625" style="302" customWidth="1"/>
    <col min="9217" max="9217" width="0" style="302" hidden="1" customWidth="1"/>
    <col min="9218" max="9218" width="16.140625" style="302" customWidth="1"/>
    <col min="9219" max="9220" width="11.42578125" style="302"/>
    <col min="9221" max="9224" width="14.85546875" style="302" customWidth="1"/>
    <col min="9225" max="9226" width="16.85546875" style="302" customWidth="1"/>
    <col min="9227" max="9227" width="11.42578125" style="302"/>
    <col min="9228" max="9228" width="0" style="302" hidden="1" customWidth="1"/>
    <col min="9229" max="9470" width="11.42578125" style="302"/>
    <col min="9471" max="9471" width="39.85546875" style="302" customWidth="1"/>
    <col min="9472" max="9472" width="30.140625" style="302" customWidth="1"/>
    <col min="9473" max="9473" width="0" style="302" hidden="1" customWidth="1"/>
    <col min="9474" max="9474" width="16.140625" style="302" customWidth="1"/>
    <col min="9475" max="9476" width="11.42578125" style="302"/>
    <col min="9477" max="9480" width="14.85546875" style="302" customWidth="1"/>
    <col min="9481" max="9482" width="16.85546875" style="302" customWidth="1"/>
    <col min="9483" max="9483" width="11.42578125" style="302"/>
    <col min="9484" max="9484" width="0" style="302" hidden="1" customWidth="1"/>
    <col min="9485" max="9726" width="11.42578125" style="302"/>
    <col min="9727" max="9727" width="39.85546875" style="302" customWidth="1"/>
    <col min="9728" max="9728" width="30.140625" style="302" customWidth="1"/>
    <col min="9729" max="9729" width="0" style="302" hidden="1" customWidth="1"/>
    <col min="9730" max="9730" width="16.140625" style="302" customWidth="1"/>
    <col min="9731" max="9732" width="11.42578125" style="302"/>
    <col min="9733" max="9736" width="14.85546875" style="302" customWidth="1"/>
    <col min="9737" max="9738" width="16.85546875" style="302" customWidth="1"/>
    <col min="9739" max="9739" width="11.42578125" style="302"/>
    <col min="9740" max="9740" width="0" style="302" hidden="1" customWidth="1"/>
    <col min="9741" max="9982" width="11.42578125" style="302"/>
    <col min="9983" max="9983" width="39.85546875" style="302" customWidth="1"/>
    <col min="9984" max="9984" width="30.140625" style="302" customWidth="1"/>
    <col min="9985" max="9985" width="0" style="302" hidden="1" customWidth="1"/>
    <col min="9986" max="9986" width="16.140625" style="302" customWidth="1"/>
    <col min="9987" max="9988" width="11.42578125" style="302"/>
    <col min="9989" max="9992" width="14.85546875" style="302" customWidth="1"/>
    <col min="9993" max="9994" width="16.85546875" style="302" customWidth="1"/>
    <col min="9995" max="9995" width="11.42578125" style="302"/>
    <col min="9996" max="9996" width="0" style="302" hidden="1" customWidth="1"/>
    <col min="9997" max="10238" width="11.42578125" style="302"/>
    <col min="10239" max="10239" width="39.85546875" style="302" customWidth="1"/>
    <col min="10240" max="10240" width="30.140625" style="302" customWidth="1"/>
    <col min="10241" max="10241" width="0" style="302" hidden="1" customWidth="1"/>
    <col min="10242" max="10242" width="16.140625" style="302" customWidth="1"/>
    <col min="10243" max="10244" width="11.42578125" style="302"/>
    <col min="10245" max="10248" width="14.85546875" style="302" customWidth="1"/>
    <col min="10249" max="10250" width="16.85546875" style="302" customWidth="1"/>
    <col min="10251" max="10251" width="11.42578125" style="302"/>
    <col min="10252" max="10252" width="0" style="302" hidden="1" customWidth="1"/>
    <col min="10253" max="10494" width="11.42578125" style="302"/>
    <col min="10495" max="10495" width="39.85546875" style="302" customWidth="1"/>
    <col min="10496" max="10496" width="30.140625" style="302" customWidth="1"/>
    <col min="10497" max="10497" width="0" style="302" hidden="1" customWidth="1"/>
    <col min="10498" max="10498" width="16.140625" style="302" customWidth="1"/>
    <col min="10499" max="10500" width="11.42578125" style="302"/>
    <col min="10501" max="10504" width="14.85546875" style="302" customWidth="1"/>
    <col min="10505" max="10506" width="16.85546875" style="302" customWidth="1"/>
    <col min="10507" max="10507" width="11.42578125" style="302"/>
    <col min="10508" max="10508" width="0" style="302" hidden="1" customWidth="1"/>
    <col min="10509" max="10750" width="11.42578125" style="302"/>
    <col min="10751" max="10751" width="39.85546875" style="302" customWidth="1"/>
    <col min="10752" max="10752" width="30.140625" style="302" customWidth="1"/>
    <col min="10753" max="10753" width="0" style="302" hidden="1" customWidth="1"/>
    <col min="10754" max="10754" width="16.140625" style="302" customWidth="1"/>
    <col min="10755" max="10756" width="11.42578125" style="302"/>
    <col min="10757" max="10760" width="14.85546875" style="302" customWidth="1"/>
    <col min="10761" max="10762" width="16.85546875" style="302" customWidth="1"/>
    <col min="10763" max="10763" width="11.42578125" style="302"/>
    <col min="10764" max="10764" width="0" style="302" hidden="1" customWidth="1"/>
    <col min="10765" max="11006" width="11.42578125" style="302"/>
    <col min="11007" max="11007" width="39.85546875" style="302" customWidth="1"/>
    <col min="11008" max="11008" width="30.140625" style="302" customWidth="1"/>
    <col min="11009" max="11009" width="0" style="302" hidden="1" customWidth="1"/>
    <col min="11010" max="11010" width="16.140625" style="302" customWidth="1"/>
    <col min="11011" max="11012" width="11.42578125" style="302"/>
    <col min="11013" max="11016" width="14.85546875" style="302" customWidth="1"/>
    <col min="11017" max="11018" width="16.85546875" style="302" customWidth="1"/>
    <col min="11019" max="11019" width="11.42578125" style="302"/>
    <col min="11020" max="11020" width="0" style="302" hidden="1" customWidth="1"/>
    <col min="11021" max="11262" width="11.42578125" style="302"/>
    <col min="11263" max="11263" width="39.85546875" style="302" customWidth="1"/>
    <col min="11264" max="11264" width="30.140625" style="302" customWidth="1"/>
    <col min="11265" max="11265" width="0" style="302" hidden="1" customWidth="1"/>
    <col min="11266" max="11266" width="16.140625" style="302" customWidth="1"/>
    <col min="11267" max="11268" width="11.42578125" style="302"/>
    <col min="11269" max="11272" width="14.85546875" style="302" customWidth="1"/>
    <col min="11273" max="11274" width="16.85546875" style="302" customWidth="1"/>
    <col min="11275" max="11275" width="11.42578125" style="302"/>
    <col min="11276" max="11276" width="0" style="302" hidden="1" customWidth="1"/>
    <col min="11277" max="11518" width="11.42578125" style="302"/>
    <col min="11519" max="11519" width="39.85546875" style="302" customWidth="1"/>
    <col min="11520" max="11520" width="30.140625" style="302" customWidth="1"/>
    <col min="11521" max="11521" width="0" style="302" hidden="1" customWidth="1"/>
    <col min="11522" max="11522" width="16.140625" style="302" customWidth="1"/>
    <col min="11523" max="11524" width="11.42578125" style="302"/>
    <col min="11525" max="11528" width="14.85546875" style="302" customWidth="1"/>
    <col min="11529" max="11530" width="16.85546875" style="302" customWidth="1"/>
    <col min="11531" max="11531" width="11.42578125" style="302"/>
    <col min="11532" max="11532" width="0" style="302" hidden="1" customWidth="1"/>
    <col min="11533" max="11774" width="11.42578125" style="302"/>
    <col min="11775" max="11775" width="39.85546875" style="302" customWidth="1"/>
    <col min="11776" max="11776" width="30.140625" style="302" customWidth="1"/>
    <col min="11777" max="11777" width="0" style="302" hidden="1" customWidth="1"/>
    <col min="11778" max="11778" width="16.140625" style="302" customWidth="1"/>
    <col min="11779" max="11780" width="11.42578125" style="302"/>
    <col min="11781" max="11784" width="14.85546875" style="302" customWidth="1"/>
    <col min="11785" max="11786" width="16.85546875" style="302" customWidth="1"/>
    <col min="11787" max="11787" width="11.42578125" style="302"/>
    <col min="11788" max="11788" width="0" style="302" hidden="1" customWidth="1"/>
    <col min="11789" max="12030" width="11.42578125" style="302"/>
    <col min="12031" max="12031" width="39.85546875" style="302" customWidth="1"/>
    <col min="12032" max="12032" width="30.140625" style="302" customWidth="1"/>
    <col min="12033" max="12033" width="0" style="302" hidden="1" customWidth="1"/>
    <col min="12034" max="12034" width="16.140625" style="302" customWidth="1"/>
    <col min="12035" max="12036" width="11.42578125" style="302"/>
    <col min="12037" max="12040" width="14.85546875" style="302" customWidth="1"/>
    <col min="12041" max="12042" width="16.85546875" style="302" customWidth="1"/>
    <col min="12043" max="12043" width="11.42578125" style="302"/>
    <col min="12044" max="12044" width="0" style="302" hidden="1" customWidth="1"/>
    <col min="12045" max="12286" width="11.42578125" style="302"/>
    <col min="12287" max="12287" width="39.85546875" style="302" customWidth="1"/>
    <col min="12288" max="12288" width="30.140625" style="302" customWidth="1"/>
    <col min="12289" max="12289" width="0" style="302" hidden="1" customWidth="1"/>
    <col min="12290" max="12290" width="16.140625" style="302" customWidth="1"/>
    <col min="12291" max="12292" width="11.42578125" style="302"/>
    <col min="12293" max="12296" width="14.85546875" style="302" customWidth="1"/>
    <col min="12297" max="12298" width="16.85546875" style="302" customWidth="1"/>
    <col min="12299" max="12299" width="11.42578125" style="302"/>
    <col min="12300" max="12300" width="0" style="302" hidden="1" customWidth="1"/>
    <col min="12301" max="12542" width="11.42578125" style="302"/>
    <col min="12543" max="12543" width="39.85546875" style="302" customWidth="1"/>
    <col min="12544" max="12544" width="30.140625" style="302" customWidth="1"/>
    <col min="12545" max="12545" width="0" style="302" hidden="1" customWidth="1"/>
    <col min="12546" max="12546" width="16.140625" style="302" customWidth="1"/>
    <col min="12547" max="12548" width="11.42578125" style="302"/>
    <col min="12549" max="12552" width="14.85546875" style="302" customWidth="1"/>
    <col min="12553" max="12554" width="16.85546875" style="302" customWidth="1"/>
    <col min="12555" max="12555" width="11.42578125" style="302"/>
    <col min="12556" max="12556" width="0" style="302" hidden="1" customWidth="1"/>
    <col min="12557" max="12798" width="11.42578125" style="302"/>
    <col min="12799" max="12799" width="39.85546875" style="302" customWidth="1"/>
    <col min="12800" max="12800" width="30.140625" style="302" customWidth="1"/>
    <col min="12801" max="12801" width="0" style="302" hidden="1" customWidth="1"/>
    <col min="12802" max="12802" width="16.140625" style="302" customWidth="1"/>
    <col min="12803" max="12804" width="11.42578125" style="302"/>
    <col min="12805" max="12808" width="14.85546875" style="302" customWidth="1"/>
    <col min="12809" max="12810" width="16.85546875" style="302" customWidth="1"/>
    <col min="12811" max="12811" width="11.42578125" style="302"/>
    <col min="12812" max="12812" width="0" style="302" hidden="1" customWidth="1"/>
    <col min="12813" max="13054" width="11.42578125" style="302"/>
    <col min="13055" max="13055" width="39.85546875" style="302" customWidth="1"/>
    <col min="13056" max="13056" width="30.140625" style="302" customWidth="1"/>
    <col min="13057" max="13057" width="0" style="302" hidden="1" customWidth="1"/>
    <col min="13058" max="13058" width="16.140625" style="302" customWidth="1"/>
    <col min="13059" max="13060" width="11.42578125" style="302"/>
    <col min="13061" max="13064" width="14.85546875" style="302" customWidth="1"/>
    <col min="13065" max="13066" width="16.85546875" style="302" customWidth="1"/>
    <col min="13067" max="13067" width="11.42578125" style="302"/>
    <col min="13068" max="13068" width="0" style="302" hidden="1" customWidth="1"/>
    <col min="13069" max="13310" width="11.42578125" style="302"/>
    <col min="13311" max="13311" width="39.85546875" style="302" customWidth="1"/>
    <col min="13312" max="13312" width="30.140625" style="302" customWidth="1"/>
    <col min="13313" max="13313" width="0" style="302" hidden="1" customWidth="1"/>
    <col min="13314" max="13314" width="16.140625" style="302" customWidth="1"/>
    <col min="13315" max="13316" width="11.42578125" style="302"/>
    <col min="13317" max="13320" width="14.85546875" style="302" customWidth="1"/>
    <col min="13321" max="13322" width="16.85546875" style="302" customWidth="1"/>
    <col min="13323" max="13323" width="11.42578125" style="302"/>
    <col min="13324" max="13324" width="0" style="302" hidden="1" customWidth="1"/>
    <col min="13325" max="13566" width="11.42578125" style="302"/>
    <col min="13567" max="13567" width="39.85546875" style="302" customWidth="1"/>
    <col min="13568" max="13568" width="30.140625" style="302" customWidth="1"/>
    <col min="13569" max="13569" width="0" style="302" hidden="1" customWidth="1"/>
    <col min="13570" max="13570" width="16.140625" style="302" customWidth="1"/>
    <col min="13571" max="13572" width="11.42578125" style="302"/>
    <col min="13573" max="13576" width="14.85546875" style="302" customWidth="1"/>
    <col min="13577" max="13578" width="16.85546875" style="302" customWidth="1"/>
    <col min="13579" max="13579" width="11.42578125" style="302"/>
    <col min="13580" max="13580" width="0" style="302" hidden="1" customWidth="1"/>
    <col min="13581" max="13822" width="11.42578125" style="302"/>
    <col min="13823" max="13823" width="39.85546875" style="302" customWidth="1"/>
    <col min="13824" max="13824" width="30.140625" style="302" customWidth="1"/>
    <col min="13825" max="13825" width="0" style="302" hidden="1" customWidth="1"/>
    <col min="13826" max="13826" width="16.140625" style="302" customWidth="1"/>
    <col min="13827" max="13828" width="11.42578125" style="302"/>
    <col min="13829" max="13832" width="14.85546875" style="302" customWidth="1"/>
    <col min="13833" max="13834" width="16.85546875" style="302" customWidth="1"/>
    <col min="13835" max="13835" width="11.42578125" style="302"/>
    <col min="13836" max="13836" width="0" style="302" hidden="1" customWidth="1"/>
    <col min="13837" max="14078" width="11.42578125" style="302"/>
    <col min="14079" max="14079" width="39.85546875" style="302" customWidth="1"/>
    <col min="14080" max="14080" width="30.140625" style="302" customWidth="1"/>
    <col min="14081" max="14081" width="0" style="302" hidden="1" customWidth="1"/>
    <col min="14082" max="14082" width="16.140625" style="302" customWidth="1"/>
    <col min="14083" max="14084" width="11.42578125" style="302"/>
    <col min="14085" max="14088" width="14.85546875" style="302" customWidth="1"/>
    <col min="14089" max="14090" width="16.85546875" style="302" customWidth="1"/>
    <col min="14091" max="14091" width="11.42578125" style="302"/>
    <col min="14092" max="14092" width="0" style="302" hidden="1" customWidth="1"/>
    <col min="14093" max="14334" width="11.42578125" style="302"/>
    <col min="14335" max="14335" width="39.85546875" style="302" customWidth="1"/>
    <col min="14336" max="14336" width="30.140625" style="302" customWidth="1"/>
    <col min="14337" max="14337" width="0" style="302" hidden="1" customWidth="1"/>
    <col min="14338" max="14338" width="16.140625" style="302" customWidth="1"/>
    <col min="14339" max="14340" width="11.42578125" style="302"/>
    <col min="14341" max="14344" width="14.85546875" style="302" customWidth="1"/>
    <col min="14345" max="14346" width="16.85546875" style="302" customWidth="1"/>
    <col min="14347" max="14347" width="11.42578125" style="302"/>
    <col min="14348" max="14348" width="0" style="302" hidden="1" customWidth="1"/>
    <col min="14349" max="14590" width="11.42578125" style="302"/>
    <col min="14591" max="14591" width="39.85546875" style="302" customWidth="1"/>
    <col min="14592" max="14592" width="30.140625" style="302" customWidth="1"/>
    <col min="14593" max="14593" width="0" style="302" hidden="1" customWidth="1"/>
    <col min="14594" max="14594" width="16.140625" style="302" customWidth="1"/>
    <col min="14595" max="14596" width="11.42578125" style="302"/>
    <col min="14597" max="14600" width="14.85546875" style="302" customWidth="1"/>
    <col min="14601" max="14602" width="16.85546875" style="302" customWidth="1"/>
    <col min="14603" max="14603" width="11.42578125" style="302"/>
    <col min="14604" max="14604" width="0" style="302" hidden="1" customWidth="1"/>
    <col min="14605" max="14846" width="11.42578125" style="302"/>
    <col min="14847" max="14847" width="39.85546875" style="302" customWidth="1"/>
    <col min="14848" max="14848" width="30.140625" style="302" customWidth="1"/>
    <col min="14849" max="14849" width="0" style="302" hidden="1" customWidth="1"/>
    <col min="14850" max="14850" width="16.140625" style="302" customWidth="1"/>
    <col min="14851" max="14852" width="11.42578125" style="302"/>
    <col min="14853" max="14856" width="14.85546875" style="302" customWidth="1"/>
    <col min="14857" max="14858" width="16.85546875" style="302" customWidth="1"/>
    <col min="14859" max="14859" width="11.42578125" style="302"/>
    <col min="14860" max="14860" width="0" style="302" hidden="1" customWidth="1"/>
    <col min="14861" max="15102" width="11.42578125" style="302"/>
    <col min="15103" max="15103" width="39.85546875" style="302" customWidth="1"/>
    <col min="15104" max="15104" width="30.140625" style="302" customWidth="1"/>
    <col min="15105" max="15105" width="0" style="302" hidden="1" customWidth="1"/>
    <col min="15106" max="15106" width="16.140625" style="302" customWidth="1"/>
    <col min="15107" max="15108" width="11.42578125" style="302"/>
    <col min="15109" max="15112" width="14.85546875" style="302" customWidth="1"/>
    <col min="15113" max="15114" width="16.85546875" style="302" customWidth="1"/>
    <col min="15115" max="15115" width="11.42578125" style="302"/>
    <col min="15116" max="15116" width="0" style="302" hidden="1" customWidth="1"/>
    <col min="15117" max="15358" width="11.42578125" style="302"/>
    <col min="15359" max="15359" width="39.85546875" style="302" customWidth="1"/>
    <col min="15360" max="15360" width="30.140625" style="302" customWidth="1"/>
    <col min="15361" max="15361" width="0" style="302" hidden="1" customWidth="1"/>
    <col min="15362" max="15362" width="16.140625" style="302" customWidth="1"/>
    <col min="15363" max="15364" width="11.42578125" style="302"/>
    <col min="15365" max="15368" width="14.85546875" style="302" customWidth="1"/>
    <col min="15369" max="15370" width="16.85546875" style="302" customWidth="1"/>
    <col min="15371" max="15371" width="11.42578125" style="302"/>
    <col min="15372" max="15372" width="0" style="302" hidden="1" customWidth="1"/>
    <col min="15373" max="15614" width="11.42578125" style="302"/>
    <col min="15615" max="15615" width="39.85546875" style="302" customWidth="1"/>
    <col min="15616" max="15616" width="30.140625" style="302" customWidth="1"/>
    <col min="15617" max="15617" width="0" style="302" hidden="1" customWidth="1"/>
    <col min="15618" max="15618" width="16.140625" style="302" customWidth="1"/>
    <col min="15619" max="15620" width="11.42578125" style="302"/>
    <col min="15621" max="15624" width="14.85546875" style="302" customWidth="1"/>
    <col min="15625" max="15626" width="16.85546875" style="302" customWidth="1"/>
    <col min="15627" max="15627" width="11.42578125" style="302"/>
    <col min="15628" max="15628" width="0" style="302" hidden="1" customWidth="1"/>
    <col min="15629" max="15870" width="11.42578125" style="302"/>
    <col min="15871" max="15871" width="39.85546875" style="302" customWidth="1"/>
    <col min="15872" max="15872" width="30.140625" style="302" customWidth="1"/>
    <col min="15873" max="15873" width="0" style="302" hidden="1" customWidth="1"/>
    <col min="15874" max="15874" width="16.140625" style="302" customWidth="1"/>
    <col min="15875" max="15876" width="11.42578125" style="302"/>
    <col min="15877" max="15880" width="14.85546875" style="302" customWidth="1"/>
    <col min="15881" max="15882" width="16.85546875" style="302" customWidth="1"/>
    <col min="15883" max="15883" width="11.42578125" style="302"/>
    <col min="15884" max="15884" width="0" style="302" hidden="1" customWidth="1"/>
    <col min="15885" max="16126" width="11.42578125" style="302"/>
    <col min="16127" max="16127" width="39.85546875" style="302" customWidth="1"/>
    <col min="16128" max="16128" width="30.140625" style="302" customWidth="1"/>
    <col min="16129" max="16129" width="0" style="302" hidden="1" customWidth="1"/>
    <col min="16130" max="16130" width="16.140625" style="302" customWidth="1"/>
    <col min="16131" max="16132" width="11.42578125" style="302"/>
    <col min="16133" max="16136" width="14.85546875" style="302" customWidth="1"/>
    <col min="16137" max="16138" width="16.85546875" style="302" customWidth="1"/>
    <col min="16139" max="16139" width="11.42578125" style="302"/>
    <col min="16140" max="16140" width="0" style="302" hidden="1" customWidth="1"/>
    <col min="16141" max="16384" width="11.42578125" style="302"/>
  </cols>
  <sheetData>
    <row r="1" spans="1:19" s="1" customFormat="1" ht="16.5" customHeight="1">
      <c r="A1" s="2311" t="s">
        <v>181</v>
      </c>
      <c r="B1" s="2311"/>
      <c r="C1" s="2311"/>
      <c r="D1" s="2311"/>
      <c r="E1" s="2311"/>
      <c r="F1" s="2311"/>
      <c r="G1" s="2311"/>
      <c r="H1" s="2311"/>
      <c r="M1" s="807"/>
      <c r="O1" s="1663"/>
    </row>
    <row r="2" spans="1:19" s="1" customFormat="1" ht="17.25" customHeight="1">
      <c r="A2" s="2409" t="s">
        <v>384</v>
      </c>
      <c r="B2" s="2409"/>
      <c r="C2" s="2409"/>
      <c r="D2" s="2409"/>
      <c r="E2" s="2409"/>
      <c r="F2" s="2409"/>
      <c r="G2" s="2409"/>
      <c r="H2" s="2409"/>
      <c r="J2" s="1">
        <v>6995279</v>
      </c>
      <c r="M2" s="807"/>
      <c r="O2" s="1663"/>
    </row>
    <row r="3" spans="1:19" ht="15.75" thickBot="1">
      <c r="F3" s="453"/>
      <c r="G3" s="453"/>
      <c r="H3" s="453"/>
      <c r="I3" s="307">
        <f>+I18-'[2]ACCIONES 320203'!$I$18</f>
        <v>0.39999999850988388</v>
      </c>
      <c r="J3" s="355"/>
      <c r="K3" s="355"/>
      <c r="O3" s="1664"/>
      <c r="P3" s="418"/>
      <c r="Q3" s="418"/>
      <c r="R3" s="418"/>
      <c r="S3" s="1"/>
    </row>
    <row r="4" spans="1:19" ht="15" customHeight="1" thickBot="1">
      <c r="A4" s="2312" t="s">
        <v>446</v>
      </c>
      <c r="B4" s="2312" t="s">
        <v>447</v>
      </c>
      <c r="C4" s="2312" t="s">
        <v>865</v>
      </c>
      <c r="D4" s="2312" t="s">
        <v>448</v>
      </c>
      <c r="E4" s="2312" t="s">
        <v>201</v>
      </c>
      <c r="F4" s="2312" t="s">
        <v>632</v>
      </c>
      <c r="G4" s="2312" t="s">
        <v>199</v>
      </c>
      <c r="H4" s="2312"/>
      <c r="I4" s="2312"/>
      <c r="J4" s="2312" t="s">
        <v>633</v>
      </c>
      <c r="K4" s="309"/>
      <c r="L4" s="2364" t="s">
        <v>1005</v>
      </c>
      <c r="M4" s="829"/>
      <c r="N4" s="2364" t="s">
        <v>1006</v>
      </c>
      <c r="O4" s="1664"/>
      <c r="P4" s="418"/>
      <c r="Q4" s="418"/>
      <c r="R4" s="418"/>
      <c r="S4" s="1"/>
    </row>
    <row r="5" spans="1:19" ht="22.5" customHeight="1" thickBot="1">
      <c r="A5" s="2312"/>
      <c r="B5" s="2312"/>
      <c r="C5" s="2312"/>
      <c r="D5" s="2312"/>
      <c r="E5" s="2312"/>
      <c r="F5" s="2312"/>
      <c r="G5" s="2312" t="s">
        <v>202</v>
      </c>
      <c r="H5" s="2312" t="s">
        <v>233</v>
      </c>
      <c r="I5" s="2312" t="s">
        <v>926</v>
      </c>
      <c r="J5" s="2312"/>
      <c r="K5" s="309"/>
      <c r="L5" s="2364"/>
      <c r="M5" s="829"/>
      <c r="N5" s="2365"/>
      <c r="O5" s="1664"/>
      <c r="P5" s="418"/>
      <c r="Q5" s="418"/>
      <c r="R5" s="418"/>
      <c r="S5" s="1"/>
    </row>
    <row r="6" spans="1:19" ht="26.25" thickBot="1">
      <c r="A6" s="2330"/>
      <c r="B6" s="2330"/>
      <c r="C6" s="2330"/>
      <c r="D6" s="2330"/>
      <c r="E6" s="2330"/>
      <c r="F6" s="2330"/>
      <c r="G6" s="2330"/>
      <c r="H6" s="2330"/>
      <c r="I6" s="2330"/>
      <c r="J6" s="2330"/>
      <c r="K6" s="309"/>
      <c r="L6" s="1230" t="s">
        <v>1011</v>
      </c>
      <c r="M6" s="829"/>
      <c r="N6" s="2391"/>
      <c r="O6" s="1664"/>
      <c r="P6" s="418"/>
      <c r="Q6" s="418"/>
      <c r="R6" s="418"/>
      <c r="S6" s="1"/>
    </row>
    <row r="7" spans="1:19" ht="31.5" customHeight="1" thickBot="1">
      <c r="A7" s="1235" t="s">
        <v>292</v>
      </c>
      <c r="B7" s="1236"/>
      <c r="C7" s="1236"/>
      <c r="D7" s="1237" t="s">
        <v>215</v>
      </c>
      <c r="E7" s="1237">
        <v>100</v>
      </c>
      <c r="F7" s="1237"/>
      <c r="G7" s="1238">
        <f>+G8</f>
        <v>120228593</v>
      </c>
      <c r="H7" s="1237">
        <f t="shared" ref="H7:I7" si="0">+H8</f>
        <v>0</v>
      </c>
      <c r="I7" s="1237">
        <f t="shared" si="0"/>
        <v>0</v>
      </c>
      <c r="J7" s="1239">
        <f>+J8</f>
        <v>120228593</v>
      </c>
      <c r="K7" s="341"/>
      <c r="L7" s="1234">
        <f>+L8</f>
        <v>0</v>
      </c>
      <c r="M7" s="341"/>
      <c r="N7" s="1234">
        <f>+J7+L7</f>
        <v>120228593</v>
      </c>
      <c r="O7" s="1664"/>
      <c r="P7" s="418"/>
      <c r="Q7" s="418"/>
      <c r="R7" s="418"/>
      <c r="S7" s="1"/>
    </row>
    <row r="8" spans="1:19" ht="76.5" customHeight="1">
      <c r="A8" s="1088" t="s">
        <v>41</v>
      </c>
      <c r="B8" s="1071"/>
      <c r="C8" s="1071"/>
      <c r="D8" s="1090" t="s">
        <v>293</v>
      </c>
      <c r="E8" s="1090">
        <v>50</v>
      </c>
      <c r="F8" s="1090"/>
      <c r="G8" s="1232">
        <f>+G9</f>
        <v>120228593</v>
      </c>
      <c r="H8" s="1090"/>
      <c r="I8" s="1090"/>
      <c r="J8" s="1224">
        <f>SUM(J9:J9)</f>
        <v>120228593</v>
      </c>
      <c r="K8" s="341"/>
      <c r="L8" s="1225">
        <f>SUM(L9:L9)</f>
        <v>0</v>
      </c>
      <c r="M8" s="341"/>
      <c r="N8" s="1225">
        <f t="shared" ref="N8:N33" si="1">+J8+L8</f>
        <v>120228593</v>
      </c>
    </row>
    <row r="9" spans="1:19" s="764" customFormat="1" ht="18.75" customHeight="1" thickBot="1">
      <c r="A9" s="55" t="s">
        <v>634</v>
      </c>
      <c r="B9" s="22" t="s">
        <v>247</v>
      </c>
      <c r="C9" s="22">
        <v>91131</v>
      </c>
      <c r="D9" s="21" t="s">
        <v>635</v>
      </c>
      <c r="E9" s="21">
        <v>1</v>
      </c>
      <c r="F9" s="631"/>
      <c r="G9" s="631">
        <f>112026071+8202522</f>
        <v>120228593</v>
      </c>
      <c r="H9" s="631"/>
      <c r="I9" s="631"/>
      <c r="J9" s="704">
        <f>SUM(G9:I9)</f>
        <v>120228593</v>
      </c>
      <c r="K9" s="340"/>
      <c r="L9" s="1223"/>
      <c r="M9" s="340"/>
      <c r="N9" s="1223">
        <f t="shared" si="1"/>
        <v>120228593</v>
      </c>
    </row>
    <row r="10" spans="1:19" s="268" customFormat="1" ht="39" thickBot="1">
      <c r="A10" s="575" t="s">
        <v>60</v>
      </c>
      <c r="B10" s="1240"/>
      <c r="C10" s="1240"/>
      <c r="D10" s="1241" t="s">
        <v>215</v>
      </c>
      <c r="E10" s="1241">
        <v>100</v>
      </c>
      <c r="F10" s="1241"/>
      <c r="G10" s="1242">
        <f>+G11+G17</f>
        <v>154164149</v>
      </c>
      <c r="H10" s="1242">
        <f>+H11+H17</f>
        <v>13258003</v>
      </c>
      <c r="I10" s="1242">
        <f>+I11+I17</f>
        <v>172312085</v>
      </c>
      <c r="J10" s="1243">
        <f>+J11+J17</f>
        <v>339734237</v>
      </c>
      <c r="K10" s="341"/>
      <c r="L10" s="1244">
        <f>+L11+L17</f>
        <v>0</v>
      </c>
      <c r="M10" s="341"/>
      <c r="N10" s="1244">
        <f>+J10+L10</f>
        <v>339734237</v>
      </c>
    </row>
    <row r="11" spans="1:19" s="268" customFormat="1" ht="60.75" customHeight="1">
      <c r="A11" s="1088" t="s">
        <v>294</v>
      </c>
      <c r="B11" s="1071"/>
      <c r="C11" s="1071"/>
      <c r="D11" s="1090" t="s">
        <v>293</v>
      </c>
      <c r="E11" s="1090">
        <v>20</v>
      </c>
      <c r="F11" s="1090"/>
      <c r="G11" s="1232">
        <f>SUM(G12:G16)</f>
        <v>154164149</v>
      </c>
      <c r="H11" s="1232">
        <f>SUM(H12:H16)</f>
        <v>0</v>
      </c>
      <c r="I11" s="1232">
        <f>SUM(I12:I16)</f>
        <v>91426291</v>
      </c>
      <c r="J11" s="1224">
        <f>SUM(J12:J16)</f>
        <v>245590440</v>
      </c>
      <c r="K11" s="341"/>
      <c r="L11" s="1225">
        <f>SUM(L12:L16)</f>
        <v>0</v>
      </c>
      <c r="M11" s="341"/>
      <c r="N11" s="1225">
        <f t="shared" si="1"/>
        <v>245590440</v>
      </c>
    </row>
    <row r="12" spans="1:19" s="757" customFormat="1">
      <c r="A12" s="760" t="s">
        <v>636</v>
      </c>
      <c r="B12" s="34" t="s">
        <v>247</v>
      </c>
      <c r="C12" s="30">
        <v>91131</v>
      </c>
      <c r="D12" s="30" t="s">
        <v>293</v>
      </c>
      <c r="E12" s="30">
        <v>20</v>
      </c>
      <c r="F12" s="772">
        <f>8200000*1.004</f>
        <v>8232800</v>
      </c>
      <c r="G12" s="772">
        <v>73888333</v>
      </c>
      <c r="H12" s="772"/>
      <c r="I12" s="772">
        <v>91426291</v>
      </c>
      <c r="J12" s="358">
        <f>SUM(G12:I12)</f>
        <v>165314624</v>
      </c>
      <c r="K12" s="752"/>
      <c r="L12" s="868"/>
      <c r="M12" s="752"/>
      <c r="N12" s="869">
        <f t="shared" si="1"/>
        <v>165314624</v>
      </c>
    </row>
    <row r="13" spans="1:19" s="757" customFormat="1">
      <c r="A13" s="760" t="s">
        <v>637</v>
      </c>
      <c r="B13" s="34" t="s">
        <v>237</v>
      </c>
      <c r="C13" s="30">
        <v>83990</v>
      </c>
      <c r="D13" s="30" t="s">
        <v>635</v>
      </c>
      <c r="E13" s="30">
        <v>1</v>
      </c>
      <c r="F13" s="772">
        <f>+J12*10%</f>
        <v>16531462.4</v>
      </c>
      <c r="G13" s="772">
        <f>16465600-16465600</f>
        <v>0</v>
      </c>
      <c r="H13" s="772"/>
      <c r="I13" s="772">
        <f>4047445-4047445</f>
        <v>0</v>
      </c>
      <c r="J13" s="358">
        <f>SUM(G13:I13)</f>
        <v>0</v>
      </c>
      <c r="K13" s="752"/>
      <c r="L13" s="868"/>
      <c r="M13" s="752"/>
      <c r="N13" s="869">
        <f t="shared" si="1"/>
        <v>0</v>
      </c>
    </row>
    <row r="14" spans="1:19" s="759" customFormat="1">
      <c r="A14" s="758" t="s">
        <v>923</v>
      </c>
      <c r="B14" s="1626" t="s">
        <v>245</v>
      </c>
      <c r="C14" s="1627" t="s">
        <v>866</v>
      </c>
      <c r="D14" s="1627" t="s">
        <v>210</v>
      </c>
      <c r="E14" s="1627">
        <v>1</v>
      </c>
      <c r="F14" s="445">
        <v>35000000</v>
      </c>
      <c r="G14" s="445">
        <f>35000000-58</f>
        <v>34999942</v>
      </c>
      <c r="H14" s="445"/>
      <c r="I14" s="445"/>
      <c r="J14" s="279">
        <f>+G14</f>
        <v>34999942</v>
      </c>
      <c r="K14" s="340"/>
      <c r="L14" s="867"/>
      <c r="M14" s="340"/>
      <c r="N14" s="869">
        <f t="shared" si="1"/>
        <v>34999942</v>
      </c>
    </row>
    <row r="15" spans="1:19" s="764" customFormat="1" ht="31.5" customHeight="1">
      <c r="A15" s="758" t="s">
        <v>468</v>
      </c>
      <c r="B15" s="1626" t="s">
        <v>242</v>
      </c>
      <c r="C15" s="1627" t="s">
        <v>869</v>
      </c>
      <c r="D15" s="1627" t="s">
        <v>635</v>
      </c>
      <c r="E15" s="1627">
        <v>1</v>
      </c>
      <c r="F15" s="445">
        <v>25000000</v>
      </c>
      <c r="G15" s="445">
        <f>25000000+70927-1506553</f>
        <v>23564374</v>
      </c>
      <c r="H15" s="445"/>
      <c r="I15" s="445"/>
      <c r="J15" s="279">
        <f>SUM(G15:I15)</f>
        <v>23564374</v>
      </c>
      <c r="K15" s="340"/>
      <c r="L15" s="867"/>
      <c r="M15" s="340"/>
      <c r="N15" s="867">
        <f t="shared" si="1"/>
        <v>23564374</v>
      </c>
    </row>
    <row r="16" spans="1:19" s="764" customFormat="1" ht="25.5">
      <c r="A16" s="760" t="s">
        <v>638</v>
      </c>
      <c r="B16" s="1626" t="s">
        <v>237</v>
      </c>
      <c r="C16" s="1627">
        <v>83990</v>
      </c>
      <c r="D16" s="1627" t="s">
        <v>208</v>
      </c>
      <c r="E16" s="1627">
        <v>11</v>
      </c>
      <c r="F16" s="445">
        <v>3050000</v>
      </c>
      <c r="G16" s="445">
        <f>33550000-70927-11767573</f>
        <v>21711500</v>
      </c>
      <c r="H16" s="445"/>
      <c r="I16" s="445"/>
      <c r="J16" s="279">
        <f>SUM(G16:I16)</f>
        <v>21711500</v>
      </c>
      <c r="K16" s="340"/>
      <c r="L16" s="867"/>
      <c r="M16" s="340"/>
      <c r="N16" s="867">
        <f t="shared" si="1"/>
        <v>21711500</v>
      </c>
    </row>
    <row r="17" spans="1:17" ht="63" customHeight="1">
      <c r="A17" s="173" t="s">
        <v>295</v>
      </c>
      <c r="B17" s="175"/>
      <c r="C17" s="175"/>
      <c r="D17" s="178" t="s">
        <v>293</v>
      </c>
      <c r="E17" s="178">
        <v>60</v>
      </c>
      <c r="F17" s="178"/>
      <c r="G17" s="444">
        <f>SUM(G19:G20)</f>
        <v>0</v>
      </c>
      <c r="H17" s="444">
        <f>SUM(H19:H20)</f>
        <v>13258003</v>
      </c>
      <c r="I17" s="444">
        <f>SUM(I18:I20)</f>
        <v>80885794</v>
      </c>
      <c r="J17" s="277">
        <f>SUM(J18:J20)</f>
        <v>94143797</v>
      </c>
      <c r="K17" s="341"/>
      <c r="L17" s="280">
        <f>SUM(L19:L20)</f>
        <v>0</v>
      </c>
      <c r="M17" s="341"/>
      <c r="N17" s="280">
        <f>+J17+L17</f>
        <v>94143797</v>
      </c>
    </row>
    <row r="18" spans="1:17" s="764" customFormat="1" ht="12.75">
      <c r="A18" s="2424" t="s">
        <v>639</v>
      </c>
      <c r="B18" s="1626" t="s">
        <v>247</v>
      </c>
      <c r="C18" s="1626">
        <v>91131</v>
      </c>
      <c r="D18" s="1627" t="s">
        <v>293</v>
      </c>
      <c r="E18" s="1627">
        <v>60</v>
      </c>
      <c r="F18" s="445">
        <v>1442410</v>
      </c>
      <c r="G18" s="445">
        <v>0</v>
      </c>
      <c r="H18" s="445"/>
      <c r="I18" s="445">
        <f>66291318-1055263</f>
        <v>65236055</v>
      </c>
      <c r="J18" s="279">
        <f>+I18</f>
        <v>65236055</v>
      </c>
      <c r="K18" s="340"/>
      <c r="L18" s="867"/>
      <c r="M18" s="340"/>
      <c r="N18" s="867">
        <f t="shared" ref="N18" si="2">+J18+L18</f>
        <v>65236055</v>
      </c>
    </row>
    <row r="19" spans="1:17" s="764" customFormat="1" ht="12.75">
      <c r="A19" s="2425"/>
      <c r="B19" s="1626" t="s">
        <v>475</v>
      </c>
      <c r="C19" s="1626">
        <v>91131</v>
      </c>
      <c r="D19" s="1627" t="s">
        <v>293</v>
      </c>
      <c r="E19" s="1627">
        <v>60</v>
      </c>
      <c r="F19" s="445">
        <v>1442410</v>
      </c>
      <c r="G19" s="445">
        <v>0</v>
      </c>
      <c r="H19" s="445">
        <v>13258003</v>
      </c>
      <c r="I19" s="445">
        <v>6995279</v>
      </c>
      <c r="J19" s="279">
        <f>+I19+H19</f>
        <v>20253282</v>
      </c>
      <c r="K19" s="340"/>
      <c r="L19" s="867"/>
      <c r="M19" s="340"/>
      <c r="N19" s="867">
        <f t="shared" si="1"/>
        <v>20253282</v>
      </c>
    </row>
    <row r="20" spans="1:17" s="268" customFormat="1" ht="13.5" thickBot="1">
      <c r="A20" s="55" t="s">
        <v>640</v>
      </c>
      <c r="B20" s="908" t="s">
        <v>237</v>
      </c>
      <c r="C20" s="908">
        <v>83990</v>
      </c>
      <c r="D20" s="21" t="s">
        <v>635</v>
      </c>
      <c r="E20" s="21">
        <v>1</v>
      </c>
      <c r="F20" s="631">
        <f>+J19*10%</f>
        <v>2025328.2000000002</v>
      </c>
      <c r="G20" s="631">
        <v>0</v>
      </c>
      <c r="H20" s="631">
        <v>0</v>
      </c>
      <c r="I20" s="631">
        <v>8654460</v>
      </c>
      <c r="J20" s="1221">
        <f>SUM(H20:I20)</f>
        <v>8654460</v>
      </c>
      <c r="K20" s="340"/>
      <c r="L20" s="1231"/>
      <c r="M20" s="340"/>
      <c r="N20" s="1231">
        <f t="shared" si="1"/>
        <v>8654460</v>
      </c>
    </row>
    <row r="21" spans="1:17" ht="26.25" thickBot="1">
      <c r="A21" s="575" t="s">
        <v>42</v>
      </c>
      <c r="B21" s="1240"/>
      <c r="C21" s="1240"/>
      <c r="D21" s="1241" t="s">
        <v>296</v>
      </c>
      <c r="E21" s="1241">
        <v>300</v>
      </c>
      <c r="F21" s="1241"/>
      <c r="G21" s="1242">
        <f>+G22+G26</f>
        <v>182234366</v>
      </c>
      <c r="H21" s="1242">
        <f>+H22+H26</f>
        <v>0</v>
      </c>
      <c r="I21" s="1242">
        <f>+I22+I26</f>
        <v>0</v>
      </c>
      <c r="J21" s="1243">
        <f>+J22+J26</f>
        <v>182234366</v>
      </c>
      <c r="K21" s="341"/>
      <c r="L21" s="1244">
        <f>+L22+L26</f>
        <v>0</v>
      </c>
      <c r="M21" s="341"/>
      <c r="N21" s="1244">
        <f t="shared" si="1"/>
        <v>182234366</v>
      </c>
    </row>
    <row r="22" spans="1:17" ht="63.75">
      <c r="A22" s="1088" t="s">
        <v>297</v>
      </c>
      <c r="B22" s="1071"/>
      <c r="C22" s="1071"/>
      <c r="D22" s="1090" t="s">
        <v>298</v>
      </c>
      <c r="E22" s="1233">
        <v>30000</v>
      </c>
      <c r="F22" s="1090"/>
      <c r="G22" s="1232">
        <f>SUM(G23:G25)</f>
        <v>182234366</v>
      </c>
      <c r="H22" s="1232">
        <f>SUM(H23:H25)</f>
        <v>0</v>
      </c>
      <c r="I22" s="1232">
        <f>SUM(I23:I25)</f>
        <v>0</v>
      </c>
      <c r="J22" s="1224">
        <f>SUM(J23:J25)</f>
        <v>182234366</v>
      </c>
      <c r="K22" s="341"/>
      <c r="L22" s="1225">
        <f>SUM(L23:L25)</f>
        <v>0</v>
      </c>
      <c r="M22" s="341"/>
      <c r="N22" s="1225">
        <f t="shared" si="1"/>
        <v>182234366</v>
      </c>
    </row>
    <row r="23" spans="1:17" s="764" customFormat="1" ht="12.75">
      <c r="A23" s="760" t="s">
        <v>641</v>
      </c>
      <c r="B23" s="11" t="s">
        <v>247</v>
      </c>
      <c r="C23" s="11">
        <v>91131</v>
      </c>
      <c r="D23" s="763" t="s">
        <v>642</v>
      </c>
      <c r="E23" s="773">
        <v>30000</v>
      </c>
      <c r="F23" s="445">
        <v>15155</v>
      </c>
      <c r="G23" s="445">
        <f>151550000+606200</f>
        <v>152156200</v>
      </c>
      <c r="H23" s="445"/>
      <c r="I23" s="445"/>
      <c r="J23" s="279">
        <f>SUM(G23:I23)</f>
        <v>152156200</v>
      </c>
      <c r="K23" s="340"/>
      <c r="L23" s="867"/>
      <c r="M23" s="340"/>
      <c r="N23" s="867">
        <f t="shared" si="1"/>
        <v>152156200</v>
      </c>
    </row>
    <row r="24" spans="1:17" s="764" customFormat="1" ht="12.75">
      <c r="A24" s="760" t="s">
        <v>640</v>
      </c>
      <c r="B24" s="11" t="s">
        <v>237</v>
      </c>
      <c r="C24" s="11">
        <v>83990</v>
      </c>
      <c r="D24" s="763" t="s">
        <v>635</v>
      </c>
      <c r="E24" s="763">
        <v>1</v>
      </c>
      <c r="F24" s="445">
        <f>+J23*10%</f>
        <v>15215620</v>
      </c>
      <c r="G24" s="445"/>
      <c r="H24" s="445"/>
      <c r="I24" s="445"/>
      <c r="J24" s="279">
        <f>SUM(G24:I24)</f>
        <v>0</v>
      </c>
      <c r="K24" s="340"/>
      <c r="L24" s="867"/>
      <c r="M24" s="340"/>
      <c r="N24" s="867">
        <f t="shared" si="1"/>
        <v>0</v>
      </c>
    </row>
    <row r="25" spans="1:17" s="764" customFormat="1" ht="25.5">
      <c r="A25" s="760" t="s">
        <v>643</v>
      </c>
      <c r="B25" s="1626" t="s">
        <v>237</v>
      </c>
      <c r="C25" s="1626">
        <v>83990</v>
      </c>
      <c r="D25" s="1627" t="s">
        <v>208</v>
      </c>
      <c r="E25" s="1627">
        <v>11</v>
      </c>
      <c r="F25" s="445">
        <v>3050000</v>
      </c>
      <c r="G25" s="445">
        <f>33550000-606200-2865634</f>
        <v>30078166</v>
      </c>
      <c r="H25" s="445"/>
      <c r="I25" s="445"/>
      <c r="J25" s="279">
        <f>SUM(G25:I25)</f>
        <v>30078166</v>
      </c>
      <c r="K25" s="340"/>
      <c r="L25" s="867"/>
      <c r="M25" s="340"/>
      <c r="N25" s="867">
        <f t="shared" si="1"/>
        <v>30078166</v>
      </c>
    </row>
    <row r="26" spans="1:17" ht="25.5">
      <c r="A26" s="173" t="s">
        <v>299</v>
      </c>
      <c r="B26" s="175"/>
      <c r="C26" s="175"/>
      <c r="D26" s="178" t="s">
        <v>211</v>
      </c>
      <c r="E26" s="178"/>
      <c r="F26" s="178"/>
      <c r="G26" s="444">
        <f>+G27</f>
        <v>0</v>
      </c>
      <c r="H26" s="444">
        <f>+H27</f>
        <v>0</v>
      </c>
      <c r="I26" s="444">
        <f>+I27</f>
        <v>0</v>
      </c>
      <c r="J26" s="277">
        <f>SUM(J27)</f>
        <v>0</v>
      </c>
      <c r="K26" s="341"/>
      <c r="L26" s="280">
        <f>SUM(L27:L27)</f>
        <v>0</v>
      </c>
      <c r="M26" s="341"/>
      <c r="N26" s="280">
        <f t="shared" si="1"/>
        <v>0</v>
      </c>
    </row>
    <row r="27" spans="1:17" s="764" customFormat="1" ht="26.25" thickBot="1">
      <c r="A27" s="55" t="s">
        <v>644</v>
      </c>
      <c r="B27" s="22" t="s">
        <v>237</v>
      </c>
      <c r="C27" s="22">
        <v>83990</v>
      </c>
      <c r="D27" s="21" t="s">
        <v>635</v>
      </c>
      <c r="E27" s="21">
        <v>1</v>
      </c>
      <c r="F27" s="631"/>
      <c r="G27" s="631"/>
      <c r="H27" s="631"/>
      <c r="I27" s="631"/>
      <c r="J27" s="704"/>
      <c r="K27" s="340"/>
      <c r="L27" s="1223">
        <f>26459577-26459577</f>
        <v>0</v>
      </c>
      <c r="M27" s="340"/>
      <c r="N27" s="1223">
        <f t="shared" si="1"/>
        <v>0</v>
      </c>
    </row>
    <row r="28" spans="1:17" s="268" customFormat="1" ht="68.25" customHeight="1" thickBot="1">
      <c r="A28" s="575" t="s">
        <v>43</v>
      </c>
      <c r="B28" s="1240"/>
      <c r="C28" s="1240"/>
      <c r="D28" s="1241" t="s">
        <v>215</v>
      </c>
      <c r="E28" s="1241">
        <v>100</v>
      </c>
      <c r="F28" s="1241"/>
      <c r="G28" s="1242">
        <f>+G29</f>
        <v>97327818</v>
      </c>
      <c r="H28" s="1242">
        <f t="shared" ref="H28:I28" si="3">+H29</f>
        <v>0</v>
      </c>
      <c r="I28" s="1242">
        <f t="shared" si="3"/>
        <v>200373217</v>
      </c>
      <c r="J28" s="1243">
        <f>+J29</f>
        <v>297701035</v>
      </c>
      <c r="K28" s="341"/>
      <c r="L28" s="1244">
        <f>+L29</f>
        <v>0</v>
      </c>
      <c r="M28" s="341"/>
      <c r="N28" s="1244">
        <f t="shared" si="1"/>
        <v>297701035</v>
      </c>
    </row>
    <row r="29" spans="1:17" s="268" customFormat="1" ht="102">
      <c r="A29" s="1088" t="s">
        <v>300</v>
      </c>
      <c r="B29" s="1071"/>
      <c r="C29" s="1071"/>
      <c r="D29" s="1090" t="s">
        <v>298</v>
      </c>
      <c r="E29" s="1090">
        <v>127742</v>
      </c>
      <c r="F29" s="1232"/>
      <c r="G29" s="1232">
        <f>SUM(G30:G31)</f>
        <v>97327818</v>
      </c>
      <c r="H29" s="1232">
        <f>SUM(H30:H31)</f>
        <v>0</v>
      </c>
      <c r="I29" s="1232">
        <f>SUM(I30:I31)</f>
        <v>200373217</v>
      </c>
      <c r="J29" s="1224">
        <f>SUM(J30:J31)</f>
        <v>297701035</v>
      </c>
      <c r="K29" s="341"/>
      <c r="L29" s="1225">
        <f>SUM(L30:L31)</f>
        <v>0</v>
      </c>
      <c r="M29" s="341"/>
      <c r="N29" s="1225">
        <f t="shared" si="1"/>
        <v>297701035</v>
      </c>
      <c r="Q29" s="1972"/>
    </row>
    <row r="30" spans="1:17" s="762" customFormat="1">
      <c r="A30" s="760" t="s">
        <v>645</v>
      </c>
      <c r="B30" s="1626" t="s">
        <v>475</v>
      </c>
      <c r="C30" s="1626">
        <v>91131</v>
      </c>
      <c r="D30" s="1627" t="s">
        <v>642</v>
      </c>
      <c r="E30" s="773">
        <v>127742</v>
      </c>
      <c r="F30" s="687">
        <v>5023.183897588352</v>
      </c>
      <c r="G30" s="687">
        <f>441298340-407611280+4787068</f>
        <v>38474128</v>
      </c>
      <c r="H30" s="687"/>
      <c r="I30" s="687">
        <v>200373217</v>
      </c>
      <c r="J30" s="774">
        <f>+I30+G30</f>
        <v>238847345</v>
      </c>
      <c r="K30" s="340"/>
      <c r="L30" s="867"/>
      <c r="M30" s="340"/>
      <c r="N30" s="867">
        <f t="shared" si="1"/>
        <v>238847345</v>
      </c>
    </row>
    <row r="31" spans="1:17" s="762" customFormat="1" ht="15.75" thickBot="1">
      <c r="A31" s="55" t="s">
        <v>640</v>
      </c>
      <c r="B31" s="22" t="s">
        <v>237</v>
      </c>
      <c r="C31" s="22">
        <v>83990</v>
      </c>
      <c r="D31" s="21" t="s">
        <v>635</v>
      </c>
      <c r="E31" s="21">
        <v>1</v>
      </c>
      <c r="F31" s="1220">
        <f>+J30*10%</f>
        <v>23884734.5</v>
      </c>
      <c r="G31" s="1220">
        <f>64167156-526398-4787068</f>
        <v>58853690</v>
      </c>
      <c r="H31" s="1220"/>
      <c r="I31" s="1220">
        <v>0</v>
      </c>
      <c r="J31" s="1987">
        <f>+G31</f>
        <v>58853690</v>
      </c>
      <c r="K31" s="340"/>
      <c r="L31" s="1223"/>
      <c r="M31" s="340"/>
      <c r="N31" s="1223">
        <f t="shared" si="1"/>
        <v>58853690</v>
      </c>
      <c r="O31" s="1871"/>
    </row>
    <row r="32" spans="1:17" s="268" customFormat="1" ht="64.5" thickBot="1">
      <c r="A32" s="575" t="s">
        <v>44</v>
      </c>
      <c r="B32" s="1240"/>
      <c r="C32" s="1240"/>
      <c r="D32" s="1241" t="s">
        <v>293</v>
      </c>
      <c r="E32" s="1241">
        <v>500</v>
      </c>
      <c r="F32" s="1241"/>
      <c r="G32" s="1242">
        <f>+G33</f>
        <v>188818924</v>
      </c>
      <c r="H32" s="1242">
        <f>+H33</f>
        <v>0</v>
      </c>
      <c r="I32" s="1242">
        <f>+I33</f>
        <v>1055263</v>
      </c>
      <c r="J32" s="1243">
        <f>J33</f>
        <v>189874187</v>
      </c>
      <c r="K32" s="341"/>
      <c r="L32" s="1244">
        <f>+L33</f>
        <v>26459577</v>
      </c>
      <c r="M32" s="341"/>
      <c r="N32" s="1244">
        <f t="shared" si="1"/>
        <v>216333764</v>
      </c>
    </row>
    <row r="33" spans="1:14" s="268" customFormat="1" ht="51">
      <c r="A33" s="1088" t="s">
        <v>452</v>
      </c>
      <c r="B33" s="1071"/>
      <c r="C33" s="1071"/>
      <c r="D33" s="1090" t="s">
        <v>293</v>
      </c>
      <c r="E33" s="1090">
        <v>110</v>
      </c>
      <c r="F33" s="1090"/>
      <c r="G33" s="1232">
        <f>+G34</f>
        <v>188818924</v>
      </c>
      <c r="H33" s="1090"/>
      <c r="I33" s="1232">
        <f>+I34</f>
        <v>1055263</v>
      </c>
      <c r="J33" s="1224">
        <f>SUM(J34:J34)</f>
        <v>189874187</v>
      </c>
      <c r="K33" s="341"/>
      <c r="L33" s="1225">
        <f>SUM(L34:L34)</f>
        <v>26459577</v>
      </c>
      <c r="M33" s="341"/>
      <c r="N33" s="1225">
        <f t="shared" si="1"/>
        <v>216333764</v>
      </c>
    </row>
    <row r="34" spans="1:14" s="764" customFormat="1" ht="13.5" thickBot="1">
      <c r="A34" s="54" t="s">
        <v>646</v>
      </c>
      <c r="B34" s="196" t="s">
        <v>927</v>
      </c>
      <c r="C34" s="196" t="s">
        <v>919</v>
      </c>
      <c r="D34" s="131" t="s">
        <v>293</v>
      </c>
      <c r="E34" s="131">
        <v>110</v>
      </c>
      <c r="F34" s="706">
        <v>1500000</v>
      </c>
      <c r="G34" s="706">
        <f>180355230+11767573-3303879</f>
        <v>188818924</v>
      </c>
      <c r="H34" s="706"/>
      <c r="I34" s="706">
        <v>1055263</v>
      </c>
      <c r="J34" s="1988">
        <f>SUM(G34:I34)</f>
        <v>189874187</v>
      </c>
      <c r="K34" s="340"/>
      <c r="L34" s="1989">
        <v>26459577</v>
      </c>
      <c r="M34" s="340"/>
      <c r="N34" s="1989">
        <f>+J34+L34</f>
        <v>216333764</v>
      </c>
    </row>
    <row r="35" spans="1:14" s="268" customFormat="1" ht="15.75" customHeight="1" thickBot="1">
      <c r="A35" s="2392" t="s">
        <v>10</v>
      </c>
      <c r="B35" s="2393"/>
      <c r="C35" s="2393"/>
      <c r="D35" s="2393"/>
      <c r="E35" s="2393"/>
      <c r="F35" s="2426"/>
      <c r="G35" s="1441">
        <f>+G7+G10+G21+G28+G32</f>
        <v>742773850</v>
      </c>
      <c r="H35" s="1441">
        <f>+H7+H10+H21+H28+H32</f>
        <v>13258003</v>
      </c>
      <c r="I35" s="1441">
        <f>+I7+I10+I21+I28+I32</f>
        <v>373740565</v>
      </c>
      <c r="J35" s="1442">
        <f>+J7+J10+J21+J28+J32</f>
        <v>1129772418</v>
      </c>
      <c r="K35" s="870"/>
      <c r="L35" s="1443">
        <f>+L7+L10+L21+L28+L32</f>
        <v>26459577</v>
      </c>
      <c r="M35" s="870"/>
      <c r="N35" s="1443">
        <f>+J35+L35</f>
        <v>1156231995</v>
      </c>
    </row>
    <row r="36" spans="1:14" ht="15.75" thickBot="1">
      <c r="F36" s="453"/>
      <c r="G36" s="453"/>
      <c r="H36" s="453"/>
      <c r="I36" s="453"/>
      <c r="J36" s="355"/>
      <c r="K36" s="871"/>
      <c r="L36" s="355"/>
      <c r="M36" s="871"/>
      <c r="N36" s="355"/>
    </row>
    <row r="37" spans="1:14" ht="15.75" thickBot="1">
      <c r="G37" s="886">
        <v>742773850</v>
      </c>
      <c r="H37" s="743">
        <v>13258003</v>
      </c>
      <c r="I37" s="743">
        <v>373740565</v>
      </c>
      <c r="J37" s="887">
        <v>1129772418.1903043</v>
      </c>
      <c r="K37" s="870"/>
      <c r="L37" s="873">
        <v>26459577</v>
      </c>
      <c r="M37" s="870"/>
      <c r="N37" s="873">
        <v>1156231995.1903043</v>
      </c>
    </row>
    <row r="38" spans="1:14">
      <c r="K38" s="866"/>
    </row>
    <row r="39" spans="1:14">
      <c r="G39" s="124">
        <f>+G37-G35</f>
        <v>0</v>
      </c>
      <c r="H39" s="124">
        <f t="shared" ref="H39:J39" si="4">+H37-H35</f>
        <v>0</v>
      </c>
      <c r="I39" s="124">
        <f t="shared" si="4"/>
        <v>0</v>
      </c>
      <c r="J39" s="124">
        <f t="shared" si="4"/>
        <v>0.19030427932739258</v>
      </c>
      <c r="K39" s="872"/>
      <c r="L39" s="124">
        <f t="shared" ref="L39:N39" si="5">+L37-L35</f>
        <v>0</v>
      </c>
      <c r="M39" s="872"/>
      <c r="N39" s="124">
        <f t="shared" si="5"/>
        <v>0.19030427932739258</v>
      </c>
    </row>
    <row r="40" spans="1:14">
      <c r="K40" s="866"/>
    </row>
    <row r="41" spans="1:14">
      <c r="G41" s="124"/>
      <c r="K41" s="866"/>
    </row>
    <row r="42" spans="1:14">
      <c r="G42" s="124"/>
    </row>
    <row r="44" spans="1:14">
      <c r="G44" s="2151">
        <v>33687060</v>
      </c>
      <c r="H44" s="2151"/>
      <c r="I44" s="2151">
        <v>200373217</v>
      </c>
      <c r="J44" s="2152">
        <v>234060277</v>
      </c>
      <c r="K44" s="2152"/>
      <c r="L44" s="2152"/>
      <c r="M44" s="2153"/>
      <c r="N44" s="2152">
        <v>234060277</v>
      </c>
    </row>
    <row r="45" spans="1:14">
      <c r="G45" s="2151">
        <v>63640758</v>
      </c>
      <c r="H45" s="2151"/>
      <c r="I45" s="2151">
        <v>0</v>
      </c>
      <c r="J45" s="2152">
        <v>63640758</v>
      </c>
      <c r="K45" s="2152"/>
      <c r="L45" s="2152"/>
      <c r="M45" s="2153"/>
      <c r="N45" s="2152">
        <v>63640758</v>
      </c>
    </row>
  </sheetData>
  <mergeCells count="17">
    <mergeCell ref="J4:J6"/>
    <mergeCell ref="L4:L5"/>
    <mergeCell ref="A18:A19"/>
    <mergeCell ref="A35:F35"/>
    <mergeCell ref="N4:N6"/>
    <mergeCell ref="I5:I6"/>
    <mergeCell ref="A1:H1"/>
    <mergeCell ref="A2:H2"/>
    <mergeCell ref="A4:A6"/>
    <mergeCell ref="B4:B6"/>
    <mergeCell ref="C4:C6"/>
    <mergeCell ref="D4:D6"/>
    <mergeCell ref="G5:G6"/>
    <mergeCell ref="H5:H6"/>
    <mergeCell ref="E4:E6"/>
    <mergeCell ref="F4:F6"/>
    <mergeCell ref="G4:I4"/>
  </mergeCells>
  <pageMargins left="0.7" right="0.7" top="0.75" bottom="0.75" header="0.3" footer="0.3"/>
  <pageSetup orientation="portrait" verticalDpi="597"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tabColor theme="7" tint="0.59999389629810485"/>
  </sheetPr>
  <dimension ref="A1:Q26"/>
  <sheetViews>
    <sheetView topLeftCell="E1" zoomScale="69" zoomScaleNormal="69" workbookViewId="0">
      <selection activeCell="G23" sqref="G23"/>
    </sheetView>
  </sheetViews>
  <sheetFormatPr baseColWidth="10" defaultRowHeight="15"/>
  <cols>
    <col min="1" max="1" width="13.7109375" customWidth="1"/>
    <col min="2" max="2" width="38.140625" customWidth="1"/>
    <col min="3" max="3" width="14.28515625" hidden="1" customWidth="1"/>
    <col min="4" max="4" width="15.5703125" hidden="1" customWidth="1"/>
    <col min="5" max="5" width="20.42578125" customWidth="1"/>
    <col min="6" max="6" width="22.5703125" customWidth="1"/>
    <col min="7" max="7" width="21.5703125" customWidth="1"/>
    <col min="8" max="8" width="21.28515625" customWidth="1"/>
    <col min="9" max="9" width="20" customWidth="1"/>
    <col min="10" max="10" width="4.7109375" customWidth="1"/>
    <col min="11" max="11" width="17.7109375" customWidth="1"/>
    <col min="12" max="13" width="18.140625" customWidth="1"/>
    <col min="14" max="14" width="17" customWidth="1"/>
    <col min="15" max="15" width="19.85546875" customWidth="1"/>
    <col min="16" max="16" width="1.7109375" style="828" customWidth="1"/>
    <col min="17" max="17" width="21.42578125" bestFit="1" customWidth="1"/>
  </cols>
  <sheetData>
    <row r="1" spans="1:17" s="1" customFormat="1" ht="23.25" customHeight="1">
      <c r="A1" s="2409" t="s">
        <v>184</v>
      </c>
      <c r="B1" s="2409"/>
      <c r="C1" s="2409"/>
      <c r="D1" s="2409"/>
      <c r="E1" s="2409"/>
      <c r="F1" s="2409"/>
      <c r="G1" s="2409"/>
      <c r="H1" s="2409"/>
      <c r="I1" s="2409"/>
      <c r="P1" s="807"/>
    </row>
    <row r="2" spans="1:17" s="1" customFormat="1" ht="24.75" customHeight="1">
      <c r="A2" s="2311" t="s">
        <v>185</v>
      </c>
      <c r="B2" s="2311"/>
      <c r="C2" s="2311"/>
      <c r="D2" s="2311"/>
      <c r="E2" s="2311"/>
      <c r="F2" s="2311"/>
      <c r="G2" s="2311"/>
      <c r="H2" s="2311"/>
      <c r="I2" s="2311"/>
      <c r="P2" s="807"/>
    </row>
    <row r="3" spans="1:17" ht="12.75" customHeight="1" thickBot="1"/>
    <row r="4" spans="1:17" ht="15" customHeight="1" thickBot="1">
      <c r="A4" s="2358" t="s">
        <v>394</v>
      </c>
      <c r="B4" s="2434" t="s">
        <v>290</v>
      </c>
      <c r="C4" s="2430">
        <v>2022</v>
      </c>
      <c r="D4" s="2430"/>
      <c r="E4" s="2430"/>
      <c r="F4" s="2430"/>
      <c r="G4" s="2430"/>
      <c r="H4" s="2430"/>
      <c r="I4" s="2430"/>
      <c r="K4" s="2317" t="s">
        <v>1003</v>
      </c>
      <c r="L4" s="2318"/>
      <c r="M4" s="2318"/>
      <c r="N4" s="2319"/>
      <c r="O4" s="2364" t="s">
        <v>1005</v>
      </c>
      <c r="P4" s="829"/>
      <c r="Q4" s="2364" t="s">
        <v>1006</v>
      </c>
    </row>
    <row r="5" spans="1:17" ht="15" customHeight="1" thickBot="1">
      <c r="A5" s="2359"/>
      <c r="B5" s="2435"/>
      <c r="C5" s="2438" t="s">
        <v>200</v>
      </c>
      <c r="D5" s="2433" t="s">
        <v>201</v>
      </c>
      <c r="E5" s="2433" t="s">
        <v>199</v>
      </c>
      <c r="F5" s="2433"/>
      <c r="G5" s="2433"/>
      <c r="H5" s="2433"/>
      <c r="I5" s="2431" t="s">
        <v>205</v>
      </c>
      <c r="K5" s="2440" t="s">
        <v>1173</v>
      </c>
      <c r="L5" s="2440" t="s">
        <v>203</v>
      </c>
      <c r="M5" s="2440" t="s">
        <v>1017</v>
      </c>
      <c r="N5" s="2440" t="s">
        <v>385</v>
      </c>
      <c r="O5" s="2365"/>
      <c r="P5" s="829"/>
      <c r="Q5" s="2365"/>
    </row>
    <row r="6" spans="1:17" ht="36.75" customHeight="1" thickBot="1">
      <c r="A6" s="2360"/>
      <c r="B6" s="2436"/>
      <c r="C6" s="2439"/>
      <c r="D6" s="2437"/>
      <c r="E6" s="1245" t="s">
        <v>202</v>
      </c>
      <c r="F6" s="1245" t="s">
        <v>204</v>
      </c>
      <c r="G6" s="1245" t="s">
        <v>256</v>
      </c>
      <c r="H6" s="1245" t="s">
        <v>203</v>
      </c>
      <c r="I6" s="2432"/>
      <c r="K6" s="2441"/>
      <c r="L6" s="2441"/>
      <c r="M6" s="2441"/>
      <c r="N6" s="2441"/>
      <c r="O6" s="2391"/>
      <c r="P6" s="829"/>
      <c r="Q6" s="2391"/>
    </row>
    <row r="7" spans="1:17" ht="64.5" customHeight="1" thickBot="1">
      <c r="A7" s="652">
        <v>3203039</v>
      </c>
      <c r="B7" s="643" t="s">
        <v>39</v>
      </c>
      <c r="C7" s="644" t="s">
        <v>215</v>
      </c>
      <c r="D7" s="644">
        <v>60</v>
      </c>
      <c r="E7" s="645">
        <f>+E8</f>
        <v>651676540</v>
      </c>
      <c r="F7" s="645">
        <f t="shared" ref="F7:H7" si="0">+F8</f>
        <v>0</v>
      </c>
      <c r="G7" s="645">
        <f t="shared" si="0"/>
        <v>0</v>
      </c>
      <c r="H7" s="645">
        <f t="shared" si="0"/>
        <v>1825981174.648</v>
      </c>
      <c r="I7" s="646">
        <f>+'ACCIONES 320301'!L7</f>
        <v>2477657714.6479998</v>
      </c>
      <c r="J7" s="50">
        <f>+(E7+F7+G7+H7)-I7</f>
        <v>0</v>
      </c>
      <c r="K7" s="1248">
        <f>+'ACCIONES 320301'!N7</f>
        <v>0</v>
      </c>
      <c r="L7" s="1249">
        <f>+'ACCIONES 320301'!O7</f>
        <v>0</v>
      </c>
      <c r="M7" s="1249">
        <f>+'ACCIONES 320301'!P7</f>
        <v>0</v>
      </c>
      <c r="N7" s="1249">
        <f>+'ACCIONES 320301'!Q7</f>
        <v>0</v>
      </c>
      <c r="O7" s="646">
        <f>+'ACCIONES 320301'!R7</f>
        <v>0</v>
      </c>
      <c r="P7" s="872"/>
      <c r="Q7" s="891">
        <f>+'ACCIONES 320301'!T7</f>
        <v>2477657714.6479998</v>
      </c>
    </row>
    <row r="8" spans="1:17" ht="26.25" customHeight="1" thickBot="1">
      <c r="B8" s="458" t="s">
        <v>301</v>
      </c>
      <c r="C8" s="571" t="s">
        <v>211</v>
      </c>
      <c r="D8" s="571">
        <v>1</v>
      </c>
      <c r="E8" s="1246">
        <f>+'ACCIONES 320301'!H8</f>
        <v>651676540</v>
      </c>
      <c r="F8" s="1246">
        <f>+'ACCIONES 320301'!I8</f>
        <v>0</v>
      </c>
      <c r="G8" s="1246">
        <f>+'ACCIONES 320301'!J8</f>
        <v>0</v>
      </c>
      <c r="H8" s="1246">
        <f>+'ACCIONES 320301'!K8</f>
        <v>1825981174.648</v>
      </c>
      <c r="I8" s="647">
        <f>+'ACCIONES 320301'!L8</f>
        <v>2477657714.6479998</v>
      </c>
      <c r="J8" s="50">
        <f t="shared" ref="J8:J13" si="1">+(E8+F8+G8+H8)-I8</f>
        <v>0</v>
      </c>
      <c r="K8" s="1448">
        <f>+'ACCIONES 320301'!N8</f>
        <v>0</v>
      </c>
      <c r="L8" s="1246">
        <f>+'ACCIONES 320301'!O8</f>
        <v>0</v>
      </c>
      <c r="M8" s="1246">
        <f>+'ACCIONES 320301'!P8</f>
        <v>0</v>
      </c>
      <c r="N8" s="1246">
        <f>+'ACCIONES 320301'!Q8</f>
        <v>0</v>
      </c>
      <c r="O8" s="647">
        <f>+'ACCIONES 320301'!R8</f>
        <v>0</v>
      </c>
      <c r="P8" s="888"/>
      <c r="Q8" s="892">
        <f>+'ACCIONES 320301'!T8</f>
        <v>2477657714.6479998</v>
      </c>
    </row>
    <row r="9" spans="1:17" ht="64.5" customHeight="1" thickBot="1">
      <c r="A9" s="652">
        <v>3203047</v>
      </c>
      <c r="B9" s="643" t="s">
        <v>40</v>
      </c>
      <c r="C9" s="644" t="s">
        <v>215</v>
      </c>
      <c r="D9" s="644">
        <v>100</v>
      </c>
      <c r="E9" s="645">
        <f>+E10</f>
        <v>2591105121.9959998</v>
      </c>
      <c r="F9" s="645">
        <f t="shared" ref="F9:H9" si="2">+F10</f>
        <v>1905980147</v>
      </c>
      <c r="G9" s="645">
        <f t="shared" si="2"/>
        <v>0</v>
      </c>
      <c r="H9" s="645">
        <f t="shared" si="2"/>
        <v>198505545</v>
      </c>
      <c r="I9" s="646">
        <f>+'ACCIONES 320301'!L13</f>
        <v>4695590813.9959993</v>
      </c>
      <c r="J9" s="50">
        <f t="shared" si="1"/>
        <v>0</v>
      </c>
      <c r="K9" s="1248">
        <f>+'ACCIONES 320301'!N13</f>
        <v>75451567</v>
      </c>
      <c r="L9" s="1249">
        <f>+'ACCIONES 320301'!O13</f>
        <v>79194122</v>
      </c>
      <c r="M9" s="1249">
        <f>+'ACCIONES 320301'!P13</f>
        <v>316972509</v>
      </c>
      <c r="N9" s="1249">
        <f>+'ACCIONES 320301'!Q13</f>
        <v>0</v>
      </c>
      <c r="O9" s="646">
        <f>+'ACCIONES 320301'!R13</f>
        <v>471618198</v>
      </c>
      <c r="P9" s="872"/>
      <c r="Q9" s="891">
        <f>+'ACCIONES 320301'!T13</f>
        <v>5167209011.9959993</v>
      </c>
    </row>
    <row r="10" spans="1:17" s="71" customFormat="1" ht="66" customHeight="1" thickBot="1">
      <c r="B10" s="648" t="s">
        <v>453</v>
      </c>
      <c r="C10" s="571" t="s">
        <v>215</v>
      </c>
      <c r="D10" s="571">
        <v>75</v>
      </c>
      <c r="E10" s="1247">
        <f>+'ACCIONES 320301'!H14</f>
        <v>2591105121.9959998</v>
      </c>
      <c r="F10" s="1247">
        <f>+'ACCIONES 320301'!I14</f>
        <v>1905980147</v>
      </c>
      <c r="G10" s="1247">
        <f>+'ACCIONES 320301'!J14</f>
        <v>0</v>
      </c>
      <c r="H10" s="1247">
        <f>+'ACCIONES 320301'!K14</f>
        <v>198505545</v>
      </c>
      <c r="I10" s="649">
        <f>+'ACCIONES 320301'!L14</f>
        <v>4695590813.9959993</v>
      </c>
      <c r="J10" s="50">
        <f t="shared" si="1"/>
        <v>0</v>
      </c>
      <c r="K10" s="1449">
        <f>+'ACCIONES 320301'!N14</f>
        <v>75451567</v>
      </c>
      <c r="L10" s="1247">
        <f>+'ACCIONES 320301'!O14</f>
        <v>79194122</v>
      </c>
      <c r="M10" s="1247">
        <f>+'ACCIONES 320301'!P14</f>
        <v>316972509</v>
      </c>
      <c r="N10" s="1247">
        <f>+'ACCIONES 320301'!Q14</f>
        <v>0</v>
      </c>
      <c r="O10" s="649">
        <f>+'ACCIONES 320301'!R14</f>
        <v>471618198</v>
      </c>
      <c r="P10" s="872"/>
      <c r="Q10" s="893">
        <f>+'ACCIONES 320301'!T14</f>
        <v>5167209011.9959993</v>
      </c>
    </row>
    <row r="11" spans="1:17" ht="110.25" customHeight="1" thickBot="1">
      <c r="A11" s="653">
        <v>3203047</v>
      </c>
      <c r="B11" s="654" t="s">
        <v>302</v>
      </c>
      <c r="C11" s="650" t="s">
        <v>211</v>
      </c>
      <c r="D11" s="650">
        <v>1</v>
      </c>
      <c r="E11" s="577">
        <v>0</v>
      </c>
      <c r="F11" s="577">
        <v>0</v>
      </c>
      <c r="G11" s="577">
        <f>+G12</f>
        <v>2541158677</v>
      </c>
      <c r="H11" s="577">
        <v>0</v>
      </c>
      <c r="I11" s="651">
        <f>+'ACCIONES 320301'!L35</f>
        <v>2541158677</v>
      </c>
      <c r="J11" s="50">
        <f t="shared" si="1"/>
        <v>0</v>
      </c>
      <c r="K11" s="1250">
        <f>+'ACCIONES 320301'!N35</f>
        <v>0</v>
      </c>
      <c r="L11" s="1251">
        <f>+'ACCIONES 320301'!O35</f>
        <v>0</v>
      </c>
      <c r="M11" s="1251">
        <f>+'ACCIONES 320301'!P35</f>
        <v>0</v>
      </c>
      <c r="N11" s="1251">
        <f>+'ACCIONES 320301'!Q35</f>
        <v>85569460</v>
      </c>
      <c r="O11" s="651">
        <f>+'ACCIONES 320301'!R35</f>
        <v>85569460</v>
      </c>
      <c r="P11" s="872"/>
      <c r="Q11" s="894">
        <f>+'ACCIONES 320301'!T35</f>
        <v>2626728137</v>
      </c>
    </row>
    <row r="12" spans="1:17" ht="27" customHeight="1" thickBot="1">
      <c r="B12" s="655" t="s">
        <v>659</v>
      </c>
      <c r="C12" s="656"/>
      <c r="D12" s="656"/>
      <c r="E12" s="657"/>
      <c r="F12" s="657"/>
      <c r="G12" s="657">
        <v>2541158677</v>
      </c>
      <c r="H12" s="657"/>
      <c r="I12" s="658">
        <f>+'ACCIONES 320301'!L35</f>
        <v>2541158677</v>
      </c>
      <c r="J12" s="50">
        <f t="shared" si="1"/>
        <v>0</v>
      </c>
      <c r="K12" s="1450">
        <f>+'ACCIONES 320301'!N35</f>
        <v>0</v>
      </c>
      <c r="L12" s="1451">
        <f>+'ACCIONES 320301'!O35</f>
        <v>0</v>
      </c>
      <c r="M12" s="1451">
        <f>+'ACCIONES 320301'!P35</f>
        <v>0</v>
      </c>
      <c r="N12" s="1451">
        <f>+'ACCIONES 320301'!Q35</f>
        <v>85569460</v>
      </c>
      <c r="O12" s="658">
        <f>+'ACCIONES 320301'!R35</f>
        <v>85569460</v>
      </c>
      <c r="P12" s="872"/>
      <c r="Q12" s="895">
        <f>+'ACCIONES 320301'!T35</f>
        <v>2626728137</v>
      </c>
    </row>
    <row r="13" spans="1:17" ht="24" customHeight="1" thickBot="1">
      <c r="B13" s="2427" t="s">
        <v>278</v>
      </c>
      <c r="C13" s="2428"/>
      <c r="D13" s="2429"/>
      <c r="E13" s="1444">
        <f>+E11+E9+E7</f>
        <v>3242781661.9959998</v>
      </c>
      <c r="F13" s="1444">
        <f t="shared" ref="F13:H13" si="3">+F11+F9+F7</f>
        <v>1905980147</v>
      </c>
      <c r="G13" s="1444">
        <f t="shared" si="3"/>
        <v>2541158677</v>
      </c>
      <c r="H13" s="1444">
        <f t="shared" si="3"/>
        <v>2024486719.648</v>
      </c>
      <c r="I13" s="1445">
        <f>+I7+I9+I11</f>
        <v>9714407205.6439991</v>
      </c>
      <c r="J13" s="50">
        <f t="shared" si="1"/>
        <v>0</v>
      </c>
      <c r="K13" s="1446">
        <f>+'ACCIONES 320301'!N37</f>
        <v>75451567</v>
      </c>
      <c r="L13" s="1445">
        <f>+'ACCIONES 320301'!O37</f>
        <v>79194122</v>
      </c>
      <c r="M13" s="1445">
        <f>+'ACCIONES 320301'!P37</f>
        <v>316972509</v>
      </c>
      <c r="N13" s="1445">
        <f>+'ACCIONES 320301'!Q37</f>
        <v>85569460</v>
      </c>
      <c r="O13" s="1445">
        <f>+'ACCIONES 320301'!R37</f>
        <v>557187658</v>
      </c>
      <c r="P13" s="889"/>
      <c r="Q13" s="1447">
        <f>+'ACCIONES 320301'!T37</f>
        <v>10271594863.643999</v>
      </c>
    </row>
    <row r="15" spans="1:17" ht="15.75" thickBot="1"/>
    <row r="16" spans="1:17" ht="15.75" thickBot="1">
      <c r="E16" s="745">
        <f>3297911485-55129823</f>
        <v>3242781662</v>
      </c>
      <c r="F16" s="745">
        <v>1905980147</v>
      </c>
      <c r="G16" s="745">
        <v>2541158677</v>
      </c>
      <c r="H16" s="745">
        <v>2024486719.648</v>
      </c>
      <c r="I16" s="2010">
        <v>9714407205.6480007</v>
      </c>
      <c r="J16" s="302"/>
      <c r="K16" s="745">
        <v>75451567</v>
      </c>
      <c r="L16" s="745">
        <v>79194122</v>
      </c>
      <c r="M16" s="745">
        <v>316972509</v>
      </c>
      <c r="N16" s="745">
        <f>23069460+62500000</f>
        <v>85569460</v>
      </c>
      <c r="O16" s="745">
        <f>+SUM(K16:N16)</f>
        <v>557187658</v>
      </c>
      <c r="P16"/>
      <c r="Q16" s="745">
        <f>+O16+I16</f>
        <v>10271594863.648001</v>
      </c>
    </row>
    <row r="18" spans="5:17">
      <c r="E18" s="50">
        <f>+E16-E13</f>
        <v>4.0001869201660156E-3</v>
      </c>
      <c r="F18" s="50">
        <f t="shared" ref="F18:Q18" si="4">+F16-F13</f>
        <v>0</v>
      </c>
      <c r="G18" s="50">
        <f t="shared" si="4"/>
        <v>0</v>
      </c>
      <c r="H18" s="50">
        <f t="shared" si="4"/>
        <v>0</v>
      </c>
      <c r="I18" s="50">
        <f t="shared" si="4"/>
        <v>4.001617431640625E-3</v>
      </c>
      <c r="J18" s="50"/>
      <c r="K18" s="50">
        <f t="shared" si="4"/>
        <v>0</v>
      </c>
      <c r="L18" s="50">
        <f t="shared" si="4"/>
        <v>0</v>
      </c>
      <c r="M18" s="50">
        <f t="shared" si="4"/>
        <v>0</v>
      </c>
      <c r="N18" s="50">
        <f t="shared" si="4"/>
        <v>0</v>
      </c>
      <c r="O18" s="50">
        <f>+O16-O13</f>
        <v>0</v>
      </c>
      <c r="P18" s="890"/>
      <c r="Q18" s="50">
        <f t="shared" si="4"/>
        <v>4.001617431640625E-3</v>
      </c>
    </row>
    <row r="23" spans="5:17">
      <c r="G23" s="62">
        <f>+H16+L16</f>
        <v>2103680841.648</v>
      </c>
    </row>
    <row r="26" spans="5:17">
      <c r="F26" s="62"/>
    </row>
  </sheetData>
  <mergeCells count="17">
    <mergeCell ref="O4:O6"/>
    <mergeCell ref="Q4:Q6"/>
    <mergeCell ref="K5:K6"/>
    <mergeCell ref="L5:L6"/>
    <mergeCell ref="M5:M6"/>
    <mergeCell ref="K4:N4"/>
    <mergeCell ref="N5:N6"/>
    <mergeCell ref="B13:D13"/>
    <mergeCell ref="A1:I1"/>
    <mergeCell ref="A2:I2"/>
    <mergeCell ref="C4:I4"/>
    <mergeCell ref="I5:I6"/>
    <mergeCell ref="E5:H5"/>
    <mergeCell ref="A4:A6"/>
    <mergeCell ref="B4:B6"/>
    <mergeCell ref="D5:D6"/>
    <mergeCell ref="C5:C6"/>
  </mergeCells>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3">
    <tabColor theme="7" tint="0.59999389629810485"/>
  </sheetPr>
  <dimension ref="A1:AA43"/>
  <sheetViews>
    <sheetView zoomScale="80" zoomScaleNormal="80" workbookViewId="0">
      <pane ySplit="6" topLeftCell="A7" activePane="bottomLeft" state="frozen"/>
      <selection pane="bottomLeft" activeCell="X2" sqref="X2"/>
    </sheetView>
  </sheetViews>
  <sheetFormatPr baseColWidth="10" defaultRowHeight="15"/>
  <cols>
    <col min="1" max="1" width="35.28515625" customWidth="1"/>
    <col min="2" max="2" width="25.7109375" style="453" hidden="1" customWidth="1"/>
    <col min="3" max="3" width="7.42578125" style="453" hidden="1" customWidth="1"/>
    <col min="4" max="4" width="10.28515625" style="453" hidden="1" customWidth="1"/>
    <col min="5" max="5" width="12.85546875" style="453" hidden="1" customWidth="1"/>
    <col min="6" max="6" width="11.42578125" style="453" hidden="1" customWidth="1"/>
    <col min="7" max="7" width="15.140625" style="453" hidden="1" customWidth="1"/>
    <col min="8" max="8" width="16.42578125" style="453" customWidth="1"/>
    <col min="9" max="9" width="15.140625" style="453" bestFit="1" customWidth="1"/>
    <col min="10" max="10" width="15.140625" style="453" customWidth="1"/>
    <col min="11" max="11" width="15.140625" style="453" bestFit="1" customWidth="1"/>
    <col min="12" max="12" width="15.140625" bestFit="1" customWidth="1"/>
    <col min="13" max="13" width="1.28515625" hidden="1" customWidth="1"/>
    <col min="14" max="14" width="12.85546875" customWidth="1"/>
    <col min="15" max="15" width="12.42578125" bestFit="1" customWidth="1"/>
    <col min="16" max="16" width="13.5703125" customWidth="1"/>
    <col min="17" max="17" width="13.42578125" customWidth="1"/>
    <col min="18" max="18" width="21" customWidth="1"/>
    <col min="19" max="19" width="6.28515625" hidden="1" customWidth="1"/>
    <col min="20" max="20" width="14.85546875" customWidth="1"/>
    <col min="22" max="22" width="20.85546875" bestFit="1" customWidth="1"/>
    <col min="23" max="23" width="17.85546875" bestFit="1" customWidth="1"/>
    <col min="24" max="24" width="29.5703125" customWidth="1"/>
    <col min="25" max="25" width="15.28515625" bestFit="1" customWidth="1"/>
    <col min="27" max="27" width="15.28515625" bestFit="1" customWidth="1"/>
  </cols>
  <sheetData>
    <row r="1" spans="1:27" s="1" customFormat="1" ht="23.25" customHeight="1">
      <c r="A1" s="2409" t="s">
        <v>184</v>
      </c>
      <c r="B1" s="2409"/>
      <c r="C1" s="2409"/>
      <c r="D1" s="2409"/>
      <c r="E1" s="2409"/>
      <c r="F1" s="2409"/>
      <c r="G1" s="2409"/>
      <c r="H1" s="2409"/>
      <c r="I1" s="2409"/>
      <c r="U1" s="1663"/>
    </row>
    <row r="2" spans="1:27" s="1" customFormat="1" ht="24.75" customHeight="1">
      <c r="A2" s="2311" t="s">
        <v>944</v>
      </c>
      <c r="B2" s="2311"/>
      <c r="C2" s="2311"/>
      <c r="D2" s="2311"/>
      <c r="E2" s="2311"/>
      <c r="F2" s="2311"/>
      <c r="G2" s="2311"/>
      <c r="H2" s="2311"/>
      <c r="I2" s="2311"/>
      <c r="J2" s="1">
        <f>29577+397396+300531+144826+79192</f>
        <v>951522</v>
      </c>
      <c r="K2" s="1971"/>
      <c r="U2" s="1663"/>
    </row>
    <row r="3" spans="1:27" ht="15.75" thickBot="1">
      <c r="A3" s="302"/>
      <c r="I3" s="453">
        <f>50270402-42180657</f>
        <v>8089745</v>
      </c>
      <c r="L3" s="453"/>
      <c r="M3" s="302"/>
      <c r="U3" s="1664"/>
      <c r="V3" s="418"/>
      <c r="W3" s="418"/>
      <c r="X3" s="418"/>
      <c r="Y3" s="1"/>
    </row>
    <row r="4" spans="1:27" ht="20.25" customHeight="1" thickBot="1">
      <c r="A4" s="2312" t="s">
        <v>446</v>
      </c>
      <c r="B4" s="2312" t="s">
        <v>447</v>
      </c>
      <c r="C4" s="2312" t="s">
        <v>231</v>
      </c>
      <c r="D4" s="2312" t="s">
        <v>865</v>
      </c>
      <c r="E4" s="2312" t="s">
        <v>448</v>
      </c>
      <c r="F4" s="2312" t="s">
        <v>201</v>
      </c>
      <c r="G4" s="2312" t="s">
        <v>632</v>
      </c>
      <c r="H4" s="2433" t="s">
        <v>202</v>
      </c>
      <c r="I4" s="2433" t="s">
        <v>204</v>
      </c>
      <c r="J4" s="2433" t="s">
        <v>256</v>
      </c>
      <c r="K4" s="2433" t="s">
        <v>203</v>
      </c>
      <c r="L4" s="2312" t="s">
        <v>352</v>
      </c>
      <c r="M4" s="302"/>
      <c r="N4" s="2390" t="s">
        <v>1003</v>
      </c>
      <c r="O4" s="2390"/>
      <c r="P4" s="2390"/>
      <c r="Q4" s="1914"/>
      <c r="R4" s="2364" t="s">
        <v>1005</v>
      </c>
      <c r="S4" s="418"/>
      <c r="T4" s="2364" t="s">
        <v>1006</v>
      </c>
      <c r="U4" s="1664"/>
      <c r="V4" s="418"/>
      <c r="W4" s="418"/>
      <c r="X4" s="418"/>
      <c r="Y4" s="1"/>
    </row>
    <row r="5" spans="1:27" ht="15" customHeight="1" thickBot="1">
      <c r="A5" s="2312"/>
      <c r="B5" s="2312"/>
      <c r="C5" s="2312"/>
      <c r="D5" s="2312"/>
      <c r="E5" s="2312"/>
      <c r="F5" s="2312"/>
      <c r="G5" s="2312"/>
      <c r="H5" s="2433"/>
      <c r="I5" s="2433"/>
      <c r="J5" s="2433"/>
      <c r="K5" s="2433"/>
      <c r="L5" s="2312"/>
      <c r="M5" s="302"/>
      <c r="N5" s="2440" t="s">
        <v>204</v>
      </c>
      <c r="O5" s="2440" t="s">
        <v>203</v>
      </c>
      <c r="P5" s="2440" t="s">
        <v>1017</v>
      </c>
      <c r="Q5" s="2441" t="s">
        <v>385</v>
      </c>
      <c r="R5" s="2365"/>
      <c r="S5" s="418"/>
      <c r="T5" s="2365"/>
      <c r="U5" s="1664"/>
      <c r="V5" s="418"/>
      <c r="W5" s="418"/>
      <c r="X5" s="418"/>
      <c r="Y5" s="1"/>
    </row>
    <row r="6" spans="1:27" ht="18.75" customHeight="1" thickBot="1">
      <c r="A6" s="2330"/>
      <c r="B6" s="2330"/>
      <c r="C6" s="2330"/>
      <c r="D6" s="2330"/>
      <c r="E6" s="2330"/>
      <c r="F6" s="2330"/>
      <c r="G6" s="2330"/>
      <c r="H6" s="2437"/>
      <c r="I6" s="2437"/>
      <c r="J6" s="2437"/>
      <c r="K6" s="2437"/>
      <c r="L6" s="2330"/>
      <c r="M6" s="302"/>
      <c r="N6" s="2441"/>
      <c r="O6" s="2441"/>
      <c r="P6" s="2441"/>
      <c r="Q6" s="2442"/>
      <c r="R6" s="2391"/>
      <c r="S6" s="418"/>
      <c r="T6" s="2391"/>
      <c r="U6" s="1664"/>
      <c r="V6" s="418"/>
      <c r="W6" s="418"/>
      <c r="X6" s="418"/>
      <c r="Y6" s="1"/>
    </row>
    <row r="7" spans="1:27" ht="69" customHeight="1" thickBot="1">
      <c r="A7" s="643" t="s">
        <v>39</v>
      </c>
      <c r="B7" s="1258"/>
      <c r="C7" s="1258"/>
      <c r="D7" s="1258"/>
      <c r="E7" s="644" t="s">
        <v>215</v>
      </c>
      <c r="F7" s="644">
        <v>60</v>
      </c>
      <c r="G7" s="1259"/>
      <c r="H7" s="1259">
        <f>+H8</f>
        <v>651676540</v>
      </c>
      <c r="I7" s="1259">
        <f>+I8</f>
        <v>0</v>
      </c>
      <c r="J7" s="1259">
        <f>+J8</f>
        <v>0</v>
      </c>
      <c r="K7" s="1259">
        <f>+K8</f>
        <v>1825981174.648</v>
      </c>
      <c r="L7" s="1260">
        <f>+L8</f>
        <v>2477657714.6479998</v>
      </c>
      <c r="M7" s="302"/>
      <c r="N7" s="1261">
        <f>+N8</f>
        <v>0</v>
      </c>
      <c r="O7" s="1259">
        <f>+O8</f>
        <v>0</v>
      </c>
      <c r="P7" s="1259">
        <f>+P8</f>
        <v>0</v>
      </c>
      <c r="Q7" s="1259"/>
      <c r="R7" s="1260">
        <f>+R8</f>
        <v>0</v>
      </c>
      <c r="T7" s="1262">
        <f>+T8</f>
        <v>2477657714.6479998</v>
      </c>
      <c r="U7" s="1664"/>
      <c r="V7" s="418"/>
      <c r="W7" s="418"/>
      <c r="X7" s="418"/>
      <c r="Y7" s="1"/>
    </row>
    <row r="8" spans="1:27" ht="25.5">
      <c r="A8" s="1088" t="s">
        <v>301</v>
      </c>
      <c r="B8" s="1090"/>
      <c r="C8" s="1090"/>
      <c r="D8" s="1090"/>
      <c r="E8" s="1090" t="s">
        <v>211</v>
      </c>
      <c r="F8" s="1090">
        <v>1</v>
      </c>
      <c r="G8" s="1255"/>
      <c r="H8" s="1255">
        <f>SUM(H9:H12)</f>
        <v>651676540</v>
      </c>
      <c r="I8" s="1255">
        <f>SUM(I9:I11)</f>
        <v>0</v>
      </c>
      <c r="J8" s="1255">
        <f>SUM(J9:J11)</f>
        <v>0</v>
      </c>
      <c r="K8" s="1255">
        <f>SUM(K9:K11)</f>
        <v>1825981174.648</v>
      </c>
      <c r="L8" s="1256">
        <f>SUM(L9:L12)</f>
        <v>2477657714.6479998</v>
      </c>
      <c r="M8" s="641"/>
      <c r="N8" s="1272">
        <f>SUM(N9:N11)</f>
        <v>0</v>
      </c>
      <c r="O8" s="1255">
        <f>SUM(O9:O11)</f>
        <v>0</v>
      </c>
      <c r="P8" s="1255">
        <f>SUM(P9:P11)</f>
        <v>0</v>
      </c>
      <c r="Q8" s="1255"/>
      <c r="R8" s="1256">
        <f>SUM(R9:R12)</f>
        <v>0</v>
      </c>
      <c r="T8" s="1139">
        <f>SUM(T9:T12)</f>
        <v>2477657714.6479998</v>
      </c>
    </row>
    <row r="9" spans="1:27" s="1629" customFormat="1" ht="25.5">
      <c r="A9" s="760" t="s">
        <v>647</v>
      </c>
      <c r="B9" s="1626" t="s">
        <v>237</v>
      </c>
      <c r="C9" s="1626">
        <v>7490</v>
      </c>
      <c r="D9" s="1626">
        <v>83931</v>
      </c>
      <c r="E9" s="1627" t="s">
        <v>211</v>
      </c>
      <c r="F9" s="1627">
        <v>1</v>
      </c>
      <c r="G9" s="300">
        <v>2920674453</v>
      </c>
      <c r="H9" s="300">
        <f>135933485-29577</f>
        <v>135903908</v>
      </c>
      <c r="I9" s="300"/>
      <c r="J9" s="300"/>
      <c r="K9" s="300">
        <f>1826378570.648-397396</f>
        <v>1825981174.648</v>
      </c>
      <c r="L9" s="279">
        <f>SUM(H9:K9)</f>
        <v>1961885082.648</v>
      </c>
      <c r="M9" s="642"/>
      <c r="N9" s="1273"/>
      <c r="O9" s="300"/>
      <c r="P9" s="300"/>
      <c r="Q9" s="300"/>
      <c r="R9" s="279">
        <f>SUM(N9:P9)</f>
        <v>0</v>
      </c>
      <c r="T9" s="867">
        <f>+L9+R9</f>
        <v>1961885082.648</v>
      </c>
    </row>
    <row r="10" spans="1:27" s="1629" customFormat="1" ht="25.5">
      <c r="A10" s="760" t="s">
        <v>648</v>
      </c>
      <c r="B10" s="1626" t="s">
        <v>237</v>
      </c>
      <c r="C10" s="1626">
        <v>7490</v>
      </c>
      <c r="D10" s="1626">
        <v>83931</v>
      </c>
      <c r="E10" s="1627" t="s">
        <v>211</v>
      </c>
      <c r="F10" s="1627">
        <v>1</v>
      </c>
      <c r="G10" s="300">
        <f>+G9*10%</f>
        <v>292067445.30000001</v>
      </c>
      <c r="H10" s="300">
        <f>292067445-102223606</f>
        <v>189843839</v>
      </c>
      <c r="I10" s="300"/>
      <c r="J10" s="300"/>
      <c r="K10" s="300"/>
      <c r="L10" s="279">
        <f>SUM(H10:K10)</f>
        <v>189843839</v>
      </c>
      <c r="M10" s="764"/>
      <c r="N10" s="1273"/>
      <c r="O10" s="300"/>
      <c r="P10" s="300"/>
      <c r="Q10" s="300"/>
      <c r="R10" s="279">
        <f>SUM(N10:P10)</f>
        <v>0</v>
      </c>
      <c r="T10" s="867">
        <f>+L10+R10</f>
        <v>189843839</v>
      </c>
    </row>
    <row r="11" spans="1:27" s="1628" customFormat="1" ht="25.5">
      <c r="A11" s="760" t="s">
        <v>649</v>
      </c>
      <c r="B11" s="1626" t="s">
        <v>237</v>
      </c>
      <c r="C11" s="1626">
        <v>7490</v>
      </c>
      <c r="D11" s="1626">
        <v>83931</v>
      </c>
      <c r="E11" s="1627" t="s">
        <v>650</v>
      </c>
      <c r="F11" s="1627">
        <v>11</v>
      </c>
      <c r="G11" s="300">
        <f>7300000*1.05</f>
        <v>7665000</v>
      </c>
      <c r="H11" s="300">
        <f>+G11*F11-300531</f>
        <v>84014469</v>
      </c>
      <c r="I11" s="300"/>
      <c r="J11" s="300"/>
      <c r="K11" s="300"/>
      <c r="L11" s="279">
        <f>SUM(H11:K11)</f>
        <v>84014469</v>
      </c>
      <c r="M11" s="764"/>
      <c r="N11" s="1273"/>
      <c r="O11" s="300"/>
      <c r="P11" s="300"/>
      <c r="Q11" s="300"/>
      <c r="R11" s="279">
        <f>SUM(N11:P11)</f>
        <v>0</v>
      </c>
      <c r="T11" s="867">
        <f>+L11+R11</f>
        <v>84014469</v>
      </c>
      <c r="V11" s="1978"/>
      <c r="W11" s="1978"/>
      <c r="X11" s="1978"/>
    </row>
    <row r="12" spans="1:27" s="1" customFormat="1" ht="15.75" thickBot="1">
      <c r="A12" s="630" t="s">
        <v>228</v>
      </c>
      <c r="B12" s="1254"/>
      <c r="C12" s="1254"/>
      <c r="D12" s="1254"/>
      <c r="E12" s="337"/>
      <c r="F12" s="337"/>
      <c r="G12" s="1253"/>
      <c r="H12" s="1253">
        <v>241914324</v>
      </c>
      <c r="I12" s="1253"/>
      <c r="J12" s="1253"/>
      <c r="K12" s="1253"/>
      <c r="L12" s="1252">
        <v>241914324</v>
      </c>
      <c r="M12" s="268"/>
      <c r="N12" s="1274"/>
      <c r="O12" s="1253"/>
      <c r="P12" s="1253"/>
      <c r="Q12" s="1253"/>
      <c r="R12" s="1252"/>
      <c r="T12" s="1276">
        <f>+L12+R12</f>
        <v>241914324</v>
      </c>
      <c r="V12" s="1562"/>
      <c r="W12" s="1562"/>
      <c r="X12" s="1562"/>
    </row>
    <row r="13" spans="1:27" s="1" customFormat="1" ht="64.5" thickBot="1">
      <c r="A13" s="643" t="s">
        <v>40</v>
      </c>
      <c r="B13" s="1258"/>
      <c r="C13" s="1258"/>
      <c r="D13" s="1258"/>
      <c r="E13" s="1258" t="s">
        <v>215</v>
      </c>
      <c r="F13" s="1258">
        <v>100</v>
      </c>
      <c r="G13" s="1265"/>
      <c r="H13" s="1264">
        <f>SUM(H14)</f>
        <v>2591105121.9959998</v>
      </c>
      <c r="I13" s="1264">
        <f>SUM(I14)</f>
        <v>1905980147</v>
      </c>
      <c r="J13" s="1264">
        <f>SUM(J14)</f>
        <v>0</v>
      </c>
      <c r="K13" s="1264">
        <f>SUM(K14)</f>
        <v>198505545</v>
      </c>
      <c r="L13" s="1260">
        <f>+L14</f>
        <v>4695590813.9959993</v>
      </c>
      <c r="M13" s="302"/>
      <c r="N13" s="1263">
        <f>SUM(N14)</f>
        <v>75451567</v>
      </c>
      <c r="O13" s="1264">
        <f>SUM(O14)</f>
        <v>79194122</v>
      </c>
      <c r="P13" s="1264">
        <f>SUM(P14)</f>
        <v>316972509</v>
      </c>
      <c r="Q13" s="1264"/>
      <c r="R13" s="1260">
        <f>+R14</f>
        <v>471618198</v>
      </c>
      <c r="T13" s="1262">
        <f>+T14</f>
        <v>5167209011.9959993</v>
      </c>
    </row>
    <row r="14" spans="1:27" ht="63.75" customHeight="1">
      <c r="A14" s="1088" t="s">
        <v>453</v>
      </c>
      <c r="B14" s="1090"/>
      <c r="C14" s="1090"/>
      <c r="D14" s="1090"/>
      <c r="E14" s="1090" t="s">
        <v>215</v>
      </c>
      <c r="F14" s="1090">
        <v>75</v>
      </c>
      <c r="G14" s="1257"/>
      <c r="H14" s="1255">
        <f>SUM(H15:H34)</f>
        <v>2591105121.9959998</v>
      </c>
      <c r="I14" s="1255">
        <f t="shared" ref="I14:K14" si="0">SUM(I15:I34)</f>
        <v>1905980147</v>
      </c>
      <c r="J14" s="1255">
        <f t="shared" si="0"/>
        <v>0</v>
      </c>
      <c r="K14" s="1255">
        <f t="shared" si="0"/>
        <v>198505545</v>
      </c>
      <c r="L14" s="1255">
        <f>SUM(L15:L34)</f>
        <v>4695590813.9959993</v>
      </c>
      <c r="M14" s="641"/>
      <c r="N14" s="1272">
        <f>SUM(N15:N34)</f>
        <v>75451567</v>
      </c>
      <c r="O14" s="1272">
        <f t="shared" ref="O14:Q14" si="1">SUM(O15:O34)</f>
        <v>79194122</v>
      </c>
      <c r="P14" s="1272">
        <f t="shared" si="1"/>
        <v>316972509</v>
      </c>
      <c r="Q14" s="1272">
        <f t="shared" si="1"/>
        <v>0</v>
      </c>
      <c r="R14" s="1256">
        <f>SUM(R15:R34)</f>
        <v>471618198</v>
      </c>
      <c r="T14" s="1139">
        <f>SUM(T15:T34)</f>
        <v>5167209011.9959993</v>
      </c>
      <c r="V14" s="50"/>
    </row>
    <row r="15" spans="1:27" s="71" customFormat="1" ht="63.75" customHeight="1">
      <c r="A15" s="760" t="s">
        <v>651</v>
      </c>
      <c r="B15" s="763"/>
      <c r="C15" s="763" t="s">
        <v>928</v>
      </c>
      <c r="D15" s="763"/>
      <c r="E15" s="763"/>
      <c r="F15" s="763"/>
      <c r="G15" s="300">
        <f>+L15</f>
        <v>3203734325</v>
      </c>
      <c r="H15" s="300">
        <f>800525620+194991180+103714372+414857</f>
        <v>1099646029</v>
      </c>
      <c r="I15" s="300">
        <f>3160634760-800525620-194991180-155008584-103714372-414857</f>
        <v>1905980147</v>
      </c>
      <c r="J15" s="300"/>
      <c r="K15" s="300">
        <f>43099565+155008584</f>
        <v>198108149</v>
      </c>
      <c r="L15" s="279">
        <f>SUM(H15:K15)</f>
        <v>3203734325</v>
      </c>
      <c r="M15" s="762"/>
      <c r="N15" s="1273">
        <v>75451567</v>
      </c>
      <c r="O15" s="300">
        <v>79194122</v>
      </c>
      <c r="P15" s="300"/>
      <c r="Q15" s="300"/>
      <c r="R15" s="279">
        <f t="shared" ref="R15:R34" si="2">SUM(N15:P15)</f>
        <v>154645689</v>
      </c>
      <c r="T15" s="867">
        <f>+L15+R15</f>
        <v>3358380014</v>
      </c>
      <c r="V15" s="1523"/>
      <c r="X15" s="1522"/>
      <c r="Y15" s="1523"/>
    </row>
    <row r="16" spans="1:27" s="1629" customFormat="1" ht="27" customHeight="1">
      <c r="A16" s="760" t="s">
        <v>992</v>
      </c>
      <c r="B16" s="1627" t="s">
        <v>475</v>
      </c>
      <c r="C16" s="1627">
        <v>8414</v>
      </c>
      <c r="D16" s="1627">
        <v>91131</v>
      </c>
      <c r="E16" s="1627" t="s">
        <v>993</v>
      </c>
      <c r="F16" s="1627">
        <v>81146</v>
      </c>
      <c r="G16" s="300">
        <v>5023</v>
      </c>
      <c r="H16" s="301">
        <f>90623849+61063-12886629</f>
        <v>77798283</v>
      </c>
      <c r="I16" s="300"/>
      <c r="J16" s="300"/>
      <c r="K16" s="300"/>
      <c r="L16" s="279">
        <f>SUM(H16:K16)</f>
        <v>77798283</v>
      </c>
      <c r="M16" s="762"/>
      <c r="N16" s="1273"/>
      <c r="O16" s="300"/>
      <c r="P16" s="445">
        <v>316972509</v>
      </c>
      <c r="Q16" s="300"/>
      <c r="R16" s="279">
        <f t="shared" si="2"/>
        <v>316972509</v>
      </c>
      <c r="T16" s="867">
        <f t="shared" ref="T16:T34" si="3">+L16+R16</f>
        <v>394770792</v>
      </c>
      <c r="V16" s="1560"/>
      <c r="Y16" s="1523"/>
      <c r="AA16" s="1523"/>
    </row>
    <row r="17" spans="1:27" s="1629" customFormat="1" ht="27" customHeight="1">
      <c r="A17" s="760" t="s">
        <v>1168</v>
      </c>
      <c r="B17" s="1627" t="s">
        <v>237</v>
      </c>
      <c r="C17" s="1627">
        <v>7490</v>
      </c>
      <c r="D17" s="1627">
        <v>83990</v>
      </c>
      <c r="E17" s="1627" t="s">
        <v>635</v>
      </c>
      <c r="F17" s="1627">
        <v>1</v>
      </c>
      <c r="G17" s="300"/>
      <c r="H17" s="301">
        <v>15533083.796</v>
      </c>
      <c r="I17" s="300"/>
      <c r="J17" s="300"/>
      <c r="K17" s="300"/>
      <c r="L17" s="279">
        <f t="shared" ref="L17:L34" si="4">SUM(H17:K17)</f>
        <v>15533083.796</v>
      </c>
      <c r="M17" s="762"/>
      <c r="N17" s="1273"/>
      <c r="O17" s="300"/>
      <c r="P17" s="300"/>
      <c r="Q17" s="300"/>
      <c r="R17" s="279"/>
      <c r="T17" s="867">
        <f>+L17</f>
        <v>15533083.796</v>
      </c>
      <c r="V17" s="1560"/>
      <c r="Y17" s="1523"/>
      <c r="AA17" s="1523"/>
    </row>
    <row r="18" spans="1:27" s="1629" customFormat="1" ht="27" customHeight="1">
      <c r="A18" s="760" t="s">
        <v>1002</v>
      </c>
      <c r="B18" s="1627" t="s">
        <v>237</v>
      </c>
      <c r="C18" s="1627">
        <v>7490</v>
      </c>
      <c r="D18" s="1627">
        <v>83990</v>
      </c>
      <c r="E18" s="1627" t="s">
        <v>635</v>
      </c>
      <c r="F18" s="1627">
        <v>1</v>
      </c>
      <c r="G18" s="300">
        <v>42746636</v>
      </c>
      <c r="H18" s="301">
        <f>42746636-144826</f>
        <v>42601810</v>
      </c>
      <c r="I18" s="300"/>
      <c r="J18" s="300"/>
      <c r="K18" s="300"/>
      <c r="L18" s="279">
        <f>SUM(H18:K18)</f>
        <v>42601810</v>
      </c>
      <c r="M18" s="762"/>
      <c r="N18" s="1273"/>
      <c r="O18" s="300"/>
      <c r="P18" s="300"/>
      <c r="Q18" s="300"/>
      <c r="R18" s="279">
        <f t="shared" si="2"/>
        <v>0</v>
      </c>
      <c r="T18" s="867">
        <f t="shared" si="3"/>
        <v>42601810</v>
      </c>
      <c r="Y18" s="1523"/>
    </row>
    <row r="19" spans="1:27" s="1628" customFormat="1" ht="12.75">
      <c r="A19" s="760" t="s">
        <v>961</v>
      </c>
      <c r="B19" s="1626" t="s">
        <v>247</v>
      </c>
      <c r="C19" s="1626" t="s">
        <v>929</v>
      </c>
      <c r="D19" s="1626">
        <v>94339</v>
      </c>
      <c r="E19" s="1627" t="s">
        <v>211</v>
      </c>
      <c r="F19" s="1627">
        <v>80</v>
      </c>
      <c r="G19" s="301">
        <v>4816009</v>
      </c>
      <c r="H19" s="301">
        <f>385280720-11886954</f>
        <v>373393766</v>
      </c>
      <c r="I19" s="301"/>
      <c r="J19" s="301"/>
      <c r="K19" s="301"/>
      <c r="L19" s="279">
        <f t="shared" si="4"/>
        <v>373393766</v>
      </c>
      <c r="M19" s="764"/>
      <c r="N19" s="1275"/>
      <c r="O19" s="301"/>
      <c r="P19" s="301"/>
      <c r="Q19" s="301"/>
      <c r="R19" s="279">
        <f t="shared" si="2"/>
        <v>0</v>
      </c>
      <c r="T19" s="867">
        <f t="shared" si="3"/>
        <v>373393766</v>
      </c>
      <c r="X19" s="1561"/>
    </row>
    <row r="20" spans="1:27" s="1629" customFormat="1">
      <c r="A20" s="760" t="s">
        <v>652</v>
      </c>
      <c r="B20" s="1626" t="s">
        <v>237</v>
      </c>
      <c r="C20" s="1626">
        <v>7490</v>
      </c>
      <c r="D20" s="1626">
        <v>83990</v>
      </c>
      <c r="E20" s="1627" t="s">
        <v>635</v>
      </c>
      <c r="F20" s="1627">
        <v>1</v>
      </c>
      <c r="G20" s="301">
        <v>38528072</v>
      </c>
      <c r="H20" s="301">
        <f>148595254+4200000-79192</f>
        <v>152716062</v>
      </c>
      <c r="I20" s="301"/>
      <c r="J20" s="301"/>
      <c r="K20" s="301"/>
      <c r="L20" s="279">
        <f t="shared" si="4"/>
        <v>152716062</v>
      </c>
      <c r="M20" s="764"/>
      <c r="N20" s="1275"/>
      <c r="O20" s="301"/>
      <c r="P20" s="301"/>
      <c r="Q20" s="301"/>
      <c r="R20" s="279">
        <f t="shared" si="2"/>
        <v>0</v>
      </c>
      <c r="T20" s="867">
        <f t="shared" si="3"/>
        <v>152716062</v>
      </c>
    </row>
    <row r="21" spans="1:27" s="1628" customFormat="1" ht="12.75">
      <c r="A21" s="760" t="s">
        <v>962</v>
      </c>
      <c r="B21" s="1626" t="s">
        <v>251</v>
      </c>
      <c r="C21" s="1626" t="s">
        <v>930</v>
      </c>
      <c r="D21" s="1626">
        <v>43410</v>
      </c>
      <c r="E21" s="1627" t="s">
        <v>211</v>
      </c>
      <c r="F21" s="1627">
        <v>140</v>
      </c>
      <c r="G21" s="301">
        <v>2514246</v>
      </c>
      <c r="H21" s="301">
        <f>351994440-1189345</f>
        <v>350805095</v>
      </c>
      <c r="I21" s="301"/>
      <c r="J21" s="301"/>
      <c r="K21" s="301"/>
      <c r="L21" s="279">
        <f t="shared" si="4"/>
        <v>350805095</v>
      </c>
      <c r="M21" s="764"/>
      <c r="N21" s="1275"/>
      <c r="O21" s="301"/>
      <c r="P21" s="301"/>
      <c r="Q21" s="301"/>
      <c r="R21" s="279">
        <f t="shared" si="2"/>
        <v>0</v>
      </c>
      <c r="T21" s="867">
        <f t="shared" si="3"/>
        <v>350805095</v>
      </c>
    </row>
    <row r="22" spans="1:27" s="1628" customFormat="1" ht="12.75">
      <c r="A22" s="760" t="s">
        <v>653</v>
      </c>
      <c r="B22" s="1626" t="s">
        <v>237</v>
      </c>
      <c r="C22" s="1626">
        <v>7490</v>
      </c>
      <c r="D22" s="1626">
        <v>83990</v>
      </c>
      <c r="E22" s="1627" t="s">
        <v>635</v>
      </c>
      <c r="F22" s="1627">
        <v>1</v>
      </c>
      <c r="G22" s="301">
        <v>35199444</v>
      </c>
      <c r="H22" s="301">
        <f>35199444-116466</f>
        <v>35082978</v>
      </c>
      <c r="I22" s="301"/>
      <c r="J22" s="301"/>
      <c r="K22" s="301"/>
      <c r="L22" s="279">
        <f t="shared" si="4"/>
        <v>35082978</v>
      </c>
      <c r="M22" s="764"/>
      <c r="N22" s="1275"/>
      <c r="O22" s="301"/>
      <c r="P22" s="301"/>
      <c r="Q22" s="301"/>
      <c r="R22" s="279">
        <f t="shared" si="2"/>
        <v>0</v>
      </c>
      <c r="T22" s="867">
        <f t="shared" si="3"/>
        <v>35082978</v>
      </c>
    </row>
    <row r="23" spans="1:27" s="1628" customFormat="1" ht="12.75">
      <c r="A23" s="760" t="s">
        <v>994</v>
      </c>
      <c r="B23" s="1626" t="s">
        <v>475</v>
      </c>
      <c r="C23" s="1626">
        <v>3900</v>
      </c>
      <c r="D23" s="1626">
        <v>94900</v>
      </c>
      <c r="E23" s="1627" t="s">
        <v>635</v>
      </c>
      <c r="F23" s="1627">
        <v>1</v>
      </c>
      <c r="G23" s="301">
        <v>80000000</v>
      </c>
      <c r="H23" s="301">
        <f>80000000+320000</f>
        <v>80320000</v>
      </c>
      <c r="I23" s="301"/>
      <c r="J23" s="301"/>
      <c r="K23" s="301"/>
      <c r="L23" s="279">
        <f t="shared" si="4"/>
        <v>80320000</v>
      </c>
      <c r="M23" s="764"/>
      <c r="N23" s="1275"/>
      <c r="O23" s="301"/>
      <c r="P23" s="301"/>
      <c r="Q23" s="301"/>
      <c r="R23" s="279">
        <f t="shared" si="2"/>
        <v>0</v>
      </c>
      <c r="T23" s="867">
        <f t="shared" si="3"/>
        <v>80320000</v>
      </c>
    </row>
    <row r="24" spans="1:27" s="1629" customFormat="1" ht="25.5">
      <c r="A24" s="760" t="s">
        <v>654</v>
      </c>
      <c r="B24" s="1626" t="s">
        <v>237</v>
      </c>
      <c r="C24" s="1626">
        <v>7490</v>
      </c>
      <c r="D24" s="1626">
        <v>83990</v>
      </c>
      <c r="E24" s="1627" t="s">
        <v>208</v>
      </c>
      <c r="F24" s="1627">
        <v>11</v>
      </c>
      <c r="G24" s="301">
        <f>4774854*1.05</f>
        <v>5013596.7</v>
      </c>
      <c r="H24" s="301">
        <f>55149564-255538</f>
        <v>54894026</v>
      </c>
      <c r="I24" s="301"/>
      <c r="J24" s="301"/>
      <c r="K24" s="301"/>
      <c r="L24" s="279">
        <f t="shared" si="4"/>
        <v>54894026</v>
      </c>
      <c r="M24" s="764"/>
      <c r="N24" s="1275"/>
      <c r="O24" s="301"/>
      <c r="P24" s="301"/>
      <c r="Q24" s="301"/>
      <c r="R24" s="279">
        <f t="shared" si="2"/>
        <v>0</v>
      </c>
      <c r="T24" s="867">
        <f t="shared" si="3"/>
        <v>54894026</v>
      </c>
    </row>
    <row r="25" spans="1:27" s="1629" customFormat="1">
      <c r="A25" s="760" t="s">
        <v>655</v>
      </c>
      <c r="B25" s="1626" t="s">
        <v>237</v>
      </c>
      <c r="C25" s="1626">
        <v>7490</v>
      </c>
      <c r="D25" s="1626">
        <v>83990</v>
      </c>
      <c r="E25" s="1627" t="s">
        <v>208</v>
      </c>
      <c r="F25" s="1627">
        <f>9*3</f>
        <v>27</v>
      </c>
      <c r="G25" s="301"/>
      <c r="H25" s="301">
        <f>130900509-4200000-16989041-3491919-40059823</f>
        <v>66159726</v>
      </c>
      <c r="I25" s="301"/>
      <c r="J25" s="301"/>
      <c r="K25" s="301"/>
      <c r="L25" s="279">
        <f t="shared" si="4"/>
        <v>66159726</v>
      </c>
      <c r="M25" s="764"/>
      <c r="N25" s="1275"/>
      <c r="O25" s="301"/>
      <c r="P25" s="301"/>
      <c r="Q25" s="301"/>
      <c r="R25" s="279">
        <f t="shared" si="2"/>
        <v>0</v>
      </c>
      <c r="T25" s="867">
        <f t="shared" si="3"/>
        <v>66159726</v>
      </c>
    </row>
    <row r="26" spans="1:27" s="1629" customFormat="1" ht="25.5">
      <c r="A26" s="760" t="s">
        <v>656</v>
      </c>
      <c r="B26" s="1626" t="s">
        <v>237</v>
      </c>
      <c r="C26" s="1626">
        <v>7490</v>
      </c>
      <c r="D26" s="1626">
        <v>83990</v>
      </c>
      <c r="E26" s="1627" t="s">
        <v>208</v>
      </c>
      <c r="F26" s="1627">
        <v>9</v>
      </c>
      <c r="G26" s="301">
        <f>5913927*1.05</f>
        <v>6209623.3500000006</v>
      </c>
      <c r="H26" s="301">
        <f>55886610-10653357</f>
        <v>45233253</v>
      </c>
      <c r="I26" s="301"/>
      <c r="J26" s="301"/>
      <c r="K26" s="301"/>
      <c r="L26" s="279">
        <f t="shared" si="4"/>
        <v>45233253</v>
      </c>
      <c r="M26" s="764"/>
      <c r="N26" s="1275"/>
      <c r="O26" s="301"/>
      <c r="P26" s="301"/>
      <c r="Q26" s="301"/>
      <c r="R26" s="279">
        <f t="shared" si="2"/>
        <v>0</v>
      </c>
      <c r="T26" s="867">
        <f t="shared" si="3"/>
        <v>45233253</v>
      </c>
    </row>
    <row r="27" spans="1:27" s="1629" customFormat="1" ht="25.5">
      <c r="A27" s="760" t="s">
        <v>657</v>
      </c>
      <c r="B27" s="1627" t="s">
        <v>237</v>
      </c>
      <c r="C27" s="1626">
        <v>7490</v>
      </c>
      <c r="D27" s="1626">
        <v>83990</v>
      </c>
      <c r="E27" s="1627" t="s">
        <v>208</v>
      </c>
      <c r="F27" s="1627">
        <v>30</v>
      </c>
      <c r="G27" s="301">
        <v>3050000</v>
      </c>
      <c r="H27" s="301">
        <f>91555116-15533084+3491919+12886629</f>
        <v>92400580</v>
      </c>
      <c r="I27" s="301"/>
      <c r="J27" s="301"/>
      <c r="K27" s="301"/>
      <c r="L27" s="279">
        <f t="shared" si="4"/>
        <v>92400580</v>
      </c>
      <c r="M27" s="642"/>
      <c r="N27" s="1275"/>
      <c r="O27" s="301"/>
      <c r="P27" s="301"/>
      <c r="Q27" s="301"/>
      <c r="R27" s="279">
        <f t="shared" si="2"/>
        <v>0</v>
      </c>
      <c r="T27" s="867">
        <f t="shared" si="3"/>
        <v>92400580</v>
      </c>
    </row>
    <row r="28" spans="1:27" s="1629" customFormat="1" ht="25.5">
      <c r="A28" s="760" t="s">
        <v>995</v>
      </c>
      <c r="B28" s="1626" t="s">
        <v>911</v>
      </c>
      <c r="C28" s="1627">
        <v>6311</v>
      </c>
      <c r="D28" s="1627" t="s">
        <v>996</v>
      </c>
      <c r="E28" s="1627" t="s">
        <v>635</v>
      </c>
      <c r="F28" s="1627">
        <v>1</v>
      </c>
      <c r="G28" s="301"/>
      <c r="H28" s="301">
        <f>6072000-6072000</f>
        <v>0</v>
      </c>
      <c r="I28" s="301"/>
      <c r="J28" s="301"/>
      <c r="K28" s="301"/>
      <c r="L28" s="279">
        <f t="shared" si="4"/>
        <v>0</v>
      </c>
      <c r="M28" s="642"/>
      <c r="N28" s="1275"/>
      <c r="O28" s="301"/>
      <c r="P28" s="301"/>
      <c r="Q28" s="301"/>
      <c r="R28" s="279">
        <f t="shared" si="2"/>
        <v>0</v>
      </c>
      <c r="T28" s="867">
        <f t="shared" si="3"/>
        <v>0</v>
      </c>
    </row>
    <row r="29" spans="1:27" s="1629" customFormat="1" ht="25.5" customHeight="1">
      <c r="A29" s="2424" t="s">
        <v>1089</v>
      </c>
      <c r="B29" s="1626" t="s">
        <v>870</v>
      </c>
      <c r="C29" s="1627"/>
      <c r="D29" s="1627" t="s">
        <v>1090</v>
      </c>
      <c r="E29" s="1627" t="s">
        <v>210</v>
      </c>
      <c r="F29" s="1627">
        <v>1</v>
      </c>
      <c r="G29" s="301">
        <v>4899476</v>
      </c>
      <c r="H29" s="301">
        <f>4899476-1141589</f>
        <v>3757887</v>
      </c>
      <c r="I29" s="301"/>
      <c r="J29" s="301"/>
      <c r="K29" s="301"/>
      <c r="L29" s="279">
        <f t="shared" si="4"/>
        <v>3757887</v>
      </c>
      <c r="M29" s="642"/>
      <c r="N29" s="1275"/>
      <c r="O29" s="301"/>
      <c r="P29" s="301"/>
      <c r="Q29" s="301"/>
      <c r="R29" s="279"/>
      <c r="T29" s="867">
        <f t="shared" si="3"/>
        <v>3757887</v>
      </c>
      <c r="U29" s="1523"/>
    </row>
    <row r="30" spans="1:27" s="1629" customFormat="1" ht="38.25">
      <c r="A30" s="2425"/>
      <c r="B30" s="1627" t="s">
        <v>1091</v>
      </c>
      <c r="C30" s="1626"/>
      <c r="D30" s="1626" t="s">
        <v>1092</v>
      </c>
      <c r="E30" s="1627" t="s">
        <v>210</v>
      </c>
      <c r="F30" s="1627">
        <v>1</v>
      </c>
      <c r="G30" s="301">
        <v>28417015.199999999</v>
      </c>
      <c r="H30" s="301">
        <f>28417015.2-113215-6512888</f>
        <v>21790912.199999999</v>
      </c>
      <c r="I30" s="301"/>
      <c r="J30" s="301"/>
      <c r="K30" s="301"/>
      <c r="L30" s="279">
        <f t="shared" si="4"/>
        <v>21790912.199999999</v>
      </c>
      <c r="M30" s="764"/>
      <c r="N30" s="1275"/>
      <c r="O30" s="301"/>
      <c r="P30" s="301"/>
      <c r="Q30" s="301"/>
      <c r="R30" s="279">
        <f t="shared" si="2"/>
        <v>0</v>
      </c>
      <c r="T30" s="867">
        <f t="shared" si="3"/>
        <v>21790912.199999999</v>
      </c>
    </row>
    <row r="31" spans="1:27" s="1629" customFormat="1">
      <c r="A31" s="760" t="s">
        <v>997</v>
      </c>
      <c r="B31" s="1626" t="s">
        <v>870</v>
      </c>
      <c r="C31" s="1626"/>
      <c r="D31" s="1626" t="s">
        <v>907</v>
      </c>
      <c r="E31" s="1627" t="s">
        <v>635</v>
      </c>
      <c r="F31" s="1627">
        <v>1</v>
      </c>
      <c r="G31" s="301">
        <v>100000000</v>
      </c>
      <c r="H31" s="301">
        <f>56873603-33316491-557112</f>
        <v>23000000</v>
      </c>
      <c r="I31" s="301"/>
      <c r="J31" s="301"/>
      <c r="K31" s="301"/>
      <c r="L31" s="279">
        <f t="shared" si="4"/>
        <v>23000000</v>
      </c>
      <c r="M31" s="764"/>
      <c r="N31" s="1275"/>
      <c r="O31" s="301"/>
      <c r="P31" s="301"/>
      <c r="Q31" s="301"/>
      <c r="R31" s="279">
        <f t="shared" si="2"/>
        <v>0</v>
      </c>
      <c r="T31" s="867">
        <f t="shared" si="3"/>
        <v>23000000</v>
      </c>
    </row>
    <row r="32" spans="1:27" s="1629" customFormat="1" ht="51">
      <c r="A32" s="20" t="s">
        <v>658</v>
      </c>
      <c r="B32" s="1626" t="s">
        <v>242</v>
      </c>
      <c r="C32" s="1626">
        <v>4921</v>
      </c>
      <c r="D32" s="1627" t="s">
        <v>869</v>
      </c>
      <c r="E32" s="1627" t="s">
        <v>635</v>
      </c>
      <c r="F32" s="1627">
        <v>1</v>
      </c>
      <c r="G32" s="687">
        <v>35000000</v>
      </c>
      <c r="H32" s="687">
        <f>15000000-901375</f>
        <v>14098625</v>
      </c>
      <c r="I32" s="687"/>
      <c r="J32" s="687"/>
      <c r="K32" s="687"/>
      <c r="L32" s="357">
        <f t="shared" si="4"/>
        <v>14098625</v>
      </c>
      <c r="M32" s="764"/>
      <c r="N32" s="687"/>
      <c r="O32" s="687"/>
      <c r="P32" s="687"/>
      <c r="Q32" s="687"/>
      <c r="R32" s="357">
        <f t="shared" si="2"/>
        <v>0</v>
      </c>
      <c r="T32" s="357">
        <f t="shared" si="3"/>
        <v>14098625</v>
      </c>
    </row>
    <row r="33" spans="1:22" s="1629" customFormat="1">
      <c r="A33" s="20"/>
      <c r="B33" s="1626" t="s">
        <v>927</v>
      </c>
      <c r="C33" s="1626"/>
      <c r="D33" s="1627"/>
      <c r="E33" s="1627"/>
      <c r="F33" s="1627"/>
      <c r="G33" s="687"/>
      <c r="H33" s="687">
        <f>8000000-8000000</f>
        <v>0</v>
      </c>
      <c r="I33" s="687"/>
      <c r="J33" s="687"/>
      <c r="K33" s="687"/>
      <c r="L33" s="357">
        <f t="shared" si="4"/>
        <v>0</v>
      </c>
      <c r="M33" s="764"/>
      <c r="N33" s="687"/>
      <c r="O33" s="687"/>
      <c r="P33" s="687"/>
      <c r="Q33" s="687"/>
      <c r="R33" s="357">
        <f t="shared" si="2"/>
        <v>0</v>
      </c>
      <c r="T33" s="357">
        <f t="shared" si="3"/>
        <v>0</v>
      </c>
    </row>
    <row r="34" spans="1:22" s="1629" customFormat="1" ht="15.75" thickBot="1">
      <c r="A34" s="458" t="s">
        <v>1187</v>
      </c>
      <c r="B34" s="459" t="s">
        <v>237</v>
      </c>
      <c r="C34" s="459">
        <v>83990</v>
      </c>
      <c r="D34" s="518"/>
      <c r="E34" s="518"/>
      <c r="F34" s="518"/>
      <c r="G34" s="1975"/>
      <c r="H34" s="1975">
        <f>49873006-8000000</f>
        <v>41873006</v>
      </c>
      <c r="I34" s="1975"/>
      <c r="J34" s="1975"/>
      <c r="K34" s="1975">
        <v>397396</v>
      </c>
      <c r="L34" s="357">
        <f t="shared" si="4"/>
        <v>42270402</v>
      </c>
      <c r="M34" s="764"/>
      <c r="N34" s="1976"/>
      <c r="O34" s="1975"/>
      <c r="P34" s="1975"/>
      <c r="Q34" s="1975"/>
      <c r="R34" s="1977">
        <f t="shared" si="2"/>
        <v>0</v>
      </c>
      <c r="T34" s="357">
        <f t="shared" si="3"/>
        <v>42270402</v>
      </c>
      <c r="V34" s="1523"/>
    </row>
    <row r="35" spans="1:22" ht="90" thickBot="1">
      <c r="A35" s="654" t="s">
        <v>302</v>
      </c>
      <c r="B35" s="1266"/>
      <c r="C35" s="1266"/>
      <c r="D35" s="1266"/>
      <c r="E35" s="1266" t="s">
        <v>211</v>
      </c>
      <c r="F35" s="1266">
        <v>1</v>
      </c>
      <c r="G35" s="1267"/>
      <c r="H35" s="1268">
        <f>+H36</f>
        <v>0</v>
      </c>
      <c r="I35" s="1268">
        <f>+I36</f>
        <v>0</v>
      </c>
      <c r="J35" s="1268">
        <f>+J36</f>
        <v>2541158677</v>
      </c>
      <c r="K35" s="1268">
        <f>+K36</f>
        <v>0</v>
      </c>
      <c r="L35" s="1269">
        <f>+L36</f>
        <v>2541158677</v>
      </c>
      <c r="M35" s="306"/>
      <c r="N35" s="1270">
        <f>+N36</f>
        <v>0</v>
      </c>
      <c r="O35" s="1268">
        <f>+O36</f>
        <v>0</v>
      </c>
      <c r="P35" s="1268">
        <f>+P36</f>
        <v>0</v>
      </c>
      <c r="Q35" s="1268">
        <f>+Q36</f>
        <v>85569460</v>
      </c>
      <c r="R35" s="1269">
        <f>+R36</f>
        <v>85569460</v>
      </c>
      <c r="T35" s="1271">
        <f>+T36</f>
        <v>2626728137</v>
      </c>
    </row>
    <row r="36" spans="1:22" s="1629" customFormat="1" ht="15.75" thickBot="1">
      <c r="A36" s="1923" t="s">
        <v>659</v>
      </c>
      <c r="B36" s="1924" t="s">
        <v>943</v>
      </c>
      <c r="C36" s="1924">
        <v>3700</v>
      </c>
      <c r="D36" s="1924">
        <v>94110</v>
      </c>
      <c r="E36" s="1924"/>
      <c r="F36" s="1924"/>
      <c r="G36" s="1924"/>
      <c r="H36" s="1925"/>
      <c r="I36" s="1925"/>
      <c r="J36" s="1925">
        <v>2541158677</v>
      </c>
      <c r="K36" s="1925"/>
      <c r="L36" s="1926">
        <f>SUM(H36:K36)</f>
        <v>2541158677</v>
      </c>
      <c r="M36" s="1871"/>
      <c r="N36" s="1927"/>
      <c r="O36" s="1925"/>
      <c r="P36" s="1925"/>
      <c r="Q36" s="1928">
        <f>23069460+62500000</f>
        <v>85569460</v>
      </c>
      <c r="R36" s="1926">
        <f>SUM(N36:Q36)</f>
        <v>85569460</v>
      </c>
      <c r="T36" s="1929">
        <f>+L36+R36</f>
        <v>2626728137</v>
      </c>
    </row>
    <row r="37" spans="1:22" ht="15.75" thickBot="1">
      <c r="A37" s="2392" t="s">
        <v>10</v>
      </c>
      <c r="B37" s="2393"/>
      <c r="C37" s="2393"/>
      <c r="D37" s="2393"/>
      <c r="E37" s="2393"/>
      <c r="F37" s="2393"/>
      <c r="G37" s="2426"/>
      <c r="H37" s="1452">
        <f>+H7+H13+H35</f>
        <v>3242781661.9959998</v>
      </c>
      <c r="I37" s="1452">
        <f>+I7+I13+I35</f>
        <v>1905980147</v>
      </c>
      <c r="J37" s="1452">
        <f>+J7+J13+J35</f>
        <v>2541158677</v>
      </c>
      <c r="K37" s="1452">
        <f>+K7+K13+K35</f>
        <v>2024486719.648</v>
      </c>
      <c r="L37" s="1453">
        <f>+L7+L13+L35</f>
        <v>9714407205.6439991</v>
      </c>
      <c r="N37" s="1454">
        <f>+N7+N13+N35</f>
        <v>75451567</v>
      </c>
      <c r="O37" s="1452">
        <f>+O7+O13+O35</f>
        <v>79194122</v>
      </c>
      <c r="P37" s="1452">
        <f>+P7+P13+P35</f>
        <v>316972509</v>
      </c>
      <c r="Q37" s="1452">
        <f>+Q7+Q13+Q35</f>
        <v>85569460</v>
      </c>
      <c r="R37" s="1453">
        <f>+R7+R13+R35</f>
        <v>557187658</v>
      </c>
      <c r="T37" s="1455">
        <f>+T7+T13+T35</f>
        <v>10271594863.643999</v>
      </c>
    </row>
    <row r="38" spans="1:22" ht="15.75" thickBot="1">
      <c r="A38" s="302"/>
      <c r="L38" s="453"/>
      <c r="M38" s="302"/>
      <c r="N38" s="453"/>
      <c r="O38" s="453"/>
      <c r="P38" s="453"/>
      <c r="Q38" s="453"/>
      <c r="R38" s="453"/>
      <c r="T38" s="453"/>
    </row>
    <row r="39" spans="1:22" ht="15.75" thickBot="1">
      <c r="A39" s="302"/>
      <c r="H39" s="745">
        <f>3297911485-55129823</f>
        <v>3242781662</v>
      </c>
      <c r="I39" s="745">
        <v>1905980147</v>
      </c>
      <c r="J39" s="745">
        <v>2541158677</v>
      </c>
      <c r="K39" s="745">
        <v>2024486719.648</v>
      </c>
      <c r="L39" s="2010">
        <v>9714407205.6480007</v>
      </c>
      <c r="M39" s="302"/>
      <c r="N39" s="745">
        <v>75451567</v>
      </c>
      <c r="O39" s="745">
        <v>79194122</v>
      </c>
      <c r="P39" s="745">
        <v>316972509</v>
      </c>
      <c r="Q39" s="745">
        <f>23069460+62500000</f>
        <v>85569460</v>
      </c>
      <c r="R39" s="745">
        <f>+SUM(N39:Q39)</f>
        <v>557187658</v>
      </c>
      <c r="T39" s="745">
        <f>+R39+L39</f>
        <v>10271594863.648001</v>
      </c>
    </row>
    <row r="40" spans="1:22">
      <c r="A40" s="302"/>
      <c r="L40" s="453"/>
      <c r="M40" s="302"/>
    </row>
    <row r="41" spans="1:22">
      <c r="A41" s="302"/>
      <c r="B41" s="1563"/>
      <c r="H41" s="1563">
        <f>+H39-H37</f>
        <v>4.0001869201660156E-3</v>
      </c>
      <c r="I41" s="1563">
        <f>+I39-I37</f>
        <v>0</v>
      </c>
      <c r="J41" s="744">
        <f t="shared" ref="J41:T41" si="5">+J39-J37</f>
        <v>0</v>
      </c>
      <c r="K41" s="744">
        <f t="shared" si="5"/>
        <v>0</v>
      </c>
      <c r="L41" s="744">
        <f t="shared" si="5"/>
        <v>4.001617431640625E-3</v>
      </c>
      <c r="M41" s="744"/>
      <c r="N41" s="744">
        <f t="shared" si="5"/>
        <v>0</v>
      </c>
      <c r="O41" s="744">
        <f t="shared" si="5"/>
        <v>0</v>
      </c>
      <c r="P41" s="744">
        <f t="shared" si="5"/>
        <v>0</v>
      </c>
      <c r="Q41" s="744"/>
      <c r="R41" s="744">
        <f t="shared" si="5"/>
        <v>0</v>
      </c>
      <c r="S41" s="744"/>
      <c r="T41" s="744">
        <f t="shared" si="5"/>
        <v>4.001617431640625E-3</v>
      </c>
    </row>
    <row r="42" spans="1:22">
      <c r="A42" s="302"/>
      <c r="H42" s="744"/>
      <c r="L42" s="453"/>
      <c r="M42" s="302"/>
    </row>
    <row r="43" spans="1:22">
      <c r="A43" s="1992" t="s">
        <v>655</v>
      </c>
      <c r="B43" s="1990" t="s">
        <v>237</v>
      </c>
      <c r="C43" s="1990">
        <v>7490</v>
      </c>
      <c r="D43" s="1990">
        <v>83990</v>
      </c>
      <c r="E43" s="1991" t="s">
        <v>208</v>
      </c>
      <c r="F43" s="1991">
        <f>9*3</f>
        <v>27</v>
      </c>
      <c r="G43" s="1999"/>
      <c r="H43" s="2000">
        <f>130900509-4200000-16989041-3491919-40059823</f>
        <v>66159726</v>
      </c>
      <c r="I43" s="2001" t="s">
        <v>1190</v>
      </c>
    </row>
  </sheetData>
  <mergeCells count="23">
    <mergeCell ref="N4:P4"/>
    <mergeCell ref="R4:R6"/>
    <mergeCell ref="T4:T6"/>
    <mergeCell ref="N5:N6"/>
    <mergeCell ref="O5:O6"/>
    <mergeCell ref="P5:P6"/>
    <mergeCell ref="Q5:Q6"/>
    <mergeCell ref="A37:G37"/>
    <mergeCell ref="A1:I1"/>
    <mergeCell ref="A2:I2"/>
    <mergeCell ref="L4:L6"/>
    <mergeCell ref="F4:F6"/>
    <mergeCell ref="A4:A6"/>
    <mergeCell ref="B4:B6"/>
    <mergeCell ref="C4:C6"/>
    <mergeCell ref="D4:D6"/>
    <mergeCell ref="E4:E6"/>
    <mergeCell ref="G4:G6"/>
    <mergeCell ref="I4:I6"/>
    <mergeCell ref="H4:H6"/>
    <mergeCell ref="J4:J6"/>
    <mergeCell ref="K4:K6"/>
    <mergeCell ref="A29:A30"/>
  </mergeCells>
  <pageMargins left="0.7" right="0.7" top="0.75" bottom="0.75" header="0.3" footer="0.3"/>
  <pageSetup paperSize="9" orientation="portrait" verticalDpi="597"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4">
    <tabColor theme="7" tint="0.59999389629810485"/>
  </sheetPr>
  <dimension ref="A1:O32"/>
  <sheetViews>
    <sheetView zoomScale="82" zoomScaleNormal="82" workbookViewId="0">
      <selection activeCell="B30" sqref="B30"/>
    </sheetView>
  </sheetViews>
  <sheetFormatPr baseColWidth="10" defaultRowHeight="15"/>
  <cols>
    <col min="2" max="2" width="38.7109375" customWidth="1"/>
    <col min="3" max="4" width="11.42578125" customWidth="1"/>
    <col min="5" max="5" width="15.28515625" bestFit="1" customWidth="1"/>
    <col min="6" max="6" width="13.85546875" customWidth="1"/>
    <col min="7" max="7" width="13.5703125" bestFit="1" customWidth="1"/>
    <col min="8" max="8" width="15.28515625" bestFit="1" customWidth="1"/>
    <col min="9" max="9" width="0.7109375" customWidth="1"/>
    <col min="10" max="11" width="13.5703125" bestFit="1" customWidth="1"/>
    <col min="12" max="12" width="13.28515625" customWidth="1"/>
    <col min="13" max="13" width="15.5703125" customWidth="1"/>
    <col min="14" max="14" width="1.5703125" customWidth="1"/>
    <col min="15" max="15" width="21.42578125" bestFit="1" customWidth="1"/>
  </cols>
  <sheetData>
    <row r="1" spans="1:15" s="1" customFormat="1" ht="12.75">
      <c r="A1" s="2409" t="s">
        <v>430</v>
      </c>
      <c r="B1" s="2409"/>
      <c r="C1" s="2409"/>
      <c r="D1" s="2409"/>
      <c r="E1" s="2409"/>
      <c r="F1" s="2409"/>
      <c r="G1" s="2409"/>
      <c r="H1" s="2409"/>
    </row>
    <row r="2" spans="1:15" s="1" customFormat="1" ht="12.75">
      <c r="A2" s="2311" t="s">
        <v>186</v>
      </c>
      <c r="B2" s="2311"/>
      <c r="C2" s="2311"/>
      <c r="D2" s="2311"/>
      <c r="E2" s="2311"/>
      <c r="F2" s="2311"/>
      <c r="G2" s="2311"/>
      <c r="H2" s="2311"/>
    </row>
    <row r="3" spans="1:15" ht="15.75" thickBot="1"/>
    <row r="4" spans="1:15" ht="15" customHeight="1" thickBot="1">
      <c r="A4" s="2312" t="s">
        <v>394</v>
      </c>
      <c r="B4" s="2368" t="s">
        <v>198</v>
      </c>
      <c r="C4" s="2445">
        <v>2022</v>
      </c>
      <c r="D4" s="2445"/>
      <c r="E4" s="2445"/>
      <c r="F4" s="2445"/>
      <c r="G4" s="2445"/>
      <c r="H4" s="2445"/>
      <c r="J4" s="2407" t="s">
        <v>199</v>
      </c>
      <c r="K4" s="2407"/>
      <c r="L4" s="1514"/>
      <c r="M4" s="2364" t="s">
        <v>1005</v>
      </c>
      <c r="N4" s="418"/>
      <c r="O4" s="2364" t="s">
        <v>1006</v>
      </c>
    </row>
    <row r="5" spans="1:15" ht="15" customHeight="1" thickBot="1">
      <c r="A5" s="2312"/>
      <c r="B5" s="2368"/>
      <c r="C5" s="2339" t="s">
        <v>255</v>
      </c>
      <c r="D5" s="2312" t="s">
        <v>201</v>
      </c>
      <c r="E5" s="2368" t="s">
        <v>254</v>
      </c>
      <c r="F5" s="2368"/>
      <c r="G5" s="2368"/>
      <c r="H5" s="2312" t="s">
        <v>205</v>
      </c>
      <c r="J5" s="2407" t="s">
        <v>203</v>
      </c>
      <c r="K5" s="2407" t="s">
        <v>202</v>
      </c>
      <c r="L5" s="2407" t="s">
        <v>204</v>
      </c>
      <c r="M5" s="2365"/>
      <c r="N5" s="418"/>
      <c r="O5" s="2365"/>
    </row>
    <row r="6" spans="1:15" ht="36" customHeight="1" thickBot="1">
      <c r="A6" s="2312"/>
      <c r="B6" s="2368"/>
      <c r="C6" s="2339"/>
      <c r="D6" s="2312"/>
      <c r="E6" s="1112" t="s">
        <v>202</v>
      </c>
      <c r="F6" s="1112" t="s">
        <v>256</v>
      </c>
      <c r="G6" s="1112" t="s">
        <v>203</v>
      </c>
      <c r="H6" s="2312"/>
      <c r="J6" s="2407"/>
      <c r="K6" s="2407"/>
      <c r="L6" s="2407"/>
      <c r="M6" s="2365"/>
      <c r="N6" s="418"/>
      <c r="O6" s="2365"/>
    </row>
    <row r="7" spans="1:15" ht="39" thickBot="1">
      <c r="A7" s="205">
        <v>3202033</v>
      </c>
      <c r="B7" s="525" t="s">
        <v>45</v>
      </c>
      <c r="C7" s="515" t="s">
        <v>215</v>
      </c>
      <c r="D7" s="515">
        <v>100</v>
      </c>
      <c r="E7" s="516">
        <f>+E8</f>
        <v>10394833.68</v>
      </c>
      <c r="F7" s="516">
        <f t="shared" ref="F7:G7" si="0">+F8</f>
        <v>0</v>
      </c>
      <c r="G7" s="516">
        <f t="shared" si="0"/>
        <v>0</v>
      </c>
      <c r="H7" s="516">
        <f>+H8</f>
        <v>10394833.68</v>
      </c>
      <c r="I7" s="32"/>
      <c r="J7" s="949">
        <f>+'ACCIONES 320302'!K7</f>
        <v>0</v>
      </c>
      <c r="K7" s="516">
        <f>+'ACCIONES 320302'!L7</f>
        <v>0</v>
      </c>
      <c r="L7" s="516">
        <f>+'ACCIONES 320302'!M7</f>
        <v>0</v>
      </c>
      <c r="M7" s="517">
        <f>+'ACCIONES 320302'!N7</f>
        <v>0</v>
      </c>
      <c r="N7" s="933"/>
      <c r="O7" s="937">
        <f>+'ACCIONES 320302'!P7</f>
        <v>10394833.68</v>
      </c>
    </row>
    <row r="8" spans="1:15" ht="39" thickBot="1">
      <c r="B8" s="538" t="s">
        <v>303</v>
      </c>
      <c r="C8" s="518" t="s">
        <v>215</v>
      </c>
      <c r="D8" s="518">
        <v>100</v>
      </c>
      <c r="E8" s="519">
        <f>+'ACCIONES 320302'!F8</f>
        <v>10394833.68</v>
      </c>
      <c r="F8" s="519">
        <f>+'ACCIONES 320302'!G8</f>
        <v>0</v>
      </c>
      <c r="G8" s="519">
        <f>+'ACCIONES 320302'!H8</f>
        <v>0</v>
      </c>
      <c r="H8" s="519">
        <f>+'ACCIONES 320302'!I8</f>
        <v>10394833.68</v>
      </c>
      <c r="I8" s="32"/>
      <c r="J8" s="950">
        <f>+'ACCIONES 320302'!K8</f>
        <v>0</v>
      </c>
      <c r="K8" s="519">
        <f>+'ACCIONES 320302'!L8</f>
        <v>0</v>
      </c>
      <c r="L8" s="519">
        <f>+'ACCIONES 320302'!M8</f>
        <v>0</v>
      </c>
      <c r="M8" s="520">
        <f>+'ACCIONES 320302'!N8</f>
        <v>0</v>
      </c>
      <c r="N8" s="933"/>
      <c r="O8" s="938">
        <f>+'ACCIONES 320302'!P8</f>
        <v>10394833.68</v>
      </c>
    </row>
    <row r="9" spans="1:15" ht="39" thickBot="1">
      <c r="A9" s="206">
        <v>3203034</v>
      </c>
      <c r="B9" s="514" t="s">
        <v>47</v>
      </c>
      <c r="C9" s="515" t="s">
        <v>215</v>
      </c>
      <c r="D9" s="515">
        <v>100</v>
      </c>
      <c r="E9" s="516">
        <f>+E10</f>
        <v>6929889.1200000001</v>
      </c>
      <c r="F9" s="516">
        <f t="shared" ref="F9:G9" si="1">+F10</f>
        <v>0</v>
      </c>
      <c r="G9" s="516">
        <f t="shared" si="1"/>
        <v>0</v>
      </c>
      <c r="H9" s="516">
        <f>+H10</f>
        <v>6929889.1200000001</v>
      </c>
      <c r="I9" s="32"/>
      <c r="J9" s="949">
        <f>+'ACCIONES 320302'!K13</f>
        <v>0</v>
      </c>
      <c r="K9" s="516">
        <f>+'ACCIONES 320302'!L13</f>
        <v>0</v>
      </c>
      <c r="L9" s="516">
        <f>+'ACCIONES 320302'!M13</f>
        <v>0</v>
      </c>
      <c r="M9" s="517">
        <f>+'ACCIONES 320302'!N13</f>
        <v>0</v>
      </c>
      <c r="N9" s="933"/>
      <c r="O9" s="937">
        <f>+'ACCIONES 320302'!P13</f>
        <v>6929889.1200000001</v>
      </c>
    </row>
    <row r="10" spans="1:15" ht="39" thickBot="1">
      <c r="B10" s="469" t="s">
        <v>304</v>
      </c>
      <c r="C10" s="518" t="s">
        <v>215</v>
      </c>
      <c r="D10" s="518">
        <v>100</v>
      </c>
      <c r="E10" s="519">
        <f>+'ACCIONES 320302'!F14</f>
        <v>6929889.1200000001</v>
      </c>
      <c r="F10" s="519">
        <f>+'ACCIONES 320302'!G14</f>
        <v>0</v>
      </c>
      <c r="G10" s="519">
        <f>+'ACCIONES 320302'!H14</f>
        <v>0</v>
      </c>
      <c r="H10" s="519">
        <f>+'ACCIONES 320302'!I14</f>
        <v>6929889.1200000001</v>
      </c>
      <c r="I10" s="32"/>
      <c r="J10" s="950">
        <f>+'ACCIONES 320302'!K14</f>
        <v>0</v>
      </c>
      <c r="K10" s="519">
        <f>+'ACCIONES 320302'!L14</f>
        <v>0</v>
      </c>
      <c r="L10" s="519">
        <f>+'ACCIONES 320302'!M14</f>
        <v>0</v>
      </c>
      <c r="M10" s="520">
        <f>+'ACCIONES 320302'!N14</f>
        <v>0</v>
      </c>
      <c r="N10" s="933"/>
      <c r="O10" s="938">
        <f>+'ACCIONES 320302'!P14</f>
        <v>6929889.1200000001</v>
      </c>
    </row>
    <row r="11" spans="1:15" ht="47.25" customHeight="1" thickBot="1">
      <c r="A11" s="207">
        <v>3203002</v>
      </c>
      <c r="B11" s="590" t="s">
        <v>56</v>
      </c>
      <c r="C11" s="591" t="s">
        <v>215</v>
      </c>
      <c r="D11" s="515">
        <v>100</v>
      </c>
      <c r="E11" s="592">
        <f t="shared" ref="E11:H11" si="2">+E12</f>
        <v>0</v>
      </c>
      <c r="F11" s="592">
        <f t="shared" si="2"/>
        <v>0</v>
      </c>
      <c r="G11" s="592">
        <f t="shared" si="2"/>
        <v>2200000</v>
      </c>
      <c r="H11" s="592">
        <f t="shared" si="2"/>
        <v>2200000</v>
      </c>
      <c r="I11" s="32"/>
      <c r="J11" s="994">
        <f>+'ACCIONES 320302'!K19</f>
        <v>0</v>
      </c>
      <c r="K11" s="592">
        <f>+'ACCIONES 320302'!L19</f>
        <v>0</v>
      </c>
      <c r="L11" s="592">
        <f>+'ACCIONES 320302'!M19</f>
        <v>0</v>
      </c>
      <c r="M11" s="995">
        <f>+'ACCIONES 320302'!N19</f>
        <v>0</v>
      </c>
      <c r="N11" s="936"/>
      <c r="O11" s="1002">
        <f>+'ACCIONES 320302'!P19</f>
        <v>2200000</v>
      </c>
    </row>
    <row r="12" spans="1:15" ht="26.25" thickBot="1">
      <c r="B12" s="728" t="s">
        <v>305</v>
      </c>
      <c r="C12" s="729" t="s">
        <v>215</v>
      </c>
      <c r="D12" s="729">
        <v>100</v>
      </c>
      <c r="E12" s="730">
        <f>+'ACCIONES 320302'!F20</f>
        <v>0</v>
      </c>
      <c r="F12" s="730">
        <f>+'ACCIONES 320302'!G20</f>
        <v>0</v>
      </c>
      <c r="G12" s="730">
        <f>+'ACCIONES 320302'!H20</f>
        <v>2200000</v>
      </c>
      <c r="H12" s="730">
        <f>+'ACCIONES 320302'!I20</f>
        <v>2200000</v>
      </c>
      <c r="I12" s="32"/>
      <c r="J12" s="985">
        <f>+'ACCIONES 320302'!K20</f>
        <v>0</v>
      </c>
      <c r="K12" s="730">
        <f>+'ACCIONES 320302'!L20</f>
        <v>0</v>
      </c>
      <c r="L12" s="730">
        <f>+'ACCIONES 320302'!M20</f>
        <v>0</v>
      </c>
      <c r="M12" s="731">
        <f>+'ACCIONES 320302'!N20</f>
        <v>0</v>
      </c>
      <c r="N12" s="933"/>
      <c r="O12" s="1003">
        <f>+'ACCIONES 320302'!P20</f>
        <v>2200000</v>
      </c>
    </row>
    <row r="13" spans="1:15" ht="39" thickBot="1">
      <c r="A13" s="207">
        <v>3203002</v>
      </c>
      <c r="B13" s="775" t="s">
        <v>57</v>
      </c>
      <c r="C13" s="776" t="s">
        <v>215</v>
      </c>
      <c r="D13" s="777">
        <v>100</v>
      </c>
      <c r="E13" s="778">
        <f>SUM(E14:E15)</f>
        <v>0</v>
      </c>
      <c r="F13" s="778">
        <f t="shared" ref="F13:G13" si="3">SUM(F14:F15)</f>
        <v>0</v>
      </c>
      <c r="G13" s="778">
        <f t="shared" si="3"/>
        <v>402328070.68000001</v>
      </c>
      <c r="H13" s="778">
        <f>SUM(H14:H15)</f>
        <v>402328070.68000001</v>
      </c>
      <c r="I13" s="32"/>
      <c r="J13" s="996">
        <f>+'ACCIONES 320302'!K24</f>
        <v>0</v>
      </c>
      <c r="K13" s="778">
        <f>+'ACCIONES 320302'!L24</f>
        <v>0</v>
      </c>
      <c r="L13" s="778">
        <f>+'ACCIONES 320302'!M24</f>
        <v>0</v>
      </c>
      <c r="M13" s="997">
        <f>+'ACCIONES 320302'!N24</f>
        <v>0</v>
      </c>
      <c r="N13" s="936"/>
      <c r="O13" s="1004">
        <f>+'ACCIONES 320302'!P24</f>
        <v>402328070.68000001</v>
      </c>
    </row>
    <row r="14" spans="1:15" ht="15" customHeight="1">
      <c r="B14" s="717" t="s">
        <v>306</v>
      </c>
      <c r="C14" s="718" t="s">
        <v>215</v>
      </c>
      <c r="D14" s="718">
        <v>100</v>
      </c>
      <c r="E14" s="714">
        <f>+'ACCIONES 320302'!F25</f>
        <v>0</v>
      </c>
      <c r="F14" s="714">
        <f>+'ACCIONES 320302'!G25</f>
        <v>0</v>
      </c>
      <c r="G14" s="714">
        <f>+'ACCIONES 320302'!H25</f>
        <v>402328070.68000001</v>
      </c>
      <c r="H14" s="714">
        <f>+'ACCIONES 320302'!I25</f>
        <v>402328070.68000001</v>
      </c>
      <c r="I14" s="32"/>
      <c r="J14" s="979">
        <f>+'ACCIONES 320302'!K25</f>
        <v>0</v>
      </c>
      <c r="K14" s="714">
        <f>+'ACCIONES 320302'!L25</f>
        <v>0</v>
      </c>
      <c r="L14" s="1517"/>
      <c r="M14" s="715">
        <f>+'ACCIONES 320302'!N25</f>
        <v>0</v>
      </c>
      <c r="N14" s="933"/>
      <c r="O14" s="987">
        <f>+'ACCIONES 320302'!P25</f>
        <v>402328070.68000001</v>
      </c>
    </row>
    <row r="15" spans="1:15" ht="26.25" thickBot="1">
      <c r="B15" s="271" t="s">
        <v>307</v>
      </c>
      <c r="C15" s="196" t="s">
        <v>211</v>
      </c>
      <c r="D15" s="196">
        <v>1</v>
      </c>
      <c r="E15" s="132">
        <f>+'ACCIONES 320302'!G29</f>
        <v>0</v>
      </c>
      <c r="F15" s="132">
        <f>+'ACCIONES 320302'!H29</f>
        <v>0</v>
      </c>
      <c r="G15" s="132">
        <f>+'ACCIONES 320302'!I29</f>
        <v>0</v>
      </c>
      <c r="H15" s="132">
        <f>+'ACCIONES 320302'!J29</f>
        <v>0</v>
      </c>
      <c r="I15" s="32"/>
      <c r="J15" s="981">
        <f>+'ACCIONES 320302'!K29</f>
        <v>0</v>
      </c>
      <c r="K15" s="132">
        <f>+'ACCIONES 320302'!L29</f>
        <v>0</v>
      </c>
      <c r="L15" s="1518"/>
      <c r="M15" s="716">
        <f>+'ACCIONES 320302'!N29</f>
        <v>0</v>
      </c>
      <c r="N15" s="933"/>
      <c r="O15" s="989">
        <f>+'ACCIONES 320302'!P29</f>
        <v>0</v>
      </c>
    </row>
    <row r="16" spans="1:15" ht="39" thickBot="1">
      <c r="A16" s="208">
        <v>3203045</v>
      </c>
      <c r="B16" s="732" t="s">
        <v>58</v>
      </c>
      <c r="C16" s="779" t="s">
        <v>211</v>
      </c>
      <c r="D16" s="733">
        <v>1</v>
      </c>
      <c r="E16" s="734">
        <f>+E17+E18+E19</f>
        <v>1068051686.8677931</v>
      </c>
      <c r="F16" s="734">
        <f t="shared" ref="F16:G16" si="4">+F17+F18+F19</f>
        <v>282233926</v>
      </c>
      <c r="G16" s="734">
        <f t="shared" si="4"/>
        <v>197649776.31999999</v>
      </c>
      <c r="H16" s="734">
        <f>+H17+H18+H19</f>
        <v>1547935389.1877935</v>
      </c>
      <c r="I16" s="32"/>
      <c r="J16" s="998">
        <f>+'ACCIONES 320302'!K33</f>
        <v>125045454.92640011</v>
      </c>
      <c r="K16" s="734">
        <f>+'ACCIONES 320302'!L33</f>
        <v>113752786</v>
      </c>
      <c r="L16" s="734">
        <f>+'ACCIONES 320302'!M33</f>
        <v>108570650.99999997</v>
      </c>
      <c r="M16" s="780">
        <f>+'ACCIONES 320302'!N33</f>
        <v>347368891.92640007</v>
      </c>
      <c r="N16" s="936"/>
      <c r="O16" s="1005">
        <f>+'ACCIONES 320302'!P33</f>
        <v>1895304281.1141942</v>
      </c>
    </row>
    <row r="17" spans="1:15" ht="38.25">
      <c r="B17" s="717" t="s">
        <v>308</v>
      </c>
      <c r="C17" s="705" t="s">
        <v>210</v>
      </c>
      <c r="D17" s="718">
        <v>1</v>
      </c>
      <c r="E17" s="714">
        <f>+'ACCIONES 320302'!F34</f>
        <v>41294155</v>
      </c>
      <c r="F17" s="714">
        <f>+'ACCIONES 320302'!G34</f>
        <v>199706507.30320001</v>
      </c>
      <c r="G17" s="714">
        <f>+'ACCIONES 320302'!H34</f>
        <v>0</v>
      </c>
      <c r="H17" s="714">
        <f>+'ACCIONES 320302'!I34</f>
        <v>241000662.30320001</v>
      </c>
      <c r="I17" s="32"/>
      <c r="J17" s="979">
        <f>+'ACCIONES 320302'!K34</f>
        <v>0</v>
      </c>
      <c r="K17" s="714">
        <f>+'ACCIONES 320302'!L34</f>
        <v>0</v>
      </c>
      <c r="L17" s="714">
        <f>+'ACCIONES 320302'!M34</f>
        <v>0</v>
      </c>
      <c r="M17" s="715">
        <f>+'ACCIONES 320302'!N34</f>
        <v>0</v>
      </c>
      <c r="N17" s="933"/>
      <c r="O17" s="987">
        <f>+'ACCIONES 320302'!P34</f>
        <v>241000662.30320001</v>
      </c>
    </row>
    <row r="18" spans="1:15" ht="25.5">
      <c r="B18" s="24" t="s">
        <v>309</v>
      </c>
      <c r="C18" s="17" t="s">
        <v>210</v>
      </c>
      <c r="D18" s="11">
        <v>1</v>
      </c>
      <c r="E18" s="31">
        <f>+'ACCIONES 320302'!F38</f>
        <v>254189</v>
      </c>
      <c r="F18" s="31">
        <f>+'ACCIONES 320302'!G38</f>
        <v>0</v>
      </c>
      <c r="G18" s="31">
        <f>+'ACCIONES 320302'!H38</f>
        <v>26505270.617599964</v>
      </c>
      <c r="H18" s="31">
        <f>+'ACCIONES 320302'!I38</f>
        <v>26759459.617599964</v>
      </c>
      <c r="I18" s="32"/>
      <c r="J18" s="999">
        <f>+'ACCIONES 320302'!K38</f>
        <v>73494729.382400036</v>
      </c>
      <c r="K18" s="31">
        <f>+'ACCIONES 320302'!L38</f>
        <v>0</v>
      </c>
      <c r="L18" s="31">
        <f>+'ACCIONES 320302'!M38</f>
        <v>0</v>
      </c>
      <c r="M18" s="1000">
        <f>+'ACCIONES 320302'!N38</f>
        <v>73494729.382400036</v>
      </c>
      <c r="N18" s="936"/>
      <c r="O18" s="1006">
        <f>+'ACCIONES 320302'!P38</f>
        <v>100254189</v>
      </c>
    </row>
    <row r="19" spans="1:15" ht="39" thickBot="1">
      <c r="B19" s="271" t="s">
        <v>310</v>
      </c>
      <c r="C19" s="131" t="s">
        <v>210</v>
      </c>
      <c r="D19" s="196">
        <v>1</v>
      </c>
      <c r="E19" s="132">
        <f>+'ACCIONES 320302'!F42</f>
        <v>1026503342.8677931</v>
      </c>
      <c r="F19" s="132">
        <f>+'ACCIONES 320302'!G42</f>
        <v>82527418.696799964</v>
      </c>
      <c r="G19" s="132">
        <f>+'ACCIONES 320302'!H42</f>
        <v>171144505.70240003</v>
      </c>
      <c r="H19" s="132">
        <f>+'ACCIONES 320302'!I42</f>
        <v>1280175267.2669935</v>
      </c>
      <c r="I19" s="32"/>
      <c r="J19" s="981">
        <f>+'ACCIONES 320302'!K42</f>
        <v>51550725.544000074</v>
      </c>
      <c r="K19" s="132">
        <f>+'ACCIONES 320302'!L42</f>
        <v>113752786</v>
      </c>
      <c r="L19" s="132">
        <f>+'ACCIONES 320302'!M42</f>
        <v>108570650.99999997</v>
      </c>
      <c r="M19" s="716">
        <f>+'ACCIONES 320302'!N42</f>
        <v>273874162.54400003</v>
      </c>
      <c r="N19" s="933"/>
      <c r="O19" s="989">
        <f>+'ACCIONES 320302'!P42</f>
        <v>1554049429.8109941</v>
      </c>
    </row>
    <row r="20" spans="1:15" ht="39" thickBot="1">
      <c r="A20" s="208">
        <v>3203005</v>
      </c>
      <c r="B20" s="732" t="s">
        <v>59</v>
      </c>
      <c r="C20" s="733" t="s">
        <v>211</v>
      </c>
      <c r="D20" s="733"/>
      <c r="E20" s="734">
        <f>+E21</f>
        <v>278658189.30325603</v>
      </c>
      <c r="F20" s="734">
        <f t="shared" ref="F20:G20" si="5">+F21</f>
        <v>0</v>
      </c>
      <c r="G20" s="734">
        <f t="shared" si="5"/>
        <v>0</v>
      </c>
      <c r="H20" s="734">
        <f>+H21</f>
        <v>278658189.30325603</v>
      </c>
      <c r="I20" s="32"/>
      <c r="J20" s="998">
        <f>+'ACCIONES 320302'!K121</f>
        <v>0</v>
      </c>
      <c r="K20" s="734">
        <f>+'ACCIONES 320302'!L121</f>
        <v>0</v>
      </c>
      <c r="L20" s="1519"/>
      <c r="M20" s="780">
        <f>+'ACCIONES 320302'!N121</f>
        <v>0</v>
      </c>
      <c r="N20" s="936"/>
      <c r="O20" s="1005">
        <f>+'ACCIONES 320302'!P121</f>
        <v>278658189.30325603</v>
      </c>
    </row>
    <row r="21" spans="1:15" ht="26.25" thickBot="1">
      <c r="B21" s="728" t="s">
        <v>311</v>
      </c>
      <c r="C21" s="729" t="s">
        <v>211</v>
      </c>
      <c r="D21" s="729"/>
      <c r="E21" s="730">
        <f>+'ACCIONES 320302'!F122</f>
        <v>278658189.30325603</v>
      </c>
      <c r="F21" s="730">
        <f>+'ACCIONES 320302'!G122</f>
        <v>0</v>
      </c>
      <c r="G21" s="730">
        <f>+'ACCIONES 320302'!H122</f>
        <v>0</v>
      </c>
      <c r="H21" s="730">
        <f>+'ACCIONES 320302'!I122</f>
        <v>278658189.30325603</v>
      </c>
      <c r="I21" s="32"/>
      <c r="J21" s="985">
        <f>+'ACCIONES 320302'!K122</f>
        <v>0</v>
      </c>
      <c r="K21" s="730">
        <f>+'ACCIONES 320302'!L122</f>
        <v>0</v>
      </c>
      <c r="L21" s="1516"/>
      <c r="M21" s="731">
        <f>+'ACCIONES 320302'!N122</f>
        <v>0</v>
      </c>
      <c r="N21" s="933"/>
      <c r="O21" s="1003">
        <f>+'ACCIONES 320302'!P122</f>
        <v>278658189.30325603</v>
      </c>
    </row>
    <row r="22" spans="1:15" ht="26.25" thickBot="1">
      <c r="A22" s="194">
        <v>3203044</v>
      </c>
      <c r="B22" s="724" t="s">
        <v>3</v>
      </c>
      <c r="C22" s="725" t="s">
        <v>215</v>
      </c>
      <c r="D22" s="725">
        <v>100</v>
      </c>
      <c r="E22" s="726">
        <f>+E23+E24</f>
        <v>120357</v>
      </c>
      <c r="F22" s="726">
        <f t="shared" ref="F22:G22" si="6">+F23+F24</f>
        <v>0</v>
      </c>
      <c r="G22" s="726">
        <f t="shared" si="6"/>
        <v>9156</v>
      </c>
      <c r="H22" s="726">
        <f>+H23+H24</f>
        <v>129513</v>
      </c>
      <c r="I22" s="32"/>
      <c r="J22" s="1001">
        <f>+'ACCIONES 320302'!K130</f>
        <v>72089426.288668796</v>
      </c>
      <c r="K22" s="726">
        <f>+'ACCIONES 320302'!L130</f>
        <v>0</v>
      </c>
      <c r="L22" s="1520"/>
      <c r="M22" s="727">
        <f>+'ACCIONES 320302'!N130</f>
        <v>72599445.288668796</v>
      </c>
      <c r="N22" s="993"/>
      <c r="O22" s="1007">
        <f>+'ACCIONES 320302'!P130</f>
        <v>72728958.288668796</v>
      </c>
    </row>
    <row r="23" spans="1:15" s="71" customFormat="1" ht="25.5">
      <c r="B23" s="723" t="s">
        <v>312</v>
      </c>
      <c r="C23" s="718" t="s">
        <v>210</v>
      </c>
      <c r="D23" s="718">
        <v>1</v>
      </c>
      <c r="E23" s="714">
        <f>+'ACCIONES 320302'!F131</f>
        <v>120357</v>
      </c>
      <c r="F23" s="714">
        <f>+'ACCIONES 320302'!G131</f>
        <v>0</v>
      </c>
      <c r="G23" s="714">
        <f>+'ACCIONES 320302'!H131</f>
        <v>9156</v>
      </c>
      <c r="H23" s="714">
        <f>+'ACCIONES 320302'!I131</f>
        <v>129513</v>
      </c>
      <c r="I23" s="32"/>
      <c r="J23" s="979">
        <f>+'ACCIONES 320302'!K131</f>
        <v>72089426.288668796</v>
      </c>
      <c r="K23" s="714">
        <f>+'ACCIONES 320302'!L131</f>
        <v>0</v>
      </c>
      <c r="L23" s="1517"/>
      <c r="M23" s="715">
        <f>+'ACCIONES 320302'!N131</f>
        <v>72599445.288668796</v>
      </c>
      <c r="N23" s="933"/>
      <c r="O23" s="987">
        <f>+'ACCIONES 320302'!P131</f>
        <v>72728958.288668796</v>
      </c>
    </row>
    <row r="24" spans="1:15" s="71" customFormat="1" ht="39" thickBot="1">
      <c r="B24" s="54" t="s">
        <v>313</v>
      </c>
      <c r="C24" s="196" t="s">
        <v>210</v>
      </c>
      <c r="D24" s="196">
        <v>1</v>
      </c>
      <c r="E24" s="132">
        <f>+'ACCIONES 320302'!F135</f>
        <v>0</v>
      </c>
      <c r="F24" s="132">
        <f>+'ACCIONES 320302'!G135</f>
        <v>0</v>
      </c>
      <c r="G24" s="132">
        <f>+'ACCIONES 320302'!H135</f>
        <v>0</v>
      </c>
      <c r="H24" s="132">
        <f>+'ACCIONES 320302'!I135</f>
        <v>0</v>
      </c>
      <c r="I24" s="32"/>
      <c r="J24" s="981">
        <f>+'ACCIONES 320302'!K135</f>
        <v>0</v>
      </c>
      <c r="K24" s="132">
        <f>+'ACCIONES 320302'!L135</f>
        <v>0</v>
      </c>
      <c r="L24" s="1518"/>
      <c r="M24" s="716">
        <f>+'ACCIONES 320302'!N135</f>
        <v>0</v>
      </c>
      <c r="N24" s="933"/>
      <c r="O24" s="989">
        <f>+'ACCIONES 320302'!P135</f>
        <v>0</v>
      </c>
    </row>
    <row r="25" spans="1:15" ht="15.75" thickBot="1">
      <c r="B25" s="2443" t="s">
        <v>278</v>
      </c>
      <c r="C25" s="2444"/>
      <c r="D25" s="2444"/>
      <c r="E25" s="1456">
        <f t="shared" ref="E25" si="7">+E22+E20+E16+E13+E11+E9+E7</f>
        <v>1364154955.9710491</v>
      </c>
      <c r="F25" s="1456">
        <f t="shared" ref="F25:G25" si="8">+F22+F20+F16+F13+F11+F9+F7</f>
        <v>282233926</v>
      </c>
      <c r="G25" s="1456">
        <f t="shared" si="8"/>
        <v>602187003</v>
      </c>
      <c r="H25" s="1456">
        <f>+H22+H20+H16+H13+H11+H9+H7</f>
        <v>2248575884.9710493</v>
      </c>
      <c r="I25" s="32"/>
      <c r="J25" s="1458">
        <f>+'ACCIONES 320302'!K139</f>
        <v>197134881.21506891</v>
      </c>
      <c r="K25" s="1456">
        <f>+'ACCIONES 320302'!L139</f>
        <v>113752786</v>
      </c>
      <c r="L25" s="1456">
        <f>+'ACCIONES 320302'!M139</f>
        <v>109080669.99999997</v>
      </c>
      <c r="M25" s="1457">
        <f>+'ACCIONES 320302'!N139</f>
        <v>419968337.21506888</v>
      </c>
      <c r="N25" s="911"/>
      <c r="O25" s="1459">
        <f>+'ACCIONES 320302'!P139</f>
        <v>2668544222.1861186</v>
      </c>
    </row>
    <row r="27" spans="1:15" ht="15.75" thickBot="1">
      <c r="F27" s="32"/>
      <c r="H27" s="135"/>
      <c r="J27" s="32"/>
      <c r="M27" s="135"/>
      <c r="O27" s="135"/>
    </row>
    <row r="28" spans="1:15" ht="15.75" thickBot="1">
      <c r="E28" s="737">
        <f>1403066695-36000000-2911739</f>
        <v>1364154956</v>
      </c>
      <c r="F28" s="737">
        <v>282233926</v>
      </c>
      <c r="G28" s="737">
        <f>602187003</f>
        <v>602187003</v>
      </c>
      <c r="H28" s="737">
        <f>SUM(E28:G28)</f>
        <v>2248575885</v>
      </c>
      <c r="I28" s="1771"/>
      <c r="J28" s="737">
        <f>352143465-154391020-617564</f>
        <v>197134881</v>
      </c>
      <c r="K28" s="737">
        <f>144000000-414857-29832357</f>
        <v>113752786</v>
      </c>
      <c r="L28" s="737">
        <f>154391020+414857+617564-16000000-30342771</f>
        <v>109080670</v>
      </c>
      <c r="M28" s="737">
        <f>SUM(J28:L28)</f>
        <v>419968337</v>
      </c>
      <c r="N28" s="1736"/>
      <c r="O28" s="737">
        <f>SUM(+H28+M28)</f>
        <v>2668544222</v>
      </c>
    </row>
    <row r="30" spans="1:15">
      <c r="E30" s="32">
        <f>+E28-E25</f>
        <v>2.8950929641723633E-2</v>
      </c>
      <c r="F30" s="32">
        <f t="shared" ref="F30:G30" si="9">+F28-F25</f>
        <v>0</v>
      </c>
      <c r="G30" s="32">
        <f t="shared" si="9"/>
        <v>0</v>
      </c>
      <c r="H30" s="32">
        <f>+H28-H25</f>
        <v>2.8950691223144531E-2</v>
      </c>
      <c r="I30" s="32"/>
      <c r="J30" s="32">
        <f t="shared" ref="J30:O30" si="10">+J28-J25</f>
        <v>-0.21506890654563904</v>
      </c>
      <c r="K30" s="32">
        <f t="shared" si="10"/>
        <v>0</v>
      </c>
      <c r="L30" s="32"/>
      <c r="M30" s="32">
        <f t="shared" si="10"/>
        <v>-0.21506887674331665</v>
      </c>
      <c r="N30" s="32"/>
      <c r="O30" s="32">
        <f t="shared" si="10"/>
        <v>-0.18611860275268555</v>
      </c>
    </row>
    <row r="32" spans="1:15">
      <c r="E32" s="50"/>
    </row>
  </sheetData>
  <mergeCells count="16">
    <mergeCell ref="A1:H1"/>
    <mergeCell ref="A2:H2"/>
    <mergeCell ref="B25:D25"/>
    <mergeCell ref="B4:B6"/>
    <mergeCell ref="E5:G5"/>
    <mergeCell ref="C4:H4"/>
    <mergeCell ref="H5:H6"/>
    <mergeCell ref="D5:D6"/>
    <mergeCell ref="C5:C6"/>
    <mergeCell ref="A4:A6"/>
    <mergeCell ref="J4:K4"/>
    <mergeCell ref="M4:M6"/>
    <mergeCell ref="O4:O6"/>
    <mergeCell ref="J5:J6"/>
    <mergeCell ref="K5:K6"/>
    <mergeCell ref="L5:L6"/>
  </mergeCells>
  <pageMargins left="0.7" right="0.7" top="0.75" bottom="0.75" header="0.3" footer="0.3"/>
  <pageSetup orientation="portrait" verticalDpi="597"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5">
    <tabColor theme="7" tint="0.59999389629810485"/>
  </sheetPr>
  <dimension ref="A1:T158"/>
  <sheetViews>
    <sheetView topLeftCell="A25" workbookViewId="0">
      <selection activeCell="A118" sqref="A118:XFD118"/>
    </sheetView>
  </sheetViews>
  <sheetFormatPr baseColWidth="10" defaultRowHeight="15"/>
  <cols>
    <col min="1" max="1" width="49.85546875" style="1736" customWidth="1"/>
    <col min="2" max="2" width="15.85546875" style="1736" customWidth="1"/>
    <col min="3" max="3" width="9.28515625" style="1736" hidden="1" customWidth="1"/>
    <col min="4" max="4" width="10.42578125" style="1775" hidden="1" customWidth="1"/>
    <col min="5" max="5" width="13.85546875" style="1775" hidden="1" customWidth="1"/>
    <col min="6" max="6" width="15.140625" style="1776" bestFit="1" customWidth="1"/>
    <col min="7" max="7" width="13.7109375" style="1776" customWidth="1"/>
    <col min="8" max="8" width="13.5703125" style="1776" bestFit="1" customWidth="1"/>
    <col min="9" max="9" width="15.7109375" style="1776" customWidth="1"/>
    <col min="10" max="10" width="8.5703125" style="1774" hidden="1" customWidth="1"/>
    <col min="11" max="13" width="13.5703125" style="1776" bestFit="1" customWidth="1"/>
    <col min="14" max="14" width="18.28515625" style="1776" customWidth="1"/>
    <col min="15" max="15" width="11.42578125" style="1736" hidden="1" customWidth="1"/>
    <col min="16" max="16" width="17.140625" style="1776" customWidth="1"/>
    <col min="17" max="17" width="15.5703125" style="1736" customWidth="1"/>
    <col min="18" max="18" width="11.42578125" style="1736"/>
    <col min="19" max="20" width="16.5703125" style="1736" bestFit="1" customWidth="1"/>
    <col min="21" max="16384" width="11.42578125" style="1736"/>
  </cols>
  <sheetData>
    <row r="1" spans="1:19" s="1" customFormat="1" ht="14.25" customHeight="1">
      <c r="A1" s="2409" t="s">
        <v>430</v>
      </c>
      <c r="B1" s="2409"/>
      <c r="C1" s="2409"/>
      <c r="D1" s="2409"/>
      <c r="E1" s="2409"/>
      <c r="F1" s="2409"/>
      <c r="G1" s="2409"/>
      <c r="H1" s="2409"/>
      <c r="I1" s="2409"/>
      <c r="J1" s="489"/>
      <c r="K1" s="489"/>
      <c r="L1" s="489"/>
      <c r="M1" s="489"/>
      <c r="N1" s="489"/>
      <c r="O1" s="489"/>
      <c r="P1" s="489"/>
      <c r="Q1" s="1663"/>
    </row>
    <row r="2" spans="1:19" s="1" customFormat="1" ht="12.75">
      <c r="A2" s="2311" t="s">
        <v>186</v>
      </c>
      <c r="B2" s="2311"/>
      <c r="C2" s="2311"/>
      <c r="D2" s="2311"/>
      <c r="E2" s="2311"/>
      <c r="F2" s="2311"/>
      <c r="G2" s="2311"/>
      <c r="H2" s="2311"/>
      <c r="I2" s="2311"/>
      <c r="J2" s="488"/>
      <c r="K2" s="488"/>
      <c r="L2" s="488"/>
      <c r="M2" s="488"/>
      <c r="N2" s="488"/>
      <c r="O2" s="488"/>
      <c r="P2" s="488"/>
      <c r="Q2" s="1663"/>
    </row>
    <row r="3" spans="1:19" ht="15.75" thickBot="1">
      <c r="A3" s="1698"/>
      <c r="B3" s="1698"/>
      <c r="C3" s="1698"/>
      <c r="D3" s="186"/>
      <c r="E3" s="186"/>
      <c r="F3" s="747"/>
      <c r="G3" s="747"/>
      <c r="H3" s="747"/>
      <c r="I3" s="747"/>
      <c r="J3" s="1735"/>
      <c r="K3" s="747"/>
      <c r="L3" s="747"/>
      <c r="M3" s="747"/>
      <c r="N3" s="747"/>
      <c r="P3" s="747"/>
      <c r="Q3" s="1664"/>
      <c r="R3" s="418"/>
      <c r="S3" s="418"/>
    </row>
    <row r="4" spans="1:19" ht="15" customHeight="1" thickBot="1">
      <c r="A4" s="2312" t="s">
        <v>446</v>
      </c>
      <c r="B4" s="2312" t="s">
        <v>447</v>
      </c>
      <c r="C4" s="2312" t="s">
        <v>876</v>
      </c>
      <c r="D4" s="2312" t="s">
        <v>448</v>
      </c>
      <c r="E4" s="2312" t="s">
        <v>201</v>
      </c>
      <c r="F4" s="2407" t="s">
        <v>199</v>
      </c>
      <c r="G4" s="2407"/>
      <c r="H4" s="2407"/>
      <c r="I4" s="2407" t="s">
        <v>352</v>
      </c>
      <c r="J4" s="443"/>
      <c r="K4" s="2446" t="s">
        <v>199</v>
      </c>
      <c r="L4" s="2447"/>
      <c r="M4" s="2448"/>
      <c r="N4" s="2364" t="s">
        <v>1005</v>
      </c>
      <c r="O4" s="1"/>
      <c r="P4" s="2364" t="s">
        <v>1006</v>
      </c>
      <c r="Q4" s="1664"/>
      <c r="R4" s="418"/>
      <c r="S4" s="418"/>
    </row>
    <row r="5" spans="1:19" ht="13.5" customHeight="1" thickBot="1">
      <c r="A5" s="2312"/>
      <c r="B5" s="2312"/>
      <c r="C5" s="2312"/>
      <c r="D5" s="2312"/>
      <c r="E5" s="2312"/>
      <c r="F5" s="2407" t="s">
        <v>202</v>
      </c>
      <c r="G5" s="2407" t="s">
        <v>256</v>
      </c>
      <c r="H5" s="2407" t="s">
        <v>203</v>
      </c>
      <c r="I5" s="2407"/>
      <c r="J5" s="443"/>
      <c r="K5" s="2407" t="s">
        <v>203</v>
      </c>
      <c r="L5" s="2407" t="s">
        <v>202</v>
      </c>
      <c r="M5" s="2407" t="s">
        <v>1046</v>
      </c>
      <c r="N5" s="2402"/>
      <c r="O5" s="1"/>
      <c r="P5" s="2402"/>
      <c r="Q5" s="1664"/>
      <c r="R5" s="418"/>
      <c r="S5" s="418"/>
    </row>
    <row r="6" spans="1:19" ht="24" customHeight="1" thickBot="1">
      <c r="A6" s="2330"/>
      <c r="B6" s="2330"/>
      <c r="C6" s="2330"/>
      <c r="D6" s="2330"/>
      <c r="E6" s="2330"/>
      <c r="F6" s="2408"/>
      <c r="G6" s="2408"/>
      <c r="H6" s="2408"/>
      <c r="I6" s="2408"/>
      <c r="J6" s="443">
        <v>1.0458000000000001</v>
      </c>
      <c r="K6" s="2408"/>
      <c r="L6" s="2408"/>
      <c r="M6" s="2408"/>
      <c r="N6" s="2403"/>
      <c r="O6" s="1"/>
      <c r="P6" s="2403"/>
      <c r="Q6" s="1664"/>
      <c r="R6" s="418"/>
      <c r="S6" s="418"/>
    </row>
    <row r="7" spans="1:19" ht="26.25" thickBot="1">
      <c r="A7" s="526" t="s">
        <v>45</v>
      </c>
      <c r="B7" s="1737"/>
      <c r="C7" s="1737"/>
      <c r="D7" s="1738" t="s">
        <v>215</v>
      </c>
      <c r="E7" s="1738">
        <v>100</v>
      </c>
      <c r="F7" s="1739">
        <f t="shared" ref="F7:H7" si="0">+F8</f>
        <v>10394833.68</v>
      </c>
      <c r="G7" s="1739">
        <f t="shared" si="0"/>
        <v>0</v>
      </c>
      <c r="H7" s="1739">
        <f t="shared" si="0"/>
        <v>0</v>
      </c>
      <c r="I7" s="1740">
        <f>+I8</f>
        <v>10394833.68</v>
      </c>
      <c r="J7" s="1741"/>
      <c r="K7" s="1742">
        <f>+K8</f>
        <v>0</v>
      </c>
      <c r="L7" s="1739">
        <f>+L8</f>
        <v>0</v>
      </c>
      <c r="M7" s="1743"/>
      <c r="N7" s="1740">
        <f>+N8</f>
        <v>0</v>
      </c>
      <c r="P7" s="1744">
        <f>+P8</f>
        <v>10394833.68</v>
      </c>
    </row>
    <row r="8" spans="1:19" ht="25.5">
      <c r="A8" s="1706" t="s">
        <v>303</v>
      </c>
      <c r="B8" s="1707"/>
      <c r="C8" s="1707"/>
      <c r="D8" s="1708" t="s">
        <v>215</v>
      </c>
      <c r="E8" s="1708">
        <v>100</v>
      </c>
      <c r="F8" s="1745">
        <f t="shared" ref="F8:H8" si="1">SUM(F9:F12)</f>
        <v>10394833.68</v>
      </c>
      <c r="G8" s="1745">
        <f t="shared" si="1"/>
        <v>0</v>
      </c>
      <c r="H8" s="1745">
        <f t="shared" si="1"/>
        <v>0</v>
      </c>
      <c r="I8" s="1746">
        <f>SUM(I9:I12)</f>
        <v>10394833.68</v>
      </c>
      <c r="J8" s="446"/>
      <c r="K8" s="1747">
        <f>SUM(K9:K12)</f>
        <v>0</v>
      </c>
      <c r="L8" s="1745">
        <f>SUM(L9:L12)</f>
        <v>0</v>
      </c>
      <c r="M8" s="1748"/>
      <c r="N8" s="1746">
        <f>SUM(N9:N12)</f>
        <v>0</v>
      </c>
      <c r="P8" s="1746">
        <f>SUM(P9:P12)</f>
        <v>10394833.68</v>
      </c>
    </row>
    <row r="9" spans="1:19" s="682" customFormat="1">
      <c r="A9" s="758" t="s">
        <v>515</v>
      </c>
      <c r="B9" s="1627" t="s">
        <v>237</v>
      </c>
      <c r="C9" s="1627" t="s">
        <v>878</v>
      </c>
      <c r="D9" s="1627"/>
      <c r="E9" s="1627">
        <v>1</v>
      </c>
      <c r="F9" s="445">
        <v>3464944.56</v>
      </c>
      <c r="G9" s="445"/>
      <c r="H9" s="445"/>
      <c r="I9" s="321">
        <f>3300000*E9*$J$6*1.004</f>
        <v>3464944.56</v>
      </c>
      <c r="J9" s="446"/>
      <c r="K9" s="1499"/>
      <c r="L9" s="445"/>
      <c r="M9" s="300"/>
      <c r="N9" s="321">
        <f>SUM(K9:L9)</f>
        <v>0</v>
      </c>
      <c r="O9" s="1736"/>
      <c r="P9" s="321">
        <f>+I9+N9</f>
        <v>3464944.56</v>
      </c>
    </row>
    <row r="10" spans="1:19" s="682" customFormat="1">
      <c r="A10" s="758" t="s">
        <v>516</v>
      </c>
      <c r="B10" s="1627" t="s">
        <v>237</v>
      </c>
      <c r="C10" s="1627" t="s">
        <v>878</v>
      </c>
      <c r="D10" s="1627"/>
      <c r="E10" s="1627">
        <v>1</v>
      </c>
      <c r="F10" s="445"/>
      <c r="G10" s="445"/>
      <c r="H10" s="445"/>
      <c r="I10" s="321"/>
      <c r="J10" s="446"/>
      <c r="K10" s="1499"/>
      <c r="L10" s="445"/>
      <c r="M10" s="300"/>
      <c r="N10" s="321">
        <f t="shared" ref="N10:N12" si="2">SUM(K10:L10)</f>
        <v>0</v>
      </c>
      <c r="O10" s="1736"/>
      <c r="P10" s="321">
        <f t="shared" ref="P10:P12" si="3">+I10+N10</f>
        <v>0</v>
      </c>
    </row>
    <row r="11" spans="1:19" s="1628" customFormat="1" ht="12.75">
      <c r="A11" s="758" t="s">
        <v>518</v>
      </c>
      <c r="B11" s="1627" t="s">
        <v>237</v>
      </c>
      <c r="C11" s="1627" t="s">
        <v>878</v>
      </c>
      <c r="D11" s="1627"/>
      <c r="E11" s="1627">
        <v>1</v>
      </c>
      <c r="F11" s="445">
        <v>3464944.56</v>
      </c>
      <c r="G11" s="445"/>
      <c r="H11" s="445"/>
      <c r="I11" s="321">
        <f>3300000*E11*$J$6*1.004</f>
        <v>3464944.56</v>
      </c>
      <c r="J11" s="446"/>
      <c r="K11" s="1499"/>
      <c r="L11" s="445"/>
      <c r="M11" s="300"/>
      <c r="N11" s="321">
        <f t="shared" si="2"/>
        <v>0</v>
      </c>
      <c r="P11" s="321">
        <f t="shared" si="3"/>
        <v>3464944.56</v>
      </c>
    </row>
    <row r="12" spans="1:19" s="1628" customFormat="1" ht="13.5" thickBot="1">
      <c r="A12" s="211" t="s">
        <v>950</v>
      </c>
      <c r="B12" s="21" t="s">
        <v>237</v>
      </c>
      <c r="C12" s="21" t="s">
        <v>878</v>
      </c>
      <c r="D12" s="21"/>
      <c r="E12" s="21">
        <v>1</v>
      </c>
      <c r="F12" s="631">
        <v>3464944.56</v>
      </c>
      <c r="G12" s="631"/>
      <c r="H12" s="631"/>
      <c r="I12" s="1277">
        <f>3300000*E12*$J$6*1.004</f>
        <v>3464944.56</v>
      </c>
      <c r="J12" s="446"/>
      <c r="K12" s="1500"/>
      <c r="L12" s="631"/>
      <c r="M12" s="1301"/>
      <c r="N12" s="1277">
        <f t="shared" si="2"/>
        <v>0</v>
      </c>
      <c r="P12" s="1277">
        <f t="shared" si="3"/>
        <v>3464944.56</v>
      </c>
    </row>
    <row r="13" spans="1:19" s="1" customFormat="1" ht="26.25" thickBot="1">
      <c r="A13" s="1749" t="s">
        <v>47</v>
      </c>
      <c r="B13" s="1737"/>
      <c r="C13" s="1737"/>
      <c r="D13" s="1738" t="s">
        <v>215</v>
      </c>
      <c r="E13" s="1738">
        <v>100</v>
      </c>
      <c r="F13" s="1739">
        <f t="shared" ref="F13:H13" si="4">+F14</f>
        <v>6929889.1200000001</v>
      </c>
      <c r="G13" s="1739">
        <f t="shared" si="4"/>
        <v>0</v>
      </c>
      <c r="H13" s="1739">
        <f t="shared" si="4"/>
        <v>0</v>
      </c>
      <c r="I13" s="1740">
        <f>+I14</f>
        <v>6929889.1200000001</v>
      </c>
      <c r="J13" s="1741"/>
      <c r="K13" s="1742">
        <f>+K14</f>
        <v>0</v>
      </c>
      <c r="L13" s="1739">
        <f>+L14</f>
        <v>0</v>
      </c>
      <c r="M13" s="1743"/>
      <c r="N13" s="1740">
        <f>+N14</f>
        <v>0</v>
      </c>
      <c r="P13" s="1744">
        <f>+P14</f>
        <v>6929889.1200000001</v>
      </c>
    </row>
    <row r="14" spans="1:19" ht="38.25" customHeight="1">
      <c r="A14" s="1706" t="s">
        <v>304</v>
      </c>
      <c r="B14" s="1707"/>
      <c r="C14" s="1707"/>
      <c r="D14" s="1708" t="s">
        <v>215</v>
      </c>
      <c r="E14" s="1708">
        <v>100</v>
      </c>
      <c r="F14" s="1745">
        <f t="shared" ref="F14:H14" si="5">SUM(F15:F18)</f>
        <v>6929889.1200000001</v>
      </c>
      <c r="G14" s="1745">
        <f t="shared" si="5"/>
        <v>0</v>
      </c>
      <c r="H14" s="1745">
        <f t="shared" si="5"/>
        <v>0</v>
      </c>
      <c r="I14" s="1746">
        <f>SUM(I15:I18)</f>
        <v>6929889.1200000001</v>
      </c>
      <c r="J14" s="446"/>
      <c r="K14" s="1747">
        <f>SUM(K15:K18)</f>
        <v>0</v>
      </c>
      <c r="L14" s="1745">
        <f>SUM(L15:L18)</f>
        <v>0</v>
      </c>
      <c r="M14" s="1748"/>
      <c r="N14" s="1746">
        <f>SUM(N15:N18)</f>
        <v>0</v>
      </c>
      <c r="P14" s="1746">
        <f>SUM(P15:P18)</f>
        <v>6929889.1200000001</v>
      </c>
    </row>
    <row r="15" spans="1:19">
      <c r="A15" s="1750" t="s">
        <v>515</v>
      </c>
      <c r="B15" s="1627" t="s">
        <v>237</v>
      </c>
      <c r="C15" s="273" t="s">
        <v>878</v>
      </c>
      <c r="D15" s="1627"/>
      <c r="E15" s="1627">
        <v>1</v>
      </c>
      <c r="F15" s="445">
        <v>3464944.56</v>
      </c>
      <c r="G15" s="445"/>
      <c r="H15" s="445"/>
      <c r="I15" s="321">
        <f>3300000*E15*$J$6*1.004</f>
        <v>3464944.56</v>
      </c>
      <c r="J15" s="446"/>
      <c r="K15" s="1499"/>
      <c r="L15" s="445"/>
      <c r="M15" s="300"/>
      <c r="N15" s="321">
        <f>SUM(K15:L15)</f>
        <v>0</v>
      </c>
      <c r="P15" s="321">
        <f>+I15+N15</f>
        <v>3464944.56</v>
      </c>
    </row>
    <row r="16" spans="1:19" s="1" customFormat="1" ht="12.75">
      <c r="A16" s="1750" t="s">
        <v>516</v>
      </c>
      <c r="B16" s="1627" t="s">
        <v>237</v>
      </c>
      <c r="C16" s="273" t="s">
        <v>878</v>
      </c>
      <c r="D16" s="1627"/>
      <c r="E16" s="1627">
        <v>1</v>
      </c>
      <c r="F16" s="445"/>
      <c r="G16" s="445"/>
      <c r="H16" s="445"/>
      <c r="I16" s="321"/>
      <c r="J16" s="446"/>
      <c r="K16" s="1499"/>
      <c r="L16" s="445"/>
      <c r="M16" s="300"/>
      <c r="N16" s="321">
        <f t="shared" ref="N16:N18" si="6">SUM(K16:L16)</f>
        <v>0</v>
      </c>
      <c r="P16" s="321">
        <f t="shared" ref="P16:P18" si="7">+I16+N16</f>
        <v>0</v>
      </c>
    </row>
    <row r="17" spans="1:16" s="1" customFormat="1" ht="12.75">
      <c r="A17" s="1750" t="s">
        <v>517</v>
      </c>
      <c r="B17" s="1627" t="s">
        <v>237</v>
      </c>
      <c r="C17" s="273" t="s">
        <v>878</v>
      </c>
      <c r="D17" s="1627"/>
      <c r="E17" s="1627">
        <v>1</v>
      </c>
      <c r="F17" s="445"/>
      <c r="G17" s="445"/>
      <c r="H17" s="445"/>
      <c r="I17" s="321"/>
      <c r="J17" s="446"/>
      <c r="K17" s="1499"/>
      <c r="L17" s="445"/>
      <c r="M17" s="300"/>
      <c r="N17" s="321">
        <f t="shared" si="6"/>
        <v>0</v>
      </c>
      <c r="P17" s="321">
        <f t="shared" si="7"/>
        <v>0</v>
      </c>
    </row>
    <row r="18" spans="1:16" s="1" customFormat="1" ht="13.5" thickBot="1">
      <c r="A18" s="1751" t="s">
        <v>518</v>
      </c>
      <c r="B18" s="21" t="s">
        <v>237</v>
      </c>
      <c r="C18" s="1281" t="s">
        <v>878</v>
      </c>
      <c r="D18" s="21"/>
      <c r="E18" s="21">
        <v>1</v>
      </c>
      <c r="F18" s="631">
        <v>3464944.56</v>
      </c>
      <c r="G18" s="631"/>
      <c r="H18" s="631"/>
      <c r="I18" s="1277">
        <f>3300000*E18*$J$6*1.004</f>
        <v>3464944.56</v>
      </c>
      <c r="J18" s="446"/>
      <c r="K18" s="1500"/>
      <c r="L18" s="631"/>
      <c r="M18" s="1301"/>
      <c r="N18" s="1277">
        <f t="shared" si="6"/>
        <v>0</v>
      </c>
      <c r="P18" s="1277">
        <f t="shared" si="7"/>
        <v>3464944.56</v>
      </c>
    </row>
    <row r="19" spans="1:16" ht="26.25" thickBot="1">
      <c r="A19" s="1752" t="s">
        <v>56</v>
      </c>
      <c r="B19" s="1737"/>
      <c r="C19" s="1737"/>
      <c r="D19" s="1738" t="s">
        <v>215</v>
      </c>
      <c r="E19" s="1738">
        <v>100</v>
      </c>
      <c r="F19" s="1739">
        <f t="shared" ref="F19:H19" si="8">+F20</f>
        <v>0</v>
      </c>
      <c r="G19" s="1739">
        <f t="shared" si="8"/>
        <v>0</v>
      </c>
      <c r="H19" s="1739">
        <f t="shared" si="8"/>
        <v>2200000</v>
      </c>
      <c r="I19" s="1740">
        <f>+I20</f>
        <v>2200000</v>
      </c>
      <c r="J19" s="1741"/>
      <c r="K19" s="1742">
        <f>+K20</f>
        <v>0</v>
      </c>
      <c r="L19" s="1739">
        <f>+L20</f>
        <v>0</v>
      </c>
      <c r="M19" s="1743"/>
      <c r="N19" s="1740">
        <f>+N20</f>
        <v>0</v>
      </c>
      <c r="P19" s="1744">
        <f>+P20</f>
        <v>2200000</v>
      </c>
    </row>
    <row r="20" spans="1:16" ht="25.5" customHeight="1">
      <c r="A20" s="1706" t="s">
        <v>305</v>
      </c>
      <c r="B20" s="1707"/>
      <c r="C20" s="1707"/>
      <c r="D20" s="1708" t="s">
        <v>215</v>
      </c>
      <c r="E20" s="1708">
        <v>100</v>
      </c>
      <c r="F20" s="1745">
        <f t="shared" ref="F20:H20" si="9">SUM(F21:F23)</f>
        <v>0</v>
      </c>
      <c r="G20" s="1745">
        <f t="shared" si="9"/>
        <v>0</v>
      </c>
      <c r="H20" s="1745">
        <f t="shared" si="9"/>
        <v>2200000</v>
      </c>
      <c r="I20" s="1746">
        <f>SUM(I21:I23)</f>
        <v>2200000</v>
      </c>
      <c r="J20" s="446"/>
      <c r="K20" s="1747">
        <f>SUM(K21:K23)</f>
        <v>0</v>
      </c>
      <c r="L20" s="1745">
        <f>SUM(L21:L23)</f>
        <v>0</v>
      </c>
      <c r="M20" s="1748"/>
      <c r="N20" s="1746">
        <f>SUM(N21:N23)</f>
        <v>0</v>
      </c>
      <c r="P20" s="1746">
        <f>SUM(P21:P23)</f>
        <v>2200000</v>
      </c>
    </row>
    <row r="21" spans="1:16" s="1628" customFormat="1" ht="12.75">
      <c r="A21" s="758" t="s">
        <v>972</v>
      </c>
      <c r="B21" s="1627" t="s">
        <v>237</v>
      </c>
      <c r="C21" s="1627" t="s">
        <v>878</v>
      </c>
      <c r="D21" s="1627"/>
      <c r="E21" s="1627">
        <v>1</v>
      </c>
      <c r="F21" s="445"/>
      <c r="G21" s="445"/>
      <c r="H21" s="445">
        <v>2200000</v>
      </c>
      <c r="I21" s="321">
        <f>SUM(F21:H21)</f>
        <v>2200000</v>
      </c>
      <c r="J21" s="446"/>
      <c r="K21" s="1499"/>
      <c r="L21" s="445"/>
      <c r="M21" s="300"/>
      <c r="N21" s="321">
        <f>SUM(K21:L21)</f>
        <v>0</v>
      </c>
      <c r="P21" s="321">
        <f>+I21+N21</f>
        <v>2200000</v>
      </c>
    </row>
    <row r="22" spans="1:16" s="1" customFormat="1" ht="12.75">
      <c r="A22" s="758"/>
      <c r="B22" s="305"/>
      <c r="C22" s="305"/>
      <c r="D22" s="1627"/>
      <c r="E22" s="1627"/>
      <c r="F22" s="445"/>
      <c r="G22" s="445"/>
      <c r="H22" s="445"/>
      <c r="I22" s="316"/>
      <c r="J22" s="446"/>
      <c r="K22" s="1499"/>
      <c r="L22" s="445"/>
      <c r="M22" s="300"/>
      <c r="N22" s="321">
        <f t="shared" ref="N22:N23" si="10">SUM(K22:L22)</f>
        <v>0</v>
      </c>
      <c r="P22" s="321">
        <f t="shared" ref="P22:P23" si="11">+I22+N22</f>
        <v>0</v>
      </c>
    </row>
    <row r="23" spans="1:16" s="1" customFormat="1" ht="13.5" thickBot="1">
      <c r="A23" s="211"/>
      <c r="B23" s="487"/>
      <c r="C23" s="487"/>
      <c r="D23" s="21"/>
      <c r="E23" s="21"/>
      <c r="F23" s="631"/>
      <c r="G23" s="631"/>
      <c r="H23" s="631"/>
      <c r="I23" s="632"/>
      <c r="J23" s="446"/>
      <c r="K23" s="1500"/>
      <c r="L23" s="631"/>
      <c r="M23" s="1301"/>
      <c r="N23" s="1277">
        <f t="shared" si="10"/>
        <v>0</v>
      </c>
      <c r="P23" s="1277">
        <f t="shared" si="11"/>
        <v>0</v>
      </c>
    </row>
    <row r="24" spans="1:16" ht="38.25" customHeight="1" thickBot="1">
      <c r="A24" s="1752" t="s">
        <v>57</v>
      </c>
      <c r="B24" s="1737"/>
      <c r="C24" s="1737"/>
      <c r="D24" s="1738" t="s">
        <v>215</v>
      </c>
      <c r="E24" s="1738">
        <v>100</v>
      </c>
      <c r="F24" s="1739">
        <f t="shared" ref="F24:H24" si="12">+F25+F29</f>
        <v>0</v>
      </c>
      <c r="G24" s="1739">
        <f t="shared" si="12"/>
        <v>0</v>
      </c>
      <c r="H24" s="1739">
        <f t="shared" si="12"/>
        <v>402328070.68000001</v>
      </c>
      <c r="I24" s="1740">
        <f>+I25+I29</f>
        <v>402328070.68000001</v>
      </c>
      <c r="J24" s="1741"/>
      <c r="K24" s="1742">
        <f>+K25+K29</f>
        <v>0</v>
      </c>
      <c r="L24" s="1739">
        <f>+L25+L29</f>
        <v>0</v>
      </c>
      <c r="M24" s="1743"/>
      <c r="N24" s="1740">
        <f>+N25+N29</f>
        <v>0</v>
      </c>
      <c r="P24" s="1744">
        <f>+P25+P29</f>
        <v>402328070.68000001</v>
      </c>
    </row>
    <row r="25" spans="1:16">
      <c r="A25" s="1706" t="s">
        <v>306</v>
      </c>
      <c r="B25" s="1707"/>
      <c r="C25" s="1707"/>
      <c r="D25" s="1708" t="s">
        <v>215</v>
      </c>
      <c r="E25" s="1708">
        <v>100</v>
      </c>
      <c r="F25" s="1745">
        <f t="shared" ref="F25:H25" si="13">SUM(F26:F28)</f>
        <v>0</v>
      </c>
      <c r="G25" s="1745">
        <f t="shared" si="13"/>
        <v>0</v>
      </c>
      <c r="H25" s="1745">
        <f t="shared" si="13"/>
        <v>402328070.68000001</v>
      </c>
      <c r="I25" s="1746">
        <f>SUM(I26:I28)</f>
        <v>402328070.68000001</v>
      </c>
      <c r="J25" s="446"/>
      <c r="K25" s="1747">
        <f>SUM(K26:K28)</f>
        <v>0</v>
      </c>
      <c r="L25" s="1745">
        <f>SUM(L26:L28)</f>
        <v>0</v>
      </c>
      <c r="M25" s="1748"/>
      <c r="N25" s="1746">
        <f>SUM(N26:N28)</f>
        <v>0</v>
      </c>
      <c r="P25" s="1746">
        <f>SUM(P26:P28)</f>
        <v>402328070.68000001</v>
      </c>
    </row>
    <row r="26" spans="1:16" s="1628" customFormat="1" ht="12.75">
      <c r="A26" s="758" t="s">
        <v>972</v>
      </c>
      <c r="B26" s="1627" t="s">
        <v>237</v>
      </c>
      <c r="C26" s="1627" t="s">
        <v>878</v>
      </c>
      <c r="D26" s="1627"/>
      <c r="E26" s="1627">
        <v>1</v>
      </c>
      <c r="F26" s="445"/>
      <c r="G26" s="445"/>
      <c r="H26" s="445">
        <v>402328070.68000001</v>
      </c>
      <c r="I26" s="321">
        <f>SUM(F26:H26)</f>
        <v>402328070.68000001</v>
      </c>
      <c r="J26" s="446"/>
      <c r="K26" s="1499"/>
      <c r="L26" s="445"/>
      <c r="M26" s="300"/>
      <c r="N26" s="321">
        <f>SUM(K26:L26)</f>
        <v>0</v>
      </c>
      <c r="P26" s="321">
        <f>+I26+N26</f>
        <v>402328070.68000001</v>
      </c>
    </row>
    <row r="27" spans="1:16" s="1" customFormat="1" ht="12.75">
      <c r="A27" s="758"/>
      <c r="B27" s="305"/>
      <c r="C27" s="305"/>
      <c r="D27" s="1627"/>
      <c r="E27" s="1627"/>
      <c r="F27" s="445"/>
      <c r="G27" s="445"/>
      <c r="H27" s="445"/>
      <c r="I27" s="316"/>
      <c r="J27" s="446"/>
      <c r="K27" s="1499"/>
      <c r="L27" s="445"/>
      <c r="M27" s="300"/>
      <c r="N27" s="321">
        <f t="shared" ref="N27:N28" si="14">SUM(K27:L27)</f>
        <v>0</v>
      </c>
      <c r="P27" s="321">
        <f t="shared" ref="P27:P28" si="15">+I27+N27</f>
        <v>0</v>
      </c>
    </row>
    <row r="28" spans="1:16" s="1" customFormat="1" ht="12.75">
      <c r="A28" s="758"/>
      <c r="B28" s="305"/>
      <c r="C28" s="305"/>
      <c r="D28" s="1627"/>
      <c r="E28" s="1627"/>
      <c r="F28" s="445"/>
      <c r="G28" s="445"/>
      <c r="H28" s="445"/>
      <c r="I28" s="316"/>
      <c r="J28" s="446"/>
      <c r="K28" s="1499"/>
      <c r="L28" s="445"/>
      <c r="M28" s="300"/>
      <c r="N28" s="321">
        <f t="shared" si="14"/>
        <v>0</v>
      </c>
      <c r="P28" s="321">
        <f t="shared" si="15"/>
        <v>0</v>
      </c>
    </row>
    <row r="29" spans="1:16" ht="25.5" customHeight="1">
      <c r="A29" s="1718" t="s">
        <v>307</v>
      </c>
      <c r="B29" s="1719"/>
      <c r="C29" s="1719"/>
      <c r="D29" s="1577" t="s">
        <v>211</v>
      </c>
      <c r="E29" s="1577">
        <v>1</v>
      </c>
      <c r="F29" s="1753">
        <f>SUM(F30:F32)</f>
        <v>0</v>
      </c>
      <c r="G29" s="1753">
        <f t="shared" ref="G29:H29" si="16">SUM(G30:G32)</f>
        <v>0</v>
      </c>
      <c r="H29" s="1753">
        <f t="shared" si="16"/>
        <v>0</v>
      </c>
      <c r="I29" s="1754">
        <f>SUM(I30:I32)</f>
        <v>0</v>
      </c>
      <c r="J29" s="446"/>
      <c r="K29" s="1755">
        <f>SUM(K30:K32)</f>
        <v>0</v>
      </c>
      <c r="L29" s="1753">
        <f>SUM(L30:L32)</f>
        <v>0</v>
      </c>
      <c r="M29" s="1756"/>
      <c r="N29" s="1754">
        <f>SUM(N30:N32)</f>
        <v>0</v>
      </c>
      <c r="P29" s="1754">
        <f>SUM(P30:P32)</f>
        <v>0</v>
      </c>
    </row>
    <row r="30" spans="1:16" s="1" customFormat="1" ht="12.75">
      <c r="A30" s="1757" t="s">
        <v>660</v>
      </c>
      <c r="B30" s="305"/>
      <c r="C30" s="305"/>
      <c r="D30" s="1627"/>
      <c r="E30" s="1627"/>
      <c r="F30" s="445"/>
      <c r="G30" s="445"/>
      <c r="H30" s="445"/>
      <c r="I30" s="316"/>
      <c r="J30" s="446"/>
      <c r="K30" s="1499"/>
      <c r="L30" s="445"/>
      <c r="M30" s="300"/>
      <c r="N30" s="316">
        <f>SUM(K30:L30)</f>
        <v>0</v>
      </c>
      <c r="P30" s="316">
        <f>+I30+N30</f>
        <v>0</v>
      </c>
    </row>
    <row r="31" spans="1:16" s="1" customFormat="1" ht="12.75">
      <c r="A31" s="758"/>
      <c r="B31" s="305"/>
      <c r="C31" s="305"/>
      <c r="D31" s="1627"/>
      <c r="E31" s="1627"/>
      <c r="F31" s="445"/>
      <c r="G31" s="445"/>
      <c r="H31" s="445"/>
      <c r="I31" s="316"/>
      <c r="J31" s="446"/>
      <c r="K31" s="1499"/>
      <c r="L31" s="445"/>
      <c r="M31" s="300"/>
      <c r="N31" s="316">
        <f t="shared" ref="N31:N32" si="17">SUM(K31:L31)</f>
        <v>0</v>
      </c>
      <c r="P31" s="316">
        <f t="shared" ref="P31:P32" si="18">+I31+N31</f>
        <v>0</v>
      </c>
    </row>
    <row r="32" spans="1:16" s="1" customFormat="1" ht="13.5" thickBot="1">
      <c r="A32" s="211"/>
      <c r="B32" s="487"/>
      <c r="C32" s="487"/>
      <c r="D32" s="21"/>
      <c r="E32" s="21"/>
      <c r="F32" s="631"/>
      <c r="G32" s="631"/>
      <c r="H32" s="631"/>
      <c r="I32" s="632"/>
      <c r="J32" s="446"/>
      <c r="K32" s="1500"/>
      <c r="L32" s="631"/>
      <c r="M32" s="1301"/>
      <c r="N32" s="632">
        <f t="shared" si="17"/>
        <v>0</v>
      </c>
      <c r="P32" s="632">
        <f t="shared" si="18"/>
        <v>0</v>
      </c>
    </row>
    <row r="33" spans="1:16" ht="49.5" customHeight="1" thickBot="1">
      <c r="A33" s="521" t="s">
        <v>58</v>
      </c>
      <c r="B33" s="1701"/>
      <c r="C33" s="1701"/>
      <c r="D33" s="522" t="s">
        <v>211</v>
      </c>
      <c r="E33" s="473">
        <v>1</v>
      </c>
      <c r="F33" s="1758">
        <f t="shared" ref="F33:H33" si="19">+F34+F38+F42</f>
        <v>1068051686.8677931</v>
      </c>
      <c r="G33" s="1758">
        <f>+G34+G38+G42</f>
        <v>282233926</v>
      </c>
      <c r="H33" s="1758">
        <f t="shared" si="19"/>
        <v>197649776.31999999</v>
      </c>
      <c r="I33" s="1759">
        <f>+I34+I38+I42</f>
        <v>1547935389.1877935</v>
      </c>
      <c r="J33" s="446"/>
      <c r="K33" s="1760">
        <f>+K34+K38+K42</f>
        <v>125045454.92640011</v>
      </c>
      <c r="L33" s="1758">
        <f>+L34+L38+L42</f>
        <v>113752786</v>
      </c>
      <c r="M33" s="1758">
        <f>+M34+M38+M42</f>
        <v>108570650.99999997</v>
      </c>
      <c r="N33" s="1759">
        <f>+N34+N38+N42</f>
        <v>347368891.92640007</v>
      </c>
      <c r="P33" s="1761">
        <f>+P34+P38+P42</f>
        <v>1895304281.1141942</v>
      </c>
    </row>
    <row r="34" spans="1:16" ht="38.25" customHeight="1">
      <c r="A34" s="1706" t="s">
        <v>308</v>
      </c>
      <c r="B34" s="1707"/>
      <c r="C34" s="1707"/>
      <c r="D34" s="1708" t="s">
        <v>210</v>
      </c>
      <c r="E34" s="1708">
        <v>1</v>
      </c>
      <c r="F34" s="1745">
        <f t="shared" ref="F34:H34" si="20">SUM(F35:F37)</f>
        <v>41294155</v>
      </c>
      <c r="G34" s="1745">
        <f t="shared" si="20"/>
        <v>199706507.30320001</v>
      </c>
      <c r="H34" s="1745">
        <f t="shared" si="20"/>
        <v>0</v>
      </c>
      <c r="I34" s="1746">
        <f>SUM(I35:I37)</f>
        <v>241000662.30320001</v>
      </c>
      <c r="J34" s="446"/>
      <c r="K34" s="1747">
        <f>SUM(K35:K37)</f>
        <v>0</v>
      </c>
      <c r="L34" s="1745">
        <f>SUM(L35:L37)</f>
        <v>0</v>
      </c>
      <c r="M34" s="1748"/>
      <c r="N34" s="1746">
        <f>SUM(N35:N37)</f>
        <v>0</v>
      </c>
      <c r="P34" s="1746">
        <f>SUM(P35:P37)</f>
        <v>241000662.30320001</v>
      </c>
    </row>
    <row r="35" spans="1:16" s="1628" customFormat="1" ht="12.75">
      <c r="A35" s="1762" t="s">
        <v>1118</v>
      </c>
      <c r="B35" s="1627" t="s">
        <v>237</v>
      </c>
      <c r="C35" s="1627" t="s">
        <v>878</v>
      </c>
      <c r="D35" s="1627" t="s">
        <v>661</v>
      </c>
      <c r="E35" s="1627">
        <v>2</v>
      </c>
      <c r="F35" s="766">
        <v>41294155</v>
      </c>
      <c r="G35" s="445">
        <v>199706507.30320001</v>
      </c>
      <c r="H35" s="445"/>
      <c r="I35" s="321">
        <f>SUM(F35:H35)</f>
        <v>241000662.30320001</v>
      </c>
      <c r="J35" s="446"/>
      <c r="K35" s="1499"/>
      <c r="L35" s="445"/>
      <c r="M35" s="300"/>
      <c r="N35" s="321">
        <f>SUM(K35:L35)</f>
        <v>0</v>
      </c>
      <c r="P35" s="321">
        <f>+I35+N35</f>
        <v>241000662.30320001</v>
      </c>
    </row>
    <row r="36" spans="1:16" s="1" customFormat="1" ht="12.75">
      <c r="A36" s="758"/>
      <c r="B36" s="305"/>
      <c r="C36" s="305"/>
      <c r="D36" s="1627"/>
      <c r="E36" s="1627"/>
      <c r="F36" s="445"/>
      <c r="G36" s="445"/>
      <c r="H36" s="445"/>
      <c r="I36" s="316"/>
      <c r="J36" s="446"/>
      <c r="K36" s="1499"/>
      <c r="L36" s="445"/>
      <c r="M36" s="300"/>
      <c r="N36" s="321">
        <f t="shared" ref="N36:N37" si="21">SUM(K36:L36)</f>
        <v>0</v>
      </c>
      <c r="P36" s="321">
        <f t="shared" ref="P36:P37" si="22">+I36+N36</f>
        <v>0</v>
      </c>
    </row>
    <row r="37" spans="1:16" s="1" customFormat="1" ht="12.75">
      <c r="A37" s="758"/>
      <c r="B37" s="305"/>
      <c r="C37" s="305"/>
      <c r="D37" s="1627"/>
      <c r="E37" s="1627"/>
      <c r="F37" s="445"/>
      <c r="G37" s="445"/>
      <c r="H37" s="445"/>
      <c r="I37" s="316"/>
      <c r="J37" s="446"/>
      <c r="K37" s="1499"/>
      <c r="L37" s="445"/>
      <c r="M37" s="300"/>
      <c r="N37" s="321">
        <f t="shared" si="21"/>
        <v>0</v>
      </c>
      <c r="P37" s="321">
        <f t="shared" si="22"/>
        <v>0</v>
      </c>
    </row>
    <row r="38" spans="1:16" ht="25.5" customHeight="1">
      <c r="A38" s="1718" t="s">
        <v>309</v>
      </c>
      <c r="B38" s="1719"/>
      <c r="C38" s="1719"/>
      <c r="D38" s="1577" t="s">
        <v>210</v>
      </c>
      <c r="E38" s="1577">
        <v>1</v>
      </c>
      <c r="F38" s="1753">
        <f t="shared" ref="F38:H38" si="23">SUM(F39:F41)</f>
        <v>254189</v>
      </c>
      <c r="G38" s="1753">
        <f t="shared" si="23"/>
        <v>0</v>
      </c>
      <c r="H38" s="1753">
        <f t="shared" si="23"/>
        <v>26505270.617599964</v>
      </c>
      <c r="I38" s="1754">
        <f>SUM(I39:I41)</f>
        <v>26759459.617599964</v>
      </c>
      <c r="J38" s="446"/>
      <c r="K38" s="1755">
        <f>SUM(K39:K41)</f>
        <v>73494729.382400036</v>
      </c>
      <c r="L38" s="1753">
        <f>SUM(L39:L41)</f>
        <v>0</v>
      </c>
      <c r="M38" s="1753">
        <f>SUM(M39:M41)</f>
        <v>0</v>
      </c>
      <c r="N38" s="1754">
        <f>SUM(N39:N41)</f>
        <v>73494729.382400036</v>
      </c>
      <c r="P38" s="1754">
        <f>SUM(P39:P41)</f>
        <v>100254189</v>
      </c>
    </row>
    <row r="39" spans="1:16" s="1628" customFormat="1" ht="38.25">
      <c r="A39" s="1762" t="s">
        <v>1162</v>
      </c>
      <c r="B39" s="1627" t="s">
        <v>237</v>
      </c>
      <c r="C39" s="1627" t="s">
        <v>878</v>
      </c>
      <c r="D39" s="1627"/>
      <c r="E39" s="1627">
        <v>1</v>
      </c>
      <c r="F39" s="445">
        <v>254189</v>
      </c>
      <c r="G39" s="445"/>
      <c r="H39" s="445">
        <v>26505270.617599964</v>
      </c>
      <c r="I39" s="321">
        <f>+H39+G39+F39</f>
        <v>26759459.617599964</v>
      </c>
      <c r="J39" s="1734" t="s">
        <v>1106</v>
      </c>
      <c r="K39" s="1499">
        <f>100000000-H39</f>
        <v>73494729.382400036</v>
      </c>
      <c r="L39" s="445"/>
      <c r="M39" s="300"/>
      <c r="N39" s="321">
        <f>SUM(K39:L39)</f>
        <v>73494729.382400036</v>
      </c>
      <c r="O39" s="1628" t="s">
        <v>1107</v>
      </c>
      <c r="P39" s="321">
        <f>+I39+N39</f>
        <v>100254189</v>
      </c>
    </row>
    <row r="40" spans="1:16" s="1" customFormat="1" ht="12.75">
      <c r="A40" s="758"/>
      <c r="B40" s="305"/>
      <c r="C40" s="305"/>
      <c r="D40" s="1627"/>
      <c r="E40" s="1627"/>
      <c r="F40" s="445"/>
      <c r="G40" s="445"/>
      <c r="H40" s="445"/>
      <c r="I40" s="316"/>
      <c r="J40" s="446"/>
      <c r="K40" s="1499"/>
      <c r="L40" s="445"/>
      <c r="M40" s="300"/>
      <c r="N40" s="316">
        <f t="shared" ref="N40:N41" si="24">SUM(K40:L40)</f>
        <v>0</v>
      </c>
      <c r="P40" s="316">
        <f t="shared" ref="P40:P41" si="25">+I40+N40</f>
        <v>0</v>
      </c>
    </row>
    <row r="41" spans="1:16" s="1" customFormat="1" ht="12.75">
      <c r="A41" s="758"/>
      <c r="B41" s="305"/>
      <c r="C41" s="305"/>
      <c r="D41" s="1627"/>
      <c r="E41" s="1627"/>
      <c r="F41" s="445"/>
      <c r="G41" s="445"/>
      <c r="H41" s="445"/>
      <c r="I41" s="316"/>
      <c r="J41" s="446"/>
      <c r="K41" s="1499"/>
      <c r="L41" s="445"/>
      <c r="M41" s="300"/>
      <c r="N41" s="316">
        <f t="shared" si="24"/>
        <v>0</v>
      </c>
      <c r="P41" s="316">
        <f t="shared" si="25"/>
        <v>0</v>
      </c>
    </row>
    <row r="42" spans="1:16" ht="38.25" customHeight="1">
      <c r="A42" s="1718" t="s">
        <v>310</v>
      </c>
      <c r="B42" s="1719"/>
      <c r="C42" s="1719"/>
      <c r="D42" s="1577" t="s">
        <v>210</v>
      </c>
      <c r="E42" s="1577">
        <v>1</v>
      </c>
      <c r="F42" s="1753">
        <f>SUM(F43:F119)</f>
        <v>1026503342.8677931</v>
      </c>
      <c r="G42" s="1753">
        <f>SUM(G43:G119)</f>
        <v>82527418.696799964</v>
      </c>
      <c r="H42" s="1753">
        <f>SUM(H43:H119)</f>
        <v>171144505.70240003</v>
      </c>
      <c r="I42" s="1754">
        <f>SUM(I43:I119)</f>
        <v>1280175267.2669935</v>
      </c>
      <c r="J42" s="446"/>
      <c r="K42" s="1755">
        <f>SUM(K43:K120)</f>
        <v>51550725.544000074</v>
      </c>
      <c r="L42" s="1753">
        <f>SUM(L43:L120)</f>
        <v>113752786</v>
      </c>
      <c r="M42" s="1753">
        <f>SUM(M43:M120)</f>
        <v>108570650.99999997</v>
      </c>
      <c r="N42" s="1754">
        <f>SUM(N43:N120)</f>
        <v>273874162.54400003</v>
      </c>
      <c r="P42" s="1754">
        <f>SUM(P43:P120)</f>
        <v>1554049429.8109941</v>
      </c>
    </row>
    <row r="43" spans="1:16" s="1" customFormat="1" ht="12.75">
      <c r="A43" s="1713" t="s">
        <v>662</v>
      </c>
      <c r="B43" s="305"/>
      <c r="C43" s="305"/>
      <c r="D43" s="1627"/>
      <c r="E43" s="1627"/>
      <c r="F43" s="445"/>
      <c r="G43" s="445"/>
      <c r="H43" s="445"/>
      <c r="I43" s="316"/>
      <c r="J43" s="446"/>
      <c r="K43" s="1499"/>
      <c r="L43" s="445"/>
      <c r="M43" s="300"/>
      <c r="N43" s="316">
        <f>SUM(K43:L43)</f>
        <v>0</v>
      </c>
      <c r="P43" s="1277">
        <f t="shared" ref="P43:P120" si="26">+I43+N43</f>
        <v>0</v>
      </c>
    </row>
    <row r="44" spans="1:16" s="1628" customFormat="1" ht="12.75">
      <c r="A44" s="1729" t="s">
        <v>663</v>
      </c>
      <c r="B44" s="273" t="s">
        <v>237</v>
      </c>
      <c r="C44" s="273" t="s">
        <v>878</v>
      </c>
      <c r="D44" s="1627"/>
      <c r="E44" s="1627">
        <v>11</v>
      </c>
      <c r="F44" s="445">
        <f>+I44</f>
        <v>58533200</v>
      </c>
      <c r="G44" s="445"/>
      <c r="H44" s="445"/>
      <c r="I44" s="321">
        <f>5300000*1.004*E44</f>
        <v>58533200</v>
      </c>
      <c r="J44" s="446"/>
      <c r="K44" s="1499"/>
      <c r="L44" s="445"/>
      <c r="M44" s="300"/>
      <c r="N44" s="316">
        <f t="shared" ref="N44:N120" si="27">SUM(K44:L44)</f>
        <v>0</v>
      </c>
      <c r="O44" s="1"/>
      <c r="P44" s="1277">
        <f t="shared" si="26"/>
        <v>58533200</v>
      </c>
    </row>
    <row r="45" spans="1:16" s="1628" customFormat="1" ht="12.75">
      <c r="A45" s="1728" t="s">
        <v>664</v>
      </c>
      <c r="B45" s="1627" t="s">
        <v>237</v>
      </c>
      <c r="C45" s="1627" t="s">
        <v>878</v>
      </c>
      <c r="D45" s="1627"/>
      <c r="E45" s="1627">
        <v>11</v>
      </c>
      <c r="F45" s="445">
        <f>+I45/2</f>
        <v>22522139.640000001</v>
      </c>
      <c r="G45" s="445"/>
      <c r="H45" s="445">
        <f>+I45/2</f>
        <v>22522139.640000001</v>
      </c>
      <c r="I45" s="321">
        <f>3900000*1.004*1.0458*E45</f>
        <v>45044279.280000001</v>
      </c>
      <c r="J45" s="446"/>
      <c r="K45" s="1499"/>
      <c r="L45" s="445"/>
      <c r="M45" s="300"/>
      <c r="N45" s="321">
        <f t="shared" si="27"/>
        <v>0</v>
      </c>
      <c r="P45" s="1277">
        <f t="shared" si="26"/>
        <v>45044279.280000001</v>
      </c>
    </row>
    <row r="46" spans="1:16" s="682" customFormat="1">
      <c r="A46" s="1728" t="s">
        <v>665</v>
      </c>
      <c r="B46" s="1627" t="s">
        <v>237</v>
      </c>
      <c r="C46" s="1627" t="s">
        <v>878</v>
      </c>
      <c r="D46" s="1627"/>
      <c r="E46" s="1627">
        <v>11</v>
      </c>
      <c r="F46" s="445">
        <f t="shared" ref="F46" si="28">+I46/2</f>
        <v>22522139.640000001</v>
      </c>
      <c r="G46" s="445"/>
      <c r="H46" s="445">
        <f t="shared" ref="H46" si="29">+I46/2</f>
        <v>22522139.640000001</v>
      </c>
      <c r="I46" s="321">
        <f>3900000*1.004*1.0458*E46</f>
        <v>45044279.280000001</v>
      </c>
      <c r="J46" s="446"/>
      <c r="K46" s="1499"/>
      <c r="L46" s="445"/>
      <c r="M46" s="300"/>
      <c r="N46" s="321">
        <f t="shared" si="27"/>
        <v>0</v>
      </c>
      <c r="P46" s="1277">
        <f t="shared" si="26"/>
        <v>45044279.280000001</v>
      </c>
    </row>
    <row r="47" spans="1:16" s="682" customFormat="1">
      <c r="A47" s="1728" t="s">
        <v>666</v>
      </c>
      <c r="B47" s="1627" t="s">
        <v>237</v>
      </c>
      <c r="C47" s="1627" t="s">
        <v>878</v>
      </c>
      <c r="D47" s="1627"/>
      <c r="E47" s="1627">
        <v>11</v>
      </c>
      <c r="F47" s="445">
        <f>+I47-H47</f>
        <v>23198228.617599994</v>
      </c>
      <c r="G47" s="445"/>
      <c r="H47" s="445">
        <v>21846050.662400007</v>
      </c>
      <c r="I47" s="321">
        <f>3900000*1.004*1.0458*E47</f>
        <v>45044279.280000001</v>
      </c>
      <c r="J47" s="446"/>
      <c r="K47" s="1499"/>
      <c r="L47" s="445"/>
      <c r="M47" s="300"/>
      <c r="N47" s="321">
        <f t="shared" si="27"/>
        <v>0</v>
      </c>
      <c r="P47" s="1277">
        <f t="shared" si="26"/>
        <v>45044279.280000001</v>
      </c>
    </row>
    <row r="48" spans="1:16" s="1628" customFormat="1" ht="12.75">
      <c r="A48" s="1728" t="s">
        <v>667</v>
      </c>
      <c r="B48" s="1627" t="s">
        <v>237</v>
      </c>
      <c r="C48" s="1627" t="s">
        <v>878</v>
      </c>
      <c r="D48" s="1627"/>
      <c r="E48" s="1627">
        <v>11</v>
      </c>
      <c r="F48" s="445">
        <v>45044279.280000001</v>
      </c>
      <c r="G48" s="445"/>
      <c r="H48" s="445"/>
      <c r="I48" s="321">
        <v>45044279.280000001</v>
      </c>
      <c r="J48" s="446"/>
      <c r="K48" s="1499"/>
      <c r="L48" s="445"/>
      <c r="M48" s="300"/>
      <c r="N48" s="321">
        <f t="shared" si="27"/>
        <v>0</v>
      </c>
      <c r="P48" s="1277">
        <f t="shared" si="26"/>
        <v>45044279.280000001</v>
      </c>
    </row>
    <row r="49" spans="1:17" s="1628" customFormat="1" ht="25.5">
      <c r="A49" s="1728" t="s">
        <v>1045</v>
      </c>
      <c r="B49" s="1627" t="s">
        <v>237</v>
      </c>
      <c r="C49" s="1627" t="s">
        <v>878</v>
      </c>
      <c r="D49" s="1627"/>
      <c r="E49" s="1627">
        <v>6</v>
      </c>
      <c r="F49" s="445">
        <v>9287859.9074622001</v>
      </c>
      <c r="G49" s="445"/>
      <c r="H49" s="445"/>
      <c r="I49" s="321">
        <f>+H49+G49+F49</f>
        <v>9287859.9074622001</v>
      </c>
      <c r="J49" s="446" t="s">
        <v>1107</v>
      </c>
      <c r="K49" s="1499"/>
      <c r="L49" s="300">
        <v>11501807.452537799</v>
      </c>
      <c r="M49" s="300"/>
      <c r="N49" s="321">
        <v>11501807.452537799</v>
      </c>
      <c r="P49" s="1277">
        <f t="shared" si="26"/>
        <v>20789667.359999999</v>
      </c>
    </row>
    <row r="50" spans="1:17" s="1628" customFormat="1" ht="12.75">
      <c r="A50" s="1728" t="s">
        <v>1112</v>
      </c>
      <c r="B50" s="1627" t="s">
        <v>237</v>
      </c>
      <c r="C50" s="1627" t="s">
        <v>878</v>
      </c>
      <c r="D50" s="1627"/>
      <c r="E50" s="1627">
        <v>6</v>
      </c>
      <c r="F50" s="445">
        <v>17324722.359999999</v>
      </c>
      <c r="G50" s="445"/>
      <c r="H50" s="445"/>
      <c r="I50" s="321">
        <f t="shared" ref="I50:I55" si="30">SUM(F50:H50)</f>
        <v>17324722.359999999</v>
      </c>
      <c r="J50" s="446" t="s">
        <v>1113</v>
      </c>
      <c r="K50" s="1499"/>
      <c r="L50" s="300"/>
      <c r="M50" s="300"/>
      <c r="N50" s="321"/>
      <c r="P50" s="1277">
        <f t="shared" si="26"/>
        <v>17324722.359999999</v>
      </c>
      <c r="Q50" s="1561"/>
    </row>
    <row r="51" spans="1:17" s="1628" customFormat="1" ht="27.75" customHeight="1">
      <c r="A51" s="1728" t="s">
        <v>1177</v>
      </c>
      <c r="B51" s="1627" t="s">
        <v>237</v>
      </c>
      <c r="C51" s="1627" t="s">
        <v>878</v>
      </c>
      <c r="D51" s="1627"/>
      <c r="E51" s="1627">
        <v>3</v>
      </c>
      <c r="F51" s="445"/>
      <c r="G51" s="445"/>
      <c r="H51" s="445"/>
      <c r="I51" s="321">
        <f t="shared" si="30"/>
        <v>0</v>
      </c>
      <c r="J51" s="446"/>
      <c r="K51" s="1499"/>
      <c r="L51" s="300"/>
      <c r="M51" s="300">
        <v>12284803</v>
      </c>
      <c r="N51" s="300">
        <f>+M51</f>
        <v>12284803</v>
      </c>
      <c r="P51" s="1277">
        <f t="shared" si="26"/>
        <v>12284803</v>
      </c>
      <c r="Q51" s="1561"/>
    </row>
    <row r="52" spans="1:17" s="1628" customFormat="1" ht="25.5">
      <c r="A52" s="1728" t="s">
        <v>668</v>
      </c>
      <c r="B52" s="1627" t="s">
        <v>237</v>
      </c>
      <c r="C52" s="1627" t="s">
        <v>878</v>
      </c>
      <c r="D52" s="1627"/>
      <c r="E52" s="1627">
        <v>8</v>
      </c>
      <c r="F52" s="445">
        <v>27719556.48</v>
      </c>
      <c r="G52" s="445"/>
      <c r="H52" s="445"/>
      <c r="I52" s="321">
        <f t="shared" si="30"/>
        <v>27719556.48</v>
      </c>
      <c r="J52" s="446"/>
      <c r="K52" s="1499"/>
      <c r="L52" s="445"/>
      <c r="M52" s="300"/>
      <c r="N52" s="321">
        <f t="shared" si="27"/>
        <v>0</v>
      </c>
      <c r="P52" s="1277">
        <f t="shared" si="26"/>
        <v>27719556.48</v>
      </c>
    </row>
    <row r="53" spans="1:17" s="1628" customFormat="1" ht="31.5" customHeight="1">
      <c r="A53" s="1728" t="s">
        <v>669</v>
      </c>
      <c r="B53" s="1627" t="s">
        <v>237</v>
      </c>
      <c r="C53" s="1627" t="s">
        <v>878</v>
      </c>
      <c r="D53" s="1627"/>
      <c r="E53" s="1627">
        <v>8</v>
      </c>
      <c r="F53" s="445">
        <v>27719556.48</v>
      </c>
      <c r="G53" s="445"/>
      <c r="H53" s="445"/>
      <c r="I53" s="321">
        <f t="shared" si="30"/>
        <v>27719556.48</v>
      </c>
      <c r="J53" s="446"/>
      <c r="K53" s="1499"/>
      <c r="L53" s="445"/>
      <c r="M53" s="300"/>
      <c r="N53" s="321">
        <f t="shared" si="27"/>
        <v>0</v>
      </c>
      <c r="P53" s="1277">
        <f t="shared" si="26"/>
        <v>27719556.48</v>
      </c>
    </row>
    <row r="54" spans="1:17" s="1628" customFormat="1" ht="25.5">
      <c r="A54" s="1728" t="s">
        <v>1114</v>
      </c>
      <c r="B54" s="1627" t="s">
        <v>237</v>
      </c>
      <c r="C54" s="1627" t="s">
        <v>878</v>
      </c>
      <c r="D54" s="1627"/>
      <c r="E54" s="1627">
        <v>6</v>
      </c>
      <c r="F54" s="445"/>
      <c r="G54" s="445"/>
      <c r="H54" s="445">
        <f>4078620*6*1.004</f>
        <v>24569606.879999999</v>
      </c>
      <c r="I54" s="321">
        <f t="shared" si="30"/>
        <v>24569606.879999999</v>
      </c>
      <c r="J54" s="446" t="s">
        <v>1107</v>
      </c>
      <c r="K54" s="1499"/>
      <c r="L54" s="445"/>
      <c r="M54" s="300"/>
      <c r="N54" s="321">
        <f t="shared" si="27"/>
        <v>0</v>
      </c>
      <c r="P54" s="1277">
        <f t="shared" si="26"/>
        <v>24569606.879999999</v>
      </c>
    </row>
    <row r="55" spans="1:17" s="1628" customFormat="1" ht="12.75">
      <c r="A55" s="1728" t="s">
        <v>1178</v>
      </c>
      <c r="B55" s="1627" t="s">
        <v>237</v>
      </c>
      <c r="C55" s="1627" t="s">
        <v>878</v>
      </c>
      <c r="D55" s="1627"/>
      <c r="E55" s="1627">
        <v>4.5</v>
      </c>
      <c r="F55" s="445"/>
      <c r="G55" s="445"/>
      <c r="H55" s="445"/>
      <c r="I55" s="321">
        <f t="shared" si="30"/>
        <v>0</v>
      </c>
      <c r="J55" s="446"/>
      <c r="K55" s="1499"/>
      <c r="L55" s="445"/>
      <c r="M55" s="300">
        <v>15592251</v>
      </c>
      <c r="N55" s="321">
        <f>SUM(K55:M55)</f>
        <v>15592251</v>
      </c>
      <c r="P55" s="1277">
        <f t="shared" si="26"/>
        <v>15592251</v>
      </c>
    </row>
    <row r="56" spans="1:17" s="1628" customFormat="1" ht="12.75">
      <c r="A56" s="1728"/>
      <c r="B56" s="1627"/>
      <c r="C56" s="1627"/>
      <c r="D56" s="1627"/>
      <c r="E56" s="1627"/>
      <c r="F56" s="445"/>
      <c r="G56" s="445"/>
      <c r="H56" s="445"/>
      <c r="I56" s="321"/>
      <c r="J56" s="446"/>
      <c r="K56" s="1499"/>
      <c r="L56" s="445"/>
      <c r="M56" s="300"/>
      <c r="N56" s="321">
        <f t="shared" si="27"/>
        <v>0</v>
      </c>
      <c r="P56" s="1277">
        <f t="shared" si="26"/>
        <v>0</v>
      </c>
    </row>
    <row r="57" spans="1:17" s="682" customFormat="1">
      <c r="A57" s="758" t="s">
        <v>670</v>
      </c>
      <c r="B57" s="1627" t="s">
        <v>237</v>
      </c>
      <c r="C57" s="1627" t="s">
        <v>878</v>
      </c>
      <c r="D57" s="1627"/>
      <c r="E57" s="1627">
        <v>5</v>
      </c>
      <c r="F57" s="445">
        <f>+I57</f>
        <v>20474672.400000002</v>
      </c>
      <c r="G57" s="445"/>
      <c r="H57" s="445"/>
      <c r="I57" s="321">
        <f>3900000*1.004*1.0458*E57</f>
        <v>20474672.400000002</v>
      </c>
      <c r="J57" s="446"/>
      <c r="K57" s="1499"/>
      <c r="L57" s="445"/>
      <c r="M57" s="300"/>
      <c r="N57" s="321">
        <f t="shared" si="27"/>
        <v>0</v>
      </c>
      <c r="P57" s="1277">
        <f t="shared" si="26"/>
        <v>20474672.400000002</v>
      </c>
    </row>
    <row r="58" spans="1:17" s="682" customFormat="1">
      <c r="A58" s="758" t="s">
        <v>671</v>
      </c>
      <c r="B58" s="1627" t="s">
        <v>237</v>
      </c>
      <c r="C58" s="1627" t="s">
        <v>878</v>
      </c>
      <c r="D58" s="1627"/>
      <c r="E58" s="1627">
        <v>6</v>
      </c>
      <c r="F58" s="445">
        <v>6668568</v>
      </c>
      <c r="G58" s="445"/>
      <c r="H58" s="445"/>
      <c r="I58" s="445">
        <v>6668568</v>
      </c>
      <c r="J58" s="446"/>
      <c r="K58" s="1499"/>
      <c r="L58" s="445"/>
      <c r="M58" s="300"/>
      <c r="N58" s="321">
        <f t="shared" si="27"/>
        <v>0</v>
      </c>
      <c r="P58" s="1277">
        <f t="shared" si="26"/>
        <v>6668568</v>
      </c>
    </row>
    <row r="59" spans="1:17" s="682" customFormat="1">
      <c r="A59" s="758" t="s">
        <v>671</v>
      </c>
      <c r="B59" s="1627" t="s">
        <v>237</v>
      </c>
      <c r="C59" s="1627" t="s">
        <v>878</v>
      </c>
      <c r="D59" s="1627"/>
      <c r="E59" s="1627">
        <v>6</v>
      </c>
      <c r="F59" s="445">
        <v>6668568</v>
      </c>
      <c r="G59" s="445"/>
      <c r="H59" s="445"/>
      <c r="I59" s="445">
        <v>6668568</v>
      </c>
      <c r="J59" s="446"/>
      <c r="K59" s="1499"/>
      <c r="L59" s="445"/>
      <c r="M59" s="300"/>
      <c r="N59" s="321">
        <f t="shared" si="27"/>
        <v>0</v>
      </c>
      <c r="P59" s="1277">
        <f t="shared" si="26"/>
        <v>6668568</v>
      </c>
    </row>
    <row r="60" spans="1:17" s="682" customFormat="1">
      <c r="A60" s="758" t="s">
        <v>671</v>
      </c>
      <c r="B60" s="1627" t="s">
        <v>237</v>
      </c>
      <c r="C60" s="1627" t="s">
        <v>878</v>
      </c>
      <c r="D60" s="1627"/>
      <c r="E60" s="1627">
        <v>6</v>
      </c>
      <c r="F60" s="445">
        <v>6668568</v>
      </c>
      <c r="G60" s="445"/>
      <c r="H60" s="445"/>
      <c r="I60" s="445">
        <v>6668568</v>
      </c>
      <c r="J60" s="446"/>
      <c r="K60" s="1499"/>
      <c r="L60" s="445"/>
      <c r="M60" s="300"/>
      <c r="N60" s="321">
        <f t="shared" si="27"/>
        <v>0</v>
      </c>
      <c r="P60" s="1277">
        <f t="shared" si="26"/>
        <v>6668568</v>
      </c>
    </row>
    <row r="61" spans="1:17" s="1628" customFormat="1" ht="12.75">
      <c r="A61" s="1728" t="s">
        <v>998</v>
      </c>
      <c r="B61" s="1627" t="s">
        <v>237</v>
      </c>
      <c r="C61" s="1627" t="s">
        <v>878</v>
      </c>
      <c r="D61" s="1627"/>
      <c r="E61" s="1627"/>
      <c r="F61" s="445"/>
      <c r="G61" s="445"/>
      <c r="H61" s="445"/>
      <c r="I61" s="321">
        <f>SUM(F61:H61)</f>
        <v>0</v>
      </c>
      <c r="J61" s="446"/>
      <c r="K61" s="1499"/>
      <c r="L61" s="445"/>
      <c r="M61" s="300">
        <v>23594000</v>
      </c>
      <c r="N61" s="321">
        <f>+M61</f>
        <v>23594000</v>
      </c>
      <c r="P61" s="1277">
        <f t="shared" si="26"/>
        <v>23594000</v>
      </c>
      <c r="Q61" s="1561"/>
    </row>
    <row r="62" spans="1:17" s="1628" customFormat="1" ht="12.75">
      <c r="A62" s="1713" t="s">
        <v>672</v>
      </c>
      <c r="B62" s="683"/>
      <c r="C62" s="683"/>
      <c r="D62" s="1627"/>
      <c r="E62" s="1627"/>
      <c r="F62" s="445"/>
      <c r="G62" s="445"/>
      <c r="H62" s="445"/>
      <c r="I62" s="321"/>
      <c r="J62" s="446"/>
      <c r="K62" s="1499"/>
      <c r="L62" s="445"/>
      <c r="M62" s="300"/>
      <c r="N62" s="321">
        <f t="shared" si="27"/>
        <v>0</v>
      </c>
      <c r="P62" s="1277">
        <f t="shared" si="26"/>
        <v>0</v>
      </c>
    </row>
    <row r="63" spans="1:17" s="1628" customFormat="1" ht="12.75">
      <c r="A63" s="758" t="s">
        <v>673</v>
      </c>
      <c r="B63" s="1627" t="s">
        <v>237</v>
      </c>
      <c r="C63" s="1627" t="s">
        <v>878</v>
      </c>
      <c r="D63" s="1627"/>
      <c r="E63" s="1627">
        <v>11</v>
      </c>
      <c r="F63" s="445"/>
      <c r="G63" s="445">
        <f>+I63</f>
        <v>82197309.0220128</v>
      </c>
      <c r="H63" s="445"/>
      <c r="I63" s="321">
        <f>7116764*1.004*1.0458*E63</f>
        <v>82197309.0220128</v>
      </c>
      <c r="J63" s="446"/>
      <c r="K63" s="1499"/>
      <c r="L63" s="445"/>
      <c r="M63" s="300"/>
      <c r="N63" s="321">
        <f t="shared" si="27"/>
        <v>0</v>
      </c>
      <c r="P63" s="1277">
        <f t="shared" si="26"/>
        <v>82197309.0220128</v>
      </c>
    </row>
    <row r="64" spans="1:17" s="682" customFormat="1">
      <c r="A64" s="758" t="s">
        <v>674</v>
      </c>
      <c r="B64" s="1627" t="s">
        <v>237</v>
      </c>
      <c r="C64" s="1627" t="s">
        <v>878</v>
      </c>
      <c r="D64" s="1627"/>
      <c r="E64" s="1627">
        <v>11</v>
      </c>
      <c r="F64" s="445">
        <f t="shared" ref="F64:F65" si="31">+I64</f>
        <v>48509223.840000004</v>
      </c>
      <c r="G64" s="445"/>
      <c r="H64" s="445"/>
      <c r="I64" s="321">
        <f>4200000*1.004*1.0458*E64</f>
        <v>48509223.840000004</v>
      </c>
      <c r="J64" s="446"/>
      <c r="K64" s="1499"/>
      <c r="L64" s="445"/>
      <c r="M64" s="300"/>
      <c r="N64" s="321">
        <f t="shared" si="27"/>
        <v>0</v>
      </c>
      <c r="P64" s="1277">
        <f t="shared" si="26"/>
        <v>48509223.840000004</v>
      </c>
    </row>
    <row r="65" spans="1:17" s="1628" customFormat="1" ht="12.75">
      <c r="A65" s="758" t="s">
        <v>675</v>
      </c>
      <c r="B65" s="1627" t="s">
        <v>237</v>
      </c>
      <c r="C65" s="1627" t="s">
        <v>878</v>
      </c>
      <c r="D65" s="1627"/>
      <c r="E65" s="1627">
        <v>11</v>
      </c>
      <c r="F65" s="445">
        <f t="shared" si="31"/>
        <v>41579334.719999999</v>
      </c>
      <c r="G65" s="445"/>
      <c r="H65" s="445"/>
      <c r="I65" s="321">
        <f>3900000*1.004*1.0458*E65-I12</f>
        <v>41579334.719999999</v>
      </c>
      <c r="J65" s="446"/>
      <c r="K65" s="1499"/>
      <c r="L65" s="445"/>
      <c r="M65" s="300"/>
      <c r="N65" s="321">
        <f t="shared" si="27"/>
        <v>0</v>
      </c>
      <c r="P65" s="1277">
        <f t="shared" si="26"/>
        <v>41579334.719999999</v>
      </c>
    </row>
    <row r="66" spans="1:17" s="1628" customFormat="1" ht="25.5">
      <c r="A66" s="758" t="s">
        <v>1115</v>
      </c>
      <c r="B66" s="1627" t="s">
        <v>237</v>
      </c>
      <c r="C66" s="1627" t="s">
        <v>878</v>
      </c>
      <c r="D66" s="1627"/>
      <c r="E66" s="1627">
        <v>6</v>
      </c>
      <c r="F66" s="445">
        <f>4392360*E66*1.004</f>
        <v>26459576.640000001</v>
      </c>
      <c r="G66" s="445">
        <v>330109.67478716373</v>
      </c>
      <c r="H66" s="445"/>
      <c r="I66" s="321">
        <f>+F66+G66</f>
        <v>26789686.314787164</v>
      </c>
      <c r="J66" s="446" t="s">
        <v>1107</v>
      </c>
      <c r="K66" s="1499"/>
      <c r="L66" s="445"/>
      <c r="M66" s="300"/>
      <c r="N66" s="321">
        <f t="shared" si="27"/>
        <v>0</v>
      </c>
      <c r="P66" s="1277">
        <f t="shared" si="26"/>
        <v>26789686.314787164</v>
      </c>
    </row>
    <row r="67" spans="1:17" s="1628" customFormat="1" ht="12.75">
      <c r="A67" s="758" t="s">
        <v>676</v>
      </c>
      <c r="B67" s="1627" t="s">
        <v>237</v>
      </c>
      <c r="C67" s="1627" t="s">
        <v>878</v>
      </c>
      <c r="D67" s="1627"/>
      <c r="E67" s="1627"/>
      <c r="F67" s="445"/>
      <c r="G67" s="445"/>
      <c r="H67" s="445"/>
      <c r="I67" s="321">
        <f>+F67</f>
        <v>0</v>
      </c>
      <c r="J67" s="446"/>
      <c r="K67" s="1499"/>
      <c r="L67" s="445"/>
      <c r="M67" s="300"/>
      <c r="N67" s="321">
        <f t="shared" si="27"/>
        <v>0</v>
      </c>
      <c r="P67" s="1277">
        <f t="shared" si="26"/>
        <v>0</v>
      </c>
    </row>
    <row r="68" spans="1:17" s="682" customFormat="1">
      <c r="A68" s="758"/>
      <c r="B68" s="683"/>
      <c r="C68" s="683"/>
      <c r="D68" s="1627"/>
      <c r="E68" s="1627"/>
      <c r="F68" s="445"/>
      <c r="G68" s="445"/>
      <c r="H68" s="445"/>
      <c r="I68" s="321"/>
      <c r="J68" s="446"/>
      <c r="K68" s="1499"/>
      <c r="L68" s="445"/>
      <c r="M68" s="300"/>
      <c r="N68" s="321">
        <f t="shared" si="27"/>
        <v>0</v>
      </c>
      <c r="P68" s="1277">
        <f t="shared" si="26"/>
        <v>0</v>
      </c>
    </row>
    <row r="69" spans="1:17" s="682" customFormat="1">
      <c r="A69" s="1713" t="s">
        <v>677</v>
      </c>
      <c r="B69" s="683"/>
      <c r="C69" s="683"/>
      <c r="D69" s="1627"/>
      <c r="E69" s="1627"/>
      <c r="F69" s="445"/>
      <c r="G69" s="445"/>
      <c r="H69" s="445"/>
      <c r="I69" s="321"/>
      <c r="J69" s="446"/>
      <c r="K69" s="1499"/>
      <c r="L69" s="445"/>
      <c r="M69" s="300"/>
      <c r="N69" s="321">
        <f t="shared" si="27"/>
        <v>0</v>
      </c>
      <c r="P69" s="1277">
        <f t="shared" si="26"/>
        <v>0</v>
      </c>
    </row>
    <row r="70" spans="1:17" s="682" customFormat="1" ht="25.5">
      <c r="A70" s="758" t="s">
        <v>678</v>
      </c>
      <c r="B70" s="1627" t="s">
        <v>237</v>
      </c>
      <c r="C70" s="1627" t="s">
        <v>878</v>
      </c>
      <c r="D70" s="1627"/>
      <c r="E70" s="1627">
        <v>5</v>
      </c>
      <c r="F70" s="445">
        <f t="shared" ref="F70" si="32">+I70</f>
        <v>20474672.400000002</v>
      </c>
      <c r="G70" s="445"/>
      <c r="H70" s="445"/>
      <c r="I70" s="321">
        <f>3900000*1.004*1.0458*E70</f>
        <v>20474672.400000002</v>
      </c>
      <c r="J70" s="446"/>
      <c r="K70" s="1499"/>
      <c r="L70" s="445"/>
      <c r="M70" s="300"/>
      <c r="N70" s="321">
        <f t="shared" si="27"/>
        <v>0</v>
      </c>
      <c r="P70" s="1277">
        <f t="shared" si="26"/>
        <v>20474672.400000002</v>
      </c>
    </row>
    <row r="71" spans="1:17" s="682" customFormat="1" ht="25.5">
      <c r="A71" s="758" t="s">
        <v>679</v>
      </c>
      <c r="B71" s="1627" t="s">
        <v>237</v>
      </c>
      <c r="C71" s="1627" t="s">
        <v>878</v>
      </c>
      <c r="D71" s="1627"/>
      <c r="E71" s="1627">
        <v>6</v>
      </c>
      <c r="F71" s="445">
        <f>+I71</f>
        <v>20789667.359999999</v>
      </c>
      <c r="G71" s="445"/>
      <c r="H71" s="445"/>
      <c r="I71" s="321">
        <f>3300000*1.004*1.0458*E71</f>
        <v>20789667.359999999</v>
      </c>
      <c r="J71" s="446"/>
      <c r="K71" s="1499"/>
      <c r="L71" s="445"/>
      <c r="M71" s="300"/>
      <c r="N71" s="321">
        <f t="shared" si="27"/>
        <v>0</v>
      </c>
      <c r="P71" s="1277">
        <f t="shared" si="26"/>
        <v>20789667.359999999</v>
      </c>
    </row>
    <row r="72" spans="1:17" s="682" customFormat="1" ht="25.5">
      <c r="A72" s="758" t="s">
        <v>680</v>
      </c>
      <c r="B72" s="1627" t="s">
        <v>237</v>
      </c>
      <c r="C72" s="1627" t="s">
        <v>878</v>
      </c>
      <c r="D72" s="1627"/>
      <c r="E72" s="1627">
        <v>4</v>
      </c>
      <c r="F72" s="445">
        <v>10240800</v>
      </c>
      <c r="G72" s="445"/>
      <c r="H72" s="445"/>
      <c r="I72" s="321">
        <f>SUM(F72:H72)</f>
        <v>10240800</v>
      </c>
      <c r="J72" s="446"/>
      <c r="K72" s="1499"/>
      <c r="L72" s="445"/>
      <c r="M72" s="300"/>
      <c r="N72" s="321">
        <f t="shared" si="27"/>
        <v>0</v>
      </c>
      <c r="P72" s="1277">
        <f t="shared" si="26"/>
        <v>10240800</v>
      </c>
      <c r="Q72" s="1872"/>
    </row>
    <row r="73" spans="1:17" s="682" customFormat="1" ht="25.5">
      <c r="A73" s="758" t="s">
        <v>681</v>
      </c>
      <c r="B73" s="1627" t="s">
        <v>237</v>
      </c>
      <c r="C73" s="1627" t="s">
        <v>878</v>
      </c>
      <c r="D73" s="1627"/>
      <c r="E73" s="1627">
        <v>4</v>
      </c>
      <c r="F73" s="445">
        <v>6101046.4550689459</v>
      </c>
      <c r="G73" s="445"/>
      <c r="H73" s="445"/>
      <c r="I73" s="321">
        <f>SUM(F73:H73)</f>
        <v>6101046.4550689459</v>
      </c>
      <c r="J73" s="446"/>
      <c r="K73" s="1499">
        <v>7798258.7599999998</v>
      </c>
      <c r="L73" s="445"/>
      <c r="M73" s="300"/>
      <c r="N73" s="321">
        <f>SUM(K73:M73)</f>
        <v>7798258.7599999998</v>
      </c>
      <c r="P73" s="1277">
        <f t="shared" si="26"/>
        <v>13899305.215068946</v>
      </c>
    </row>
    <row r="74" spans="1:17" s="682" customFormat="1" ht="25.5">
      <c r="A74" s="758" t="s">
        <v>682</v>
      </c>
      <c r="B74" s="1627" t="s">
        <v>237</v>
      </c>
      <c r="C74" s="1627" t="s">
        <v>878</v>
      </c>
      <c r="D74" s="1627"/>
      <c r="E74" s="1627">
        <v>4</v>
      </c>
      <c r="F74" s="445">
        <f>6101046.45506895-6101046.45506895</f>
        <v>0</v>
      </c>
      <c r="G74" s="445"/>
      <c r="H74" s="445"/>
      <c r="I74" s="321">
        <f t="shared" ref="I74:I82" si="33">+F74</f>
        <v>0</v>
      </c>
      <c r="J74" s="446"/>
      <c r="K74" s="1499">
        <f>7758731.78493105-7758731.78493105</f>
        <v>0</v>
      </c>
      <c r="L74" s="445"/>
      <c r="M74" s="300">
        <v>3464945</v>
      </c>
      <c r="N74" s="321">
        <f t="shared" ref="N74:N79" si="34">SUM(K74:M74)</f>
        <v>3464945</v>
      </c>
      <c r="P74" s="1277">
        <f t="shared" si="26"/>
        <v>3464945</v>
      </c>
    </row>
    <row r="75" spans="1:17" s="682" customFormat="1" ht="26.25" customHeight="1">
      <c r="A75" s="758" t="s">
        <v>1116</v>
      </c>
      <c r="B75" s="1627"/>
      <c r="C75" s="1627"/>
      <c r="D75" s="1627"/>
      <c r="E75" s="1627">
        <v>6</v>
      </c>
      <c r="F75" s="445">
        <f>16867200-1860573</f>
        <v>15006627</v>
      </c>
      <c r="G75" s="445"/>
      <c r="H75" s="445"/>
      <c r="I75" s="321">
        <f t="shared" si="33"/>
        <v>15006627</v>
      </c>
      <c r="J75" s="446"/>
      <c r="K75" s="1499"/>
      <c r="L75" s="445"/>
      <c r="M75" s="300"/>
      <c r="N75" s="321">
        <f t="shared" si="34"/>
        <v>0</v>
      </c>
      <c r="P75" s="1277">
        <f t="shared" si="26"/>
        <v>15006627</v>
      </c>
    </row>
    <row r="76" spans="1:17" s="682" customFormat="1">
      <c r="A76" s="1713" t="s">
        <v>543</v>
      </c>
      <c r="B76" s="683"/>
      <c r="C76" s="683"/>
      <c r="D76" s="1627"/>
      <c r="E76" s="1627"/>
      <c r="F76" s="445"/>
      <c r="G76" s="445"/>
      <c r="H76" s="445"/>
      <c r="I76" s="321">
        <f t="shared" si="33"/>
        <v>0</v>
      </c>
      <c r="J76" s="446"/>
      <c r="K76" s="1499"/>
      <c r="L76" s="445"/>
      <c r="M76" s="300"/>
      <c r="N76" s="321">
        <f t="shared" si="34"/>
        <v>0</v>
      </c>
      <c r="P76" s="1277">
        <f t="shared" si="26"/>
        <v>0</v>
      </c>
    </row>
    <row r="77" spans="1:17" s="682" customFormat="1">
      <c r="A77" s="758" t="s">
        <v>1032</v>
      </c>
      <c r="B77" s="1627" t="s">
        <v>237</v>
      </c>
      <c r="C77" s="1627" t="s">
        <v>878</v>
      </c>
      <c r="D77" s="1627"/>
      <c r="E77" s="1627">
        <v>8</v>
      </c>
      <c r="F77" s="445">
        <v>32754495.84</v>
      </c>
      <c r="G77" s="445"/>
      <c r="H77" s="445"/>
      <c r="I77" s="321">
        <f t="shared" si="33"/>
        <v>32754495.84</v>
      </c>
      <c r="J77" s="446"/>
      <c r="K77" s="1499"/>
      <c r="L77" s="445"/>
      <c r="M77" s="300"/>
      <c r="N77" s="321">
        <f t="shared" si="34"/>
        <v>0</v>
      </c>
      <c r="P77" s="1277">
        <f t="shared" si="26"/>
        <v>32754495.84</v>
      </c>
      <c r="Q77" s="1872"/>
    </row>
    <row r="78" spans="1:17" s="682" customFormat="1" ht="25.5">
      <c r="A78" s="758" t="s">
        <v>1033</v>
      </c>
      <c r="B78" s="1627" t="s">
        <v>237</v>
      </c>
      <c r="C78" s="1627" t="s">
        <v>878</v>
      </c>
      <c r="D78" s="1627"/>
      <c r="E78" s="1627"/>
      <c r="F78" s="445"/>
      <c r="G78" s="445"/>
      <c r="H78" s="445"/>
      <c r="I78" s="321">
        <f>SUM(F78:H78)</f>
        <v>0</v>
      </c>
      <c r="J78" s="446" t="s">
        <v>1107</v>
      </c>
      <c r="K78" s="1499"/>
      <c r="L78" s="445"/>
      <c r="M78" s="300"/>
      <c r="N78" s="321">
        <f t="shared" si="34"/>
        <v>0</v>
      </c>
      <c r="P78" s="1277">
        <f t="shared" si="26"/>
        <v>0</v>
      </c>
    </row>
    <row r="79" spans="1:17" s="682" customFormat="1">
      <c r="A79" s="758" t="s">
        <v>683</v>
      </c>
      <c r="B79" s="1627" t="s">
        <v>237</v>
      </c>
      <c r="C79" s="1627" t="s">
        <v>878</v>
      </c>
      <c r="D79" s="1627"/>
      <c r="E79" s="1627">
        <v>6</v>
      </c>
      <c r="F79" s="445">
        <v>31927200</v>
      </c>
      <c r="G79" s="445"/>
      <c r="H79" s="445"/>
      <c r="I79" s="321">
        <f t="shared" si="33"/>
        <v>31927200</v>
      </c>
      <c r="J79" s="446"/>
      <c r="K79" s="1499"/>
      <c r="L79" s="445"/>
      <c r="M79" s="300"/>
      <c r="N79" s="321">
        <f t="shared" si="34"/>
        <v>0</v>
      </c>
      <c r="P79" s="1277">
        <f t="shared" si="26"/>
        <v>31927200</v>
      </c>
    </row>
    <row r="80" spans="1:17" s="682" customFormat="1" ht="17.25" customHeight="1">
      <c r="A80" s="758"/>
      <c r="B80" s="683"/>
      <c r="C80" s="683"/>
      <c r="D80" s="1627"/>
      <c r="E80" s="1627"/>
      <c r="F80" s="445"/>
      <c r="G80" s="445"/>
      <c r="H80" s="445"/>
      <c r="I80" s="321">
        <f t="shared" si="33"/>
        <v>0</v>
      </c>
      <c r="J80" s="446"/>
      <c r="K80" s="1499"/>
      <c r="L80" s="445"/>
      <c r="M80" s="300"/>
      <c r="N80" s="321">
        <f t="shared" si="27"/>
        <v>0</v>
      </c>
      <c r="P80" s="1277">
        <f t="shared" si="26"/>
        <v>0</v>
      </c>
    </row>
    <row r="81" spans="1:17" s="682" customFormat="1">
      <c r="A81" s="1713"/>
      <c r="B81" s="683"/>
      <c r="C81" s="683"/>
      <c r="D81" s="1627"/>
      <c r="E81" s="1627"/>
      <c r="F81" s="445"/>
      <c r="G81" s="445"/>
      <c r="H81" s="445"/>
      <c r="I81" s="321">
        <f t="shared" si="33"/>
        <v>0</v>
      </c>
      <c r="J81" s="446"/>
      <c r="K81" s="1499"/>
      <c r="L81" s="445"/>
      <c r="M81" s="300"/>
      <c r="N81" s="321">
        <f t="shared" si="27"/>
        <v>0</v>
      </c>
      <c r="P81" s="1277">
        <f t="shared" si="26"/>
        <v>0</v>
      </c>
    </row>
    <row r="82" spans="1:17" s="682" customFormat="1">
      <c r="A82" s="1713" t="s">
        <v>684</v>
      </c>
      <c r="B82" s="683"/>
      <c r="C82" s="683"/>
      <c r="D82" s="1627"/>
      <c r="E82" s="1627"/>
      <c r="F82" s="445"/>
      <c r="G82" s="445"/>
      <c r="H82" s="445"/>
      <c r="I82" s="321">
        <f t="shared" si="33"/>
        <v>0</v>
      </c>
      <c r="J82" s="446"/>
      <c r="K82" s="1499"/>
      <c r="L82" s="445"/>
      <c r="M82" s="300"/>
      <c r="N82" s="321">
        <f t="shared" si="27"/>
        <v>0</v>
      </c>
      <c r="P82" s="1277">
        <f t="shared" si="26"/>
        <v>0</v>
      </c>
    </row>
    <row r="83" spans="1:17" s="682" customFormat="1">
      <c r="A83" s="758" t="s">
        <v>686</v>
      </c>
      <c r="B83" s="1627" t="s">
        <v>237</v>
      </c>
      <c r="C83" s="1627" t="s">
        <v>878</v>
      </c>
      <c r="D83" s="1627"/>
      <c r="E83" s="1627">
        <v>3</v>
      </c>
      <c r="F83" s="445">
        <f>11716766*1.004</f>
        <v>11763633.063999999</v>
      </c>
      <c r="G83" s="445"/>
      <c r="H83" s="445"/>
      <c r="I83" s="321">
        <f>+F83</f>
        <v>11763633.063999999</v>
      </c>
      <c r="J83" s="446"/>
      <c r="K83" s="1499"/>
      <c r="L83" s="445"/>
      <c r="M83" s="300"/>
      <c r="N83" s="321">
        <f t="shared" si="27"/>
        <v>0</v>
      </c>
      <c r="P83" s="1277">
        <f t="shared" si="26"/>
        <v>11763633.063999999</v>
      </c>
    </row>
    <row r="84" spans="1:17" s="682" customFormat="1">
      <c r="A84" s="758" t="s">
        <v>687</v>
      </c>
      <c r="B84" s="1627" t="s">
        <v>237</v>
      </c>
      <c r="C84" s="1627" t="s">
        <v>878</v>
      </c>
      <c r="D84" s="1627"/>
      <c r="E84" s="1627">
        <v>4</v>
      </c>
      <c r="F84" s="445">
        <f>+I84-H84</f>
        <v>14489768.16</v>
      </c>
      <c r="G84" s="445"/>
      <c r="H84" s="445"/>
      <c r="I84" s="321">
        <v>14489768.16</v>
      </c>
      <c r="J84" s="446"/>
      <c r="K84" s="1499"/>
      <c r="L84" s="445"/>
      <c r="M84" s="300"/>
      <c r="N84" s="321">
        <f t="shared" si="27"/>
        <v>0</v>
      </c>
      <c r="P84" s="1277">
        <f t="shared" si="26"/>
        <v>14489768.16</v>
      </c>
    </row>
    <row r="85" spans="1:17" s="682" customFormat="1">
      <c r="A85" s="758" t="s">
        <v>688</v>
      </c>
      <c r="B85" s="1627" t="s">
        <v>237</v>
      </c>
      <c r="C85" s="1627" t="s">
        <v>878</v>
      </c>
      <c r="D85" s="1627"/>
      <c r="E85" s="1627">
        <v>9</v>
      </c>
      <c r="F85" s="445">
        <f>+I85</f>
        <v>31184501.039999999</v>
      </c>
      <c r="G85" s="445"/>
      <c r="H85" s="445"/>
      <c r="I85" s="321">
        <f>3300000*1.004*1.0458*E85</f>
        <v>31184501.039999999</v>
      </c>
      <c r="J85" s="446"/>
      <c r="K85" s="1499"/>
      <c r="L85" s="445"/>
      <c r="M85" s="300"/>
      <c r="N85" s="321">
        <f t="shared" si="27"/>
        <v>0</v>
      </c>
      <c r="P85" s="1277">
        <f t="shared" si="26"/>
        <v>31184501.039999999</v>
      </c>
    </row>
    <row r="86" spans="1:17" s="682" customFormat="1">
      <c r="A86" s="758" t="s">
        <v>1047</v>
      </c>
      <c r="B86" s="1627" t="s">
        <v>237</v>
      </c>
      <c r="C86" s="1627" t="s">
        <v>878</v>
      </c>
      <c r="D86" s="1627"/>
      <c r="E86" s="1627">
        <v>8</v>
      </c>
      <c r="F86" s="445"/>
      <c r="G86" s="445"/>
      <c r="H86" s="445">
        <v>27719556.48</v>
      </c>
      <c r="I86" s="321">
        <f>3300000*1.004*1.0458*E86</f>
        <v>27719556.48</v>
      </c>
      <c r="J86" s="446"/>
      <c r="K86" s="1499"/>
      <c r="L86" s="445"/>
      <c r="M86" s="300"/>
      <c r="N86" s="321">
        <f t="shared" si="27"/>
        <v>0</v>
      </c>
      <c r="P86" s="1277">
        <f t="shared" si="26"/>
        <v>27719556.48</v>
      </c>
    </row>
    <row r="87" spans="1:17" s="682" customFormat="1">
      <c r="A87" s="758" t="s">
        <v>685</v>
      </c>
      <c r="B87" s="1627" t="s">
        <v>237</v>
      </c>
      <c r="C87" s="1627" t="s">
        <v>878</v>
      </c>
      <c r="D87" s="1627"/>
      <c r="E87" s="1627">
        <v>9</v>
      </c>
      <c r="F87" s="445">
        <f>2691000*1.0458*E87*1.004</f>
        <v>25429543.120800003</v>
      </c>
      <c r="G87" s="445"/>
      <c r="H87" s="445"/>
      <c r="I87" s="321">
        <f>+F87</f>
        <v>25429543.120800003</v>
      </c>
      <c r="J87" s="446"/>
      <c r="K87" s="1499"/>
      <c r="L87" s="445"/>
      <c r="M87" s="300"/>
      <c r="N87" s="321">
        <f t="shared" si="27"/>
        <v>0</v>
      </c>
      <c r="P87" s="1277">
        <f t="shared" si="26"/>
        <v>25429543.120800003</v>
      </c>
    </row>
    <row r="88" spans="1:17" s="682" customFormat="1">
      <c r="A88" s="758" t="s">
        <v>1048</v>
      </c>
      <c r="B88" s="1626" t="s">
        <v>237</v>
      </c>
      <c r="C88" s="1626" t="s">
        <v>878</v>
      </c>
      <c r="D88" s="1627"/>
      <c r="E88" s="1627">
        <v>5</v>
      </c>
      <c r="F88" s="445">
        <v>17324722.800000001</v>
      </c>
      <c r="G88" s="445"/>
      <c r="H88" s="445"/>
      <c r="I88" s="321">
        <f>SUM(F88:H88)</f>
        <v>17324722.800000001</v>
      </c>
      <c r="J88" s="446"/>
      <c r="K88" s="1499"/>
      <c r="L88" s="445"/>
      <c r="M88" s="300"/>
      <c r="N88" s="321">
        <f t="shared" si="27"/>
        <v>0</v>
      </c>
      <c r="P88" s="1277">
        <f t="shared" si="26"/>
        <v>17324722.800000001</v>
      </c>
    </row>
    <row r="89" spans="1:17" s="682" customFormat="1">
      <c r="A89" s="758" t="s">
        <v>973</v>
      </c>
      <c r="B89" s="1626" t="s">
        <v>237</v>
      </c>
      <c r="C89" s="1626" t="s">
        <v>878</v>
      </c>
      <c r="D89" s="1627"/>
      <c r="E89" s="1627">
        <v>8</v>
      </c>
      <c r="F89" s="445"/>
      <c r="G89" s="445"/>
      <c r="H89" s="445">
        <v>27710400.48</v>
      </c>
      <c r="I89" s="321">
        <f>SUM(F89:H89)</f>
        <v>27710400.48</v>
      </c>
      <c r="J89" s="446"/>
      <c r="K89" s="1499"/>
      <c r="L89" s="445"/>
      <c r="M89" s="300"/>
      <c r="N89" s="321">
        <f t="shared" si="27"/>
        <v>0</v>
      </c>
      <c r="P89" s="1277">
        <f t="shared" si="26"/>
        <v>27710400.48</v>
      </c>
      <c r="Q89" s="1872"/>
    </row>
    <row r="90" spans="1:17" s="682" customFormat="1" ht="14.25" customHeight="1">
      <c r="A90" s="758" t="s">
        <v>974</v>
      </c>
      <c r="B90" s="1626" t="s">
        <v>237</v>
      </c>
      <c r="C90" s="1626" t="s">
        <v>878</v>
      </c>
      <c r="D90" s="1627"/>
      <c r="E90" s="1627">
        <v>7</v>
      </c>
      <c r="F90" s="445"/>
      <c r="G90" s="445"/>
      <c r="H90" s="445">
        <f>3451140*1.004*E90</f>
        <v>24254611.920000002</v>
      </c>
      <c r="I90" s="321">
        <f>SUM(F90:H90)</f>
        <v>24254611.920000002</v>
      </c>
      <c r="J90" s="446"/>
      <c r="K90" s="1499"/>
      <c r="L90" s="445"/>
      <c r="M90" s="300"/>
      <c r="N90" s="321">
        <f t="shared" si="27"/>
        <v>0</v>
      </c>
      <c r="P90" s="1277">
        <f t="shared" si="26"/>
        <v>24254611.920000002</v>
      </c>
    </row>
    <row r="91" spans="1:17" s="682" customFormat="1">
      <c r="A91" s="758" t="s">
        <v>1049</v>
      </c>
      <c r="B91" s="1626" t="s">
        <v>237</v>
      </c>
      <c r="C91" s="1626" t="s">
        <v>878</v>
      </c>
      <c r="D91" s="1627"/>
      <c r="E91" s="1627">
        <v>7</v>
      </c>
      <c r="F91" s="445"/>
      <c r="G91" s="445"/>
      <c r="H91" s="445"/>
      <c r="I91" s="321"/>
      <c r="J91" s="446"/>
      <c r="K91" s="1499">
        <v>20789666.920000002</v>
      </c>
      <c r="L91" s="445"/>
      <c r="M91" s="300"/>
      <c r="N91" s="321">
        <f>SUM(K91:M91)</f>
        <v>20789666.920000002</v>
      </c>
      <c r="P91" s="1277">
        <f t="shared" si="26"/>
        <v>20789666.920000002</v>
      </c>
      <c r="Q91" s="1872"/>
    </row>
    <row r="92" spans="1:17" s="682" customFormat="1" ht="25.5">
      <c r="A92" s="758" t="s">
        <v>1060</v>
      </c>
      <c r="B92" s="1626" t="s">
        <v>237</v>
      </c>
      <c r="C92" s="1626" t="s">
        <v>878</v>
      </c>
      <c r="D92" s="1627"/>
      <c r="E92" s="1627">
        <v>7</v>
      </c>
      <c r="F92" s="445">
        <f>3464944.56-3464944.56</f>
        <v>0</v>
      </c>
      <c r="G92" s="445"/>
      <c r="I92" s="321">
        <f>+F92</f>
        <v>0</v>
      </c>
      <c r="J92" s="446" t="s">
        <v>1117</v>
      </c>
      <c r="K92" s="1499">
        <v>20789667.360000003</v>
      </c>
      <c r="L92" s="445"/>
      <c r="M92" s="300"/>
      <c r="N92" s="321">
        <f>+K92</f>
        <v>20789667.360000003</v>
      </c>
      <c r="P92" s="1277">
        <f t="shared" si="26"/>
        <v>20789667.360000003</v>
      </c>
    </row>
    <row r="93" spans="1:17" s="682" customFormat="1">
      <c r="A93" s="758" t="s">
        <v>1163</v>
      </c>
      <c r="B93" s="1626" t="s">
        <v>237</v>
      </c>
      <c r="C93" s="1626" t="s">
        <v>878</v>
      </c>
      <c r="D93" s="1627"/>
      <c r="E93" s="1627">
        <v>5</v>
      </c>
      <c r="F93" s="687">
        <f>15214254.56-3042851</f>
        <v>12171403.560000001</v>
      </c>
      <c r="G93" s="687"/>
      <c r="H93" s="687"/>
      <c r="I93" s="279">
        <f t="shared" ref="I93:I95" si="35">+F93</f>
        <v>12171403.560000001</v>
      </c>
      <c r="J93" s="1873"/>
      <c r="K93" s="971"/>
      <c r="L93" s="687"/>
      <c r="M93" s="301"/>
      <c r="N93" s="279"/>
      <c r="O93" s="1874"/>
      <c r="P93" s="704">
        <f t="shared" si="26"/>
        <v>12171403.560000001</v>
      </c>
    </row>
    <row r="94" spans="1:17" s="682" customFormat="1">
      <c r="A94" s="758" t="s">
        <v>1164</v>
      </c>
      <c r="B94" s="1626" t="s">
        <v>237</v>
      </c>
      <c r="C94" s="1626" t="s">
        <v>878</v>
      </c>
      <c r="D94" s="1627"/>
      <c r="E94" s="1627"/>
      <c r="F94" s="687">
        <v>6668568</v>
      </c>
      <c r="G94" s="687"/>
      <c r="H94" s="687"/>
      <c r="I94" s="279">
        <f t="shared" si="35"/>
        <v>6668568</v>
      </c>
      <c r="J94" s="1873"/>
      <c r="K94" s="971"/>
      <c r="L94" s="687"/>
      <c r="M94" s="301"/>
      <c r="N94" s="279"/>
      <c r="O94" s="1874"/>
      <c r="P94" s="704">
        <f t="shared" si="26"/>
        <v>6668568</v>
      </c>
    </row>
    <row r="95" spans="1:17" s="682" customFormat="1">
      <c r="A95" s="758" t="s">
        <v>1165</v>
      </c>
      <c r="B95" s="1626" t="s">
        <v>237</v>
      </c>
      <c r="C95" s="1626" t="s">
        <v>878</v>
      </c>
      <c r="D95" s="1627"/>
      <c r="E95" s="1627"/>
      <c r="F95" s="687">
        <v>5557140</v>
      </c>
      <c r="G95" s="687"/>
      <c r="H95" s="1875"/>
      <c r="I95" s="279">
        <f t="shared" si="35"/>
        <v>5557140</v>
      </c>
      <c r="J95" s="1873"/>
      <c r="K95" s="971"/>
      <c r="L95" s="687"/>
      <c r="M95" s="301"/>
      <c r="N95" s="279"/>
      <c r="O95" s="1874"/>
      <c r="P95" s="704">
        <f t="shared" si="26"/>
        <v>5557140</v>
      </c>
    </row>
    <row r="96" spans="1:17" s="682" customFormat="1">
      <c r="A96" s="758" t="s">
        <v>823</v>
      </c>
      <c r="B96" s="1627" t="s">
        <v>237</v>
      </c>
      <c r="C96" s="1627" t="s">
        <v>878</v>
      </c>
      <c r="D96" s="1627"/>
      <c r="E96" s="1627">
        <v>11</v>
      </c>
      <c r="F96" s="445">
        <v>33471364.4496</v>
      </c>
      <c r="G96" s="445"/>
      <c r="H96" s="445"/>
      <c r="I96" s="321">
        <f>SUM(F96:H96)</f>
        <v>33471364.4496</v>
      </c>
      <c r="J96" s="446"/>
      <c r="K96" s="1499"/>
      <c r="L96" s="445"/>
      <c r="M96" s="300"/>
      <c r="N96" s="321">
        <f t="shared" ref="N96:N109" si="36">SUM(K96:M96)</f>
        <v>0</v>
      </c>
      <c r="P96" s="1277">
        <f t="shared" si="26"/>
        <v>33471364.4496</v>
      </c>
    </row>
    <row r="97" spans="1:17" s="682" customFormat="1" ht="25.5">
      <c r="A97" s="758" t="s">
        <v>824</v>
      </c>
      <c r="B97" s="1627" t="s">
        <v>237</v>
      </c>
      <c r="C97" s="1627" t="s">
        <v>878</v>
      </c>
      <c r="D97" s="1627"/>
      <c r="E97" s="1627">
        <v>7</v>
      </c>
      <c r="F97" s="445">
        <f>3030728*E97*1.004</f>
        <v>21299956.384</v>
      </c>
      <c r="G97" s="445"/>
      <c r="H97" s="445"/>
      <c r="I97" s="321">
        <f>SUM(F97:H97)</f>
        <v>21299956.384</v>
      </c>
      <c r="J97" s="446" t="s">
        <v>1107</v>
      </c>
      <c r="K97" s="1499"/>
      <c r="L97" s="445"/>
      <c r="M97" s="300"/>
      <c r="N97" s="321">
        <f t="shared" si="36"/>
        <v>0</v>
      </c>
      <c r="P97" s="1277">
        <f t="shared" si="26"/>
        <v>21299956.384</v>
      </c>
    </row>
    <row r="98" spans="1:17" s="682" customFormat="1">
      <c r="A98" s="758" t="s">
        <v>690</v>
      </c>
      <c r="B98" s="1627" t="s">
        <v>237</v>
      </c>
      <c r="C98" s="1627" t="s">
        <v>878</v>
      </c>
      <c r="D98" s="1627"/>
      <c r="E98" s="1627">
        <v>11</v>
      </c>
      <c r="F98" s="445">
        <v>38114390.160000004</v>
      </c>
      <c r="G98" s="445"/>
      <c r="H98" s="445"/>
      <c r="I98" s="321">
        <f>SUM(F98:H98)</f>
        <v>38114390.160000004</v>
      </c>
      <c r="J98" s="446"/>
      <c r="K98" s="1499"/>
      <c r="L98" s="445"/>
      <c r="M98" s="300"/>
      <c r="N98" s="321">
        <f t="shared" si="36"/>
        <v>0</v>
      </c>
      <c r="P98" s="1277">
        <f t="shared" si="26"/>
        <v>38114390.160000004</v>
      </c>
    </row>
    <row r="99" spans="1:17" s="682" customFormat="1" ht="25.5">
      <c r="A99" s="758" t="s">
        <v>691</v>
      </c>
      <c r="B99" s="1627" t="s">
        <v>237</v>
      </c>
      <c r="C99" s="1627" t="s">
        <v>878</v>
      </c>
      <c r="D99" s="1627"/>
      <c r="E99" s="1627">
        <v>7</v>
      </c>
      <c r="F99" s="445">
        <f>3451140*E99*1.004</f>
        <v>24254611.920000002</v>
      </c>
      <c r="G99" s="445"/>
      <c r="H99" s="445"/>
      <c r="I99" s="321">
        <f>SUM(F99:H99)</f>
        <v>24254611.920000002</v>
      </c>
      <c r="J99" s="446" t="s">
        <v>1107</v>
      </c>
      <c r="K99" s="1499"/>
      <c r="L99" s="445"/>
      <c r="M99" s="300"/>
      <c r="N99" s="321">
        <f t="shared" si="36"/>
        <v>0</v>
      </c>
      <c r="P99" s="1277">
        <f t="shared" si="26"/>
        <v>24254611.920000002</v>
      </c>
    </row>
    <row r="100" spans="1:17" s="682" customFormat="1">
      <c r="A100" s="758"/>
      <c r="B100" s="683"/>
      <c r="C100" s="683"/>
      <c r="D100" s="1627"/>
      <c r="E100" s="1627"/>
      <c r="F100" s="445"/>
      <c r="G100" s="445"/>
      <c r="H100" s="445"/>
      <c r="I100" s="321">
        <f>SUM(F100:H100)</f>
        <v>0</v>
      </c>
      <c r="J100" s="446"/>
      <c r="K100" s="1499"/>
      <c r="L100" s="445"/>
      <c r="M100" s="300"/>
      <c r="N100" s="321">
        <f t="shared" si="36"/>
        <v>0</v>
      </c>
      <c r="P100" s="1277">
        <f t="shared" si="26"/>
        <v>0</v>
      </c>
    </row>
    <row r="101" spans="1:17" s="682" customFormat="1">
      <c r="A101" s="758" t="s">
        <v>692</v>
      </c>
      <c r="B101" s="1627" t="s">
        <v>237</v>
      </c>
      <c r="C101" s="1627" t="s">
        <v>878</v>
      </c>
      <c r="D101" s="1627"/>
      <c r="E101" s="1627"/>
      <c r="F101" s="445"/>
      <c r="G101" s="445"/>
      <c r="H101" s="445"/>
      <c r="I101" s="321"/>
      <c r="J101" s="446"/>
      <c r="K101" s="1499"/>
      <c r="L101" s="445"/>
      <c r="M101" s="300"/>
      <c r="N101" s="321">
        <f t="shared" si="36"/>
        <v>0</v>
      </c>
      <c r="P101" s="1277">
        <f t="shared" si="26"/>
        <v>0</v>
      </c>
    </row>
    <row r="102" spans="1:17" s="682" customFormat="1">
      <c r="A102" s="758" t="s">
        <v>898</v>
      </c>
      <c r="B102" s="1627" t="s">
        <v>237</v>
      </c>
      <c r="C102" s="1627" t="s">
        <v>878</v>
      </c>
      <c r="D102" s="1627"/>
      <c r="E102" s="1627">
        <v>9</v>
      </c>
      <c r="F102" s="445">
        <f>+I102</f>
        <v>36854410.320000008</v>
      </c>
      <c r="G102" s="445"/>
      <c r="H102" s="445"/>
      <c r="I102" s="321">
        <f>3900000*1.004*1.0458*E102</f>
        <v>36854410.320000008</v>
      </c>
      <c r="J102" s="446"/>
      <c r="K102" s="1499"/>
      <c r="L102" s="445"/>
      <c r="M102" s="300"/>
      <c r="N102" s="321">
        <f t="shared" si="36"/>
        <v>0</v>
      </c>
      <c r="P102" s="1277">
        <f t="shared" si="26"/>
        <v>36854410.320000008</v>
      </c>
    </row>
    <row r="103" spans="1:17" s="682" customFormat="1">
      <c r="A103" s="758" t="s">
        <v>899</v>
      </c>
      <c r="B103" s="1627" t="s">
        <v>237</v>
      </c>
      <c r="C103" s="1627" t="s">
        <v>878</v>
      </c>
      <c r="D103" s="1627"/>
      <c r="E103" s="1627">
        <v>11</v>
      </c>
      <c r="F103" s="445">
        <f>+I103</f>
        <v>38114390.160000004</v>
      </c>
      <c r="G103" s="445"/>
      <c r="H103" s="445"/>
      <c r="I103" s="321">
        <f>3300000*1.004*1.0458*E103</f>
        <v>38114390.160000004</v>
      </c>
      <c r="J103" s="446"/>
      <c r="K103" s="1499"/>
      <c r="L103" s="445"/>
      <c r="M103" s="300"/>
      <c r="N103" s="321">
        <f t="shared" si="36"/>
        <v>0</v>
      </c>
      <c r="P103" s="1277">
        <f t="shared" si="26"/>
        <v>38114390.160000004</v>
      </c>
    </row>
    <row r="104" spans="1:17" s="682" customFormat="1">
      <c r="A104" s="758" t="s">
        <v>883</v>
      </c>
      <c r="B104" s="1627" t="s">
        <v>237</v>
      </c>
      <c r="C104" s="1627" t="s">
        <v>878</v>
      </c>
      <c r="D104" s="1627"/>
      <c r="E104" s="1627">
        <v>6</v>
      </c>
      <c r="F104" s="445">
        <f>+I104</f>
        <v>20789667.359999999</v>
      </c>
      <c r="G104" s="445"/>
      <c r="H104" s="445"/>
      <c r="I104" s="321">
        <f>3300000*1.004*1.0458*E104</f>
        <v>20789667.359999999</v>
      </c>
      <c r="J104" s="446"/>
      <c r="K104" s="1499"/>
      <c r="L104" s="445"/>
      <c r="M104" s="300"/>
      <c r="N104" s="321">
        <f t="shared" si="36"/>
        <v>0</v>
      </c>
      <c r="P104" s="1277">
        <f t="shared" si="26"/>
        <v>20789667.359999999</v>
      </c>
    </row>
    <row r="105" spans="1:17" s="682" customFormat="1">
      <c r="A105" s="758" t="s">
        <v>1034</v>
      </c>
      <c r="B105" s="1627" t="s">
        <v>237</v>
      </c>
      <c r="C105" s="1627" t="s">
        <v>878</v>
      </c>
      <c r="D105" s="1627"/>
      <c r="E105" s="1627">
        <v>7</v>
      </c>
      <c r="F105" s="445">
        <v>4152741.9200000018</v>
      </c>
      <c r="G105" s="445"/>
      <c r="H105" s="445"/>
      <c r="I105" s="321">
        <f>SUM(F105:H105)</f>
        <v>4152741.9200000018</v>
      </c>
      <c r="J105" s="446"/>
      <c r="K105" s="1499"/>
      <c r="L105" s="445">
        <v>13171981</v>
      </c>
      <c r="M105" s="300"/>
      <c r="N105" s="321">
        <f t="shared" si="36"/>
        <v>13171981</v>
      </c>
      <c r="P105" s="1277">
        <f t="shared" si="26"/>
        <v>17324722.920000002</v>
      </c>
      <c r="Q105" s="1872"/>
    </row>
    <row r="106" spans="1:17" s="682" customFormat="1" ht="25.5">
      <c r="A106" s="758" t="s">
        <v>1042</v>
      </c>
      <c r="B106" s="761" t="s">
        <v>237</v>
      </c>
      <c r="C106" s="1627" t="s">
        <v>878</v>
      </c>
      <c r="D106" s="1627"/>
      <c r="E106" s="1627">
        <v>3</v>
      </c>
      <c r="F106" s="445">
        <f>2636101.89506894-2636101.89506894</f>
        <v>0</v>
      </c>
      <c r="G106" s="445"/>
      <c r="H106" s="445"/>
      <c r="I106" s="321">
        <f>+F106</f>
        <v>0</v>
      </c>
      <c r="J106" s="446"/>
      <c r="K106" s="1499"/>
      <c r="L106" s="445"/>
      <c r="M106" s="300">
        <f>3967662.10493106-1486798</f>
        <v>2480864.1049310602</v>
      </c>
      <c r="N106" s="321">
        <f t="shared" si="36"/>
        <v>2480864.1049310602</v>
      </c>
      <c r="P106" s="1277">
        <f t="shared" si="26"/>
        <v>2480864.1049310602</v>
      </c>
    </row>
    <row r="107" spans="1:17" s="682" customFormat="1">
      <c r="A107" s="758" t="s">
        <v>693</v>
      </c>
      <c r="B107" s="1627" t="s">
        <v>237</v>
      </c>
      <c r="C107" s="1627" t="s">
        <v>878</v>
      </c>
      <c r="D107" s="1627"/>
      <c r="E107" s="1627">
        <v>3</v>
      </c>
      <c r="F107" s="445">
        <v>10394833.68</v>
      </c>
      <c r="G107" s="445"/>
      <c r="H107" s="445"/>
      <c r="I107" s="321">
        <f>+F107</f>
        <v>10394833.68</v>
      </c>
      <c r="J107" s="446"/>
      <c r="K107" s="1499"/>
      <c r="L107" s="445"/>
      <c r="M107" s="300"/>
      <c r="N107" s="321">
        <f t="shared" si="36"/>
        <v>0</v>
      </c>
      <c r="P107" s="1277">
        <f t="shared" si="26"/>
        <v>10394833.68</v>
      </c>
    </row>
    <row r="108" spans="1:17" s="682" customFormat="1">
      <c r="A108" s="758" t="s">
        <v>822</v>
      </c>
      <c r="B108" s="1627" t="s">
        <v>237</v>
      </c>
      <c r="C108" s="1627" t="s">
        <v>878</v>
      </c>
      <c r="D108" s="1627"/>
      <c r="E108" s="1627">
        <v>11</v>
      </c>
      <c r="F108" s="445">
        <f>+I108</f>
        <v>38114390.160000004</v>
      </c>
      <c r="G108" s="445"/>
      <c r="H108" s="445"/>
      <c r="I108" s="321">
        <f>3300000*1.004*1.0458*E108</f>
        <v>38114390.160000004</v>
      </c>
      <c r="J108" s="446"/>
      <c r="K108" s="1499"/>
      <c r="L108" s="445"/>
      <c r="M108" s="300"/>
      <c r="N108" s="321">
        <f t="shared" si="36"/>
        <v>0</v>
      </c>
      <c r="P108" s="1277">
        <f t="shared" si="26"/>
        <v>38114390.160000004</v>
      </c>
    </row>
    <row r="109" spans="1:17" s="682" customFormat="1">
      <c r="A109" s="758" t="s">
        <v>694</v>
      </c>
      <c r="B109" s="1627" t="s">
        <v>237</v>
      </c>
      <c r="C109" s="1627" t="s">
        <v>878</v>
      </c>
      <c r="D109" s="1627"/>
      <c r="E109" s="1627">
        <v>11</v>
      </c>
      <c r="F109" s="445">
        <f>+I109</f>
        <v>38114390.160000004</v>
      </c>
      <c r="G109" s="445"/>
      <c r="H109" s="445"/>
      <c r="I109" s="321">
        <f>3300000*1.004*1.0458*E109</f>
        <v>38114390.160000004</v>
      </c>
      <c r="J109" s="446"/>
      <c r="K109" s="1499"/>
      <c r="L109" s="445"/>
      <c r="M109" s="300"/>
      <c r="N109" s="321">
        <f t="shared" si="36"/>
        <v>0</v>
      </c>
      <c r="P109" s="1277">
        <f t="shared" si="26"/>
        <v>38114390.160000004</v>
      </c>
    </row>
    <row r="110" spans="1:17" s="682" customFormat="1">
      <c r="A110" s="758" t="s">
        <v>695</v>
      </c>
      <c r="B110" s="1627" t="s">
        <v>237</v>
      </c>
      <c r="C110" s="1627" t="s">
        <v>878</v>
      </c>
      <c r="D110" s="1627"/>
      <c r="E110" s="1627">
        <v>7</v>
      </c>
      <c r="F110" s="445">
        <v>20789667</v>
      </c>
      <c r="G110" s="445"/>
      <c r="H110" s="445"/>
      <c r="I110" s="321">
        <f>SUM(F110:H110)</f>
        <v>20789667</v>
      </c>
      <c r="J110" s="446"/>
      <c r="K110" s="1499"/>
      <c r="L110" s="445"/>
      <c r="M110" s="300"/>
      <c r="N110" s="321">
        <f t="shared" si="27"/>
        <v>0</v>
      </c>
      <c r="P110" s="1277">
        <f t="shared" si="26"/>
        <v>20789667</v>
      </c>
    </row>
    <row r="111" spans="1:17" s="682" customFormat="1">
      <c r="A111" s="758" t="s">
        <v>696</v>
      </c>
      <c r="B111" s="1627" t="s">
        <v>237</v>
      </c>
      <c r="C111" s="1627" t="s">
        <v>878</v>
      </c>
      <c r="D111" s="1627"/>
      <c r="E111" s="1627">
        <v>8</v>
      </c>
      <c r="F111" s="445">
        <f>27719556.48-6929889</f>
        <v>20789667.48</v>
      </c>
      <c r="G111" s="445"/>
      <c r="H111" s="445"/>
      <c r="I111" s="321">
        <f>SUM(F111:H111)</f>
        <v>20789667.48</v>
      </c>
      <c r="J111" s="446"/>
      <c r="K111" s="1499"/>
      <c r="L111" s="445"/>
      <c r="M111" s="300"/>
      <c r="N111" s="321">
        <f t="shared" si="27"/>
        <v>0</v>
      </c>
      <c r="P111" s="1277">
        <f t="shared" si="26"/>
        <v>20789667.48</v>
      </c>
    </row>
    <row r="112" spans="1:17" s="682" customFormat="1">
      <c r="A112" s="758" t="s">
        <v>697</v>
      </c>
      <c r="B112" s="1627" t="s">
        <v>237</v>
      </c>
      <c r="C112" s="1627" t="s">
        <v>878</v>
      </c>
      <c r="D112" s="1627"/>
      <c r="E112" s="1627">
        <v>1</v>
      </c>
      <c r="F112" s="445">
        <v>8464878.4507312775</v>
      </c>
      <c r="G112" s="445"/>
      <c r="H112" s="445"/>
      <c r="I112" s="321">
        <f>SUM(F112:H112)</f>
        <v>8464878.4507312775</v>
      </c>
      <c r="J112" s="446"/>
      <c r="K112" s="1499"/>
      <c r="L112" s="445"/>
      <c r="M112" s="300"/>
      <c r="N112" s="321">
        <f t="shared" si="27"/>
        <v>0</v>
      </c>
      <c r="P112" s="1277">
        <f t="shared" si="26"/>
        <v>8464878.4507312775</v>
      </c>
    </row>
    <row r="113" spans="1:20" s="682" customFormat="1" ht="25.5">
      <c r="A113" s="758" t="s">
        <v>975</v>
      </c>
      <c r="B113" s="683" t="s">
        <v>976</v>
      </c>
      <c r="C113" s="683" t="s">
        <v>977</v>
      </c>
      <c r="D113" s="1627"/>
      <c r="E113" s="1627">
        <v>1</v>
      </c>
      <c r="F113" s="445"/>
      <c r="G113" s="445"/>
      <c r="H113" s="445"/>
      <c r="I113" s="321">
        <f>SUM(F113:H113)</f>
        <v>0</v>
      </c>
      <c r="J113" s="446"/>
      <c r="K113" s="1499"/>
      <c r="L113" s="445">
        <v>69326211.547462195</v>
      </c>
      <c r="M113" s="300">
        <v>51153787.943999998</v>
      </c>
      <c r="N113" s="321">
        <f>SUM(K113:M113)</f>
        <v>120479999.4914622</v>
      </c>
      <c r="P113" s="1277">
        <f t="shared" si="26"/>
        <v>120479999.4914622</v>
      </c>
      <c r="Q113" s="1872"/>
    </row>
    <row r="114" spans="1:20" s="682" customFormat="1" ht="21.75" customHeight="1">
      <c r="A114" s="758" t="s">
        <v>1166</v>
      </c>
      <c r="B114" s="683" t="s">
        <v>976</v>
      </c>
      <c r="C114" s="683" t="s">
        <v>977</v>
      </c>
      <c r="D114" s="1627"/>
      <c r="E114" s="1627">
        <v>1</v>
      </c>
      <c r="F114" s="687">
        <f>8541270.29827523-8541270.29827523</f>
        <v>0</v>
      </c>
      <c r="G114" s="687"/>
      <c r="H114" s="687"/>
      <c r="I114" s="279">
        <f t="shared" ref="I114" si="37">SUM(F114:H114)</f>
        <v>0</v>
      </c>
      <c r="J114" s="1931"/>
      <c r="K114" s="971"/>
      <c r="L114" s="687"/>
      <c r="M114" s="301">
        <f>19257219.944-19257219.944</f>
        <v>0</v>
      </c>
      <c r="N114" s="279">
        <f t="shared" ref="N114" si="38">SUM(K114:M114)</f>
        <v>0</v>
      </c>
      <c r="O114" s="1683"/>
      <c r="P114" s="704">
        <f t="shared" si="26"/>
        <v>0</v>
      </c>
    </row>
    <row r="115" spans="1:20" s="682" customFormat="1">
      <c r="A115" s="758" t="s">
        <v>999</v>
      </c>
      <c r="B115" s="683" t="s">
        <v>237</v>
      </c>
      <c r="C115" s="683" t="s">
        <v>878</v>
      </c>
      <c r="D115" s="1627"/>
      <c r="E115" s="1627">
        <v>1</v>
      </c>
      <c r="F115" s="445"/>
      <c r="G115" s="445"/>
      <c r="H115" s="445"/>
      <c r="I115" s="321">
        <f t="shared" ref="I115:I119" si="39">SUM(F115:H115)</f>
        <v>0</v>
      </c>
      <c r="J115" s="446"/>
      <c r="K115" s="1499"/>
      <c r="L115" s="445"/>
      <c r="M115" s="300">
        <f>27108000-27108000</f>
        <v>0</v>
      </c>
      <c r="N115" s="321">
        <f>+M115</f>
        <v>0</v>
      </c>
      <c r="P115" s="1277">
        <f t="shared" si="26"/>
        <v>0</v>
      </c>
      <c r="Q115" s="1872"/>
    </row>
    <row r="116" spans="1:20" s="682" customFormat="1">
      <c r="A116" s="758"/>
      <c r="B116" s="683"/>
      <c r="C116" s="683"/>
      <c r="D116" s="1627"/>
      <c r="E116" s="1627"/>
      <c r="F116" s="445"/>
      <c r="G116" s="445"/>
      <c r="H116" s="445"/>
      <c r="I116" s="321">
        <f t="shared" si="39"/>
        <v>0</v>
      </c>
      <c r="J116" s="446"/>
      <c r="K116" s="1499"/>
      <c r="L116" s="445"/>
      <c r="M116" s="300"/>
      <c r="N116" s="321">
        <f t="shared" si="27"/>
        <v>0</v>
      </c>
      <c r="P116" s="1277">
        <f t="shared" si="26"/>
        <v>0</v>
      </c>
    </row>
    <row r="117" spans="1:20" s="682" customFormat="1" ht="25.5">
      <c r="A117" s="1763" t="s">
        <v>698</v>
      </c>
      <c r="B117" s="683"/>
      <c r="C117" s="683"/>
      <c r="D117" s="1627"/>
      <c r="E117" s="1627"/>
      <c r="F117" s="445"/>
      <c r="G117" s="445"/>
      <c r="H117" s="445"/>
      <c r="I117" s="321">
        <f t="shared" si="39"/>
        <v>0</v>
      </c>
      <c r="J117" s="446"/>
      <c r="K117" s="1499"/>
      <c r="L117" s="445"/>
      <c r="M117" s="300"/>
      <c r="N117" s="321">
        <f t="shared" si="27"/>
        <v>0</v>
      </c>
      <c r="P117" s="1277">
        <f t="shared" si="26"/>
        <v>0</v>
      </c>
    </row>
    <row r="118" spans="1:20" s="682" customFormat="1" ht="25.5">
      <c r="A118" s="758" t="s">
        <v>1051</v>
      </c>
      <c r="B118" s="1627" t="s">
        <v>237</v>
      </c>
      <c r="C118" s="1627" t="s">
        <v>878</v>
      </c>
      <c r="D118" s="1627"/>
      <c r="E118" s="1627"/>
      <c r="F118" s="445">
        <f>2911739.45853114-2911739</f>
        <v>0.45853113988414407</v>
      </c>
      <c r="G118" s="445"/>
      <c r="H118" s="445"/>
      <c r="I118" s="321">
        <f>SUM(F118:H118)</f>
        <v>0.45853113988414407</v>
      </c>
      <c r="J118" s="446"/>
      <c r="K118" s="300">
        <f>2790696.50400007-617564</f>
        <v>2173132.50400007</v>
      </c>
      <c r="L118" s="445">
        <f>50000000-414857-29832357</f>
        <v>19752786</v>
      </c>
      <c r="M118" s="300">
        <f>29310349.9510689+414857+617564-30342771</f>
        <v>-4.8931099474430084E-2</v>
      </c>
      <c r="N118" s="321">
        <f>SUM(K118:M118)</f>
        <v>21925918.455068972</v>
      </c>
      <c r="P118" s="1277">
        <f t="shared" si="26"/>
        <v>21925918.913600113</v>
      </c>
    </row>
    <row r="119" spans="1:20" s="682" customFormat="1">
      <c r="A119" s="758"/>
      <c r="B119" s="683"/>
      <c r="C119" s="683"/>
      <c r="D119" s="1627"/>
      <c r="E119" s="1627"/>
      <c r="F119" s="445"/>
      <c r="G119" s="445"/>
      <c r="H119" s="445"/>
      <c r="I119" s="321">
        <f t="shared" si="39"/>
        <v>0</v>
      </c>
      <c r="J119" s="446"/>
      <c r="K119" s="1499"/>
      <c r="L119" s="445"/>
      <c r="M119" s="300"/>
      <c r="N119" s="321">
        <f t="shared" si="27"/>
        <v>0</v>
      </c>
      <c r="P119" s="1277">
        <f t="shared" si="26"/>
        <v>0</v>
      </c>
    </row>
    <row r="120" spans="1:20" s="682" customFormat="1" ht="15.75" thickBot="1">
      <c r="A120" s="211"/>
      <c r="B120" s="1575"/>
      <c r="C120" s="1575"/>
      <c r="D120" s="21"/>
      <c r="E120" s="21"/>
      <c r="F120" s="631"/>
      <c r="G120" s="631"/>
      <c r="H120" s="631"/>
      <c r="I120" s="1277"/>
      <c r="J120" s="446"/>
      <c r="K120" s="1500"/>
      <c r="L120" s="631"/>
      <c r="M120" s="1301"/>
      <c r="N120" s="1277">
        <f t="shared" si="27"/>
        <v>0</v>
      </c>
      <c r="P120" s="1277">
        <f t="shared" si="26"/>
        <v>0</v>
      </c>
    </row>
    <row r="121" spans="1:20" ht="26.25" thickBot="1">
      <c r="A121" s="521" t="s">
        <v>59</v>
      </c>
      <c r="B121" s="1701"/>
      <c r="C121" s="1701"/>
      <c r="D121" s="473" t="s">
        <v>211</v>
      </c>
      <c r="E121" s="473"/>
      <c r="F121" s="1758">
        <f t="shared" ref="F121:H121" si="40">+F122</f>
        <v>278658189.30325603</v>
      </c>
      <c r="G121" s="1758">
        <f t="shared" si="40"/>
        <v>0</v>
      </c>
      <c r="H121" s="1758">
        <f t="shared" si="40"/>
        <v>0</v>
      </c>
      <c r="I121" s="1759">
        <f>+I122</f>
        <v>278658189.30325603</v>
      </c>
      <c r="J121" s="696"/>
      <c r="K121" s="1760">
        <f>+K122</f>
        <v>0</v>
      </c>
      <c r="L121" s="1758">
        <f>+L122</f>
        <v>0</v>
      </c>
      <c r="M121" s="1758">
        <f>+M122</f>
        <v>0</v>
      </c>
      <c r="N121" s="1759">
        <f>+N122</f>
        <v>0</v>
      </c>
      <c r="P121" s="1761">
        <f>+P122</f>
        <v>278658189.30325603</v>
      </c>
      <c r="S121" s="694"/>
      <c r="T121" s="694"/>
    </row>
    <row r="122" spans="1:20" ht="25.5">
      <c r="A122" s="1706" t="s">
        <v>699</v>
      </c>
      <c r="B122" s="1707"/>
      <c r="C122" s="1707"/>
      <c r="D122" s="1708" t="s">
        <v>211</v>
      </c>
      <c r="E122" s="1708"/>
      <c r="F122" s="1745">
        <f>SUM(F123:F129)</f>
        <v>278658189.30325603</v>
      </c>
      <c r="G122" s="1745">
        <f t="shared" ref="G122:H122" si="41">SUM(G123:G128)</f>
        <v>0</v>
      </c>
      <c r="H122" s="1745">
        <f t="shared" si="41"/>
        <v>0</v>
      </c>
      <c r="I122" s="1746">
        <f>SUM(I123:I129)</f>
        <v>278658189.30325603</v>
      </c>
      <c r="J122" s="446"/>
      <c r="K122" s="1747">
        <f>SUM(K123:K129)</f>
        <v>0</v>
      </c>
      <c r="L122" s="1745">
        <f>SUM(L123:L129)</f>
        <v>0</v>
      </c>
      <c r="M122" s="1748"/>
      <c r="N122" s="1746">
        <f>SUM(N123:N129)</f>
        <v>0</v>
      </c>
      <c r="P122" s="1746">
        <f>SUM(P123:P129)</f>
        <v>278658189.30325603</v>
      </c>
      <c r="S122" s="694"/>
      <c r="T122" s="694"/>
    </row>
    <row r="123" spans="1:20">
      <c r="A123" s="758" t="s">
        <v>700</v>
      </c>
      <c r="B123" s="273" t="s">
        <v>237</v>
      </c>
      <c r="C123" s="273" t="s">
        <v>878</v>
      </c>
      <c r="D123" s="1627"/>
      <c r="E123" s="1627">
        <v>11</v>
      </c>
      <c r="F123" s="445">
        <f>+I123</f>
        <v>58533200</v>
      </c>
      <c r="G123" s="445"/>
      <c r="H123" s="445"/>
      <c r="I123" s="321">
        <f>5300000*1.004*E123</f>
        <v>58533200</v>
      </c>
      <c r="J123" s="446"/>
      <c r="K123" s="1499"/>
      <c r="L123" s="445"/>
      <c r="M123" s="300"/>
      <c r="N123" s="321">
        <f>SUM(K123:L123)</f>
        <v>0</v>
      </c>
      <c r="P123" s="321">
        <f>+I123+N123</f>
        <v>58533200</v>
      </c>
      <c r="S123" s="694"/>
      <c r="T123" s="694"/>
    </row>
    <row r="124" spans="1:20">
      <c r="A124" s="758" t="s">
        <v>701</v>
      </c>
      <c r="B124" s="273" t="s">
        <v>237</v>
      </c>
      <c r="C124" s="273" t="s">
        <v>878</v>
      </c>
      <c r="D124" s="1627"/>
      <c r="E124" s="1627">
        <v>11</v>
      </c>
      <c r="F124" s="445">
        <f t="shared" ref="F124:F128" si="42">+I124</f>
        <v>58533200</v>
      </c>
      <c r="G124" s="445"/>
      <c r="H124" s="445"/>
      <c r="I124" s="321">
        <f>5300000*1.004*E124</f>
        <v>58533200</v>
      </c>
      <c r="J124" s="446"/>
      <c r="K124" s="1499"/>
      <c r="L124" s="445"/>
      <c r="M124" s="300"/>
      <c r="N124" s="321">
        <f t="shared" ref="N124:N129" si="43">SUM(K124:L124)</f>
        <v>0</v>
      </c>
      <c r="P124" s="321">
        <f>+I124+N124</f>
        <v>58533200</v>
      </c>
      <c r="S124" s="694"/>
      <c r="T124" s="694"/>
    </row>
    <row r="125" spans="1:20">
      <c r="A125" s="1750" t="s">
        <v>819</v>
      </c>
      <c r="B125" s="273" t="s">
        <v>237</v>
      </c>
      <c r="C125" s="273" t="s">
        <v>878</v>
      </c>
      <c r="D125" s="273"/>
      <c r="E125" s="273">
        <v>11</v>
      </c>
      <c r="F125" s="445">
        <f t="shared" si="42"/>
        <v>45044279.280000001</v>
      </c>
      <c r="G125" s="692"/>
      <c r="H125" s="692"/>
      <c r="I125" s="321">
        <f>3900000*1.004*1.0458*E125</f>
        <v>45044279.280000001</v>
      </c>
      <c r="J125" s="446"/>
      <c r="K125" s="1501"/>
      <c r="L125" s="692"/>
      <c r="M125" s="1515"/>
      <c r="N125" s="321">
        <f t="shared" si="43"/>
        <v>0</v>
      </c>
      <c r="P125" s="321">
        <f t="shared" ref="P125:P129" si="44">+I125+N125</f>
        <v>45044279.280000001</v>
      </c>
      <c r="S125" s="694"/>
      <c r="T125" s="694"/>
    </row>
    <row r="126" spans="1:20">
      <c r="A126" s="1750" t="s">
        <v>820</v>
      </c>
      <c r="B126" s="273" t="s">
        <v>237</v>
      </c>
      <c r="C126" s="273" t="s">
        <v>878</v>
      </c>
      <c r="D126" s="273"/>
      <c r="E126" s="273">
        <v>11</v>
      </c>
      <c r="F126" s="445">
        <f t="shared" si="42"/>
        <v>51038979.863256</v>
      </c>
      <c r="G126" s="692"/>
      <c r="H126" s="692"/>
      <c r="I126" s="321">
        <f>4419030*1.004*1.0458*E126</f>
        <v>51038979.863256</v>
      </c>
      <c r="J126" s="446"/>
      <c r="K126" s="1501"/>
      <c r="L126" s="692"/>
      <c r="M126" s="1515"/>
      <c r="N126" s="321">
        <f t="shared" si="43"/>
        <v>0</v>
      </c>
      <c r="P126" s="321">
        <f t="shared" si="44"/>
        <v>51038979.863256</v>
      </c>
      <c r="S126" s="694"/>
      <c r="T126" s="694"/>
    </row>
    <row r="127" spans="1:20" s="682" customFormat="1" ht="14.25" customHeight="1">
      <c r="A127" s="758" t="s">
        <v>702</v>
      </c>
      <c r="B127" s="1627" t="s">
        <v>237</v>
      </c>
      <c r="C127" s="1627" t="s">
        <v>878</v>
      </c>
      <c r="D127" s="1627"/>
      <c r="E127" s="1627">
        <v>6</v>
      </c>
      <c r="F127" s="445">
        <f>24668280-12334140</f>
        <v>12334140</v>
      </c>
      <c r="G127" s="445"/>
      <c r="H127" s="445"/>
      <c r="I127" s="321">
        <f>+F127</f>
        <v>12334140</v>
      </c>
      <c r="J127" s="446"/>
      <c r="K127" s="1499"/>
      <c r="L127" s="445"/>
      <c r="M127" s="300"/>
      <c r="N127" s="321">
        <f t="shared" si="43"/>
        <v>0</v>
      </c>
      <c r="P127" s="321">
        <f t="shared" si="44"/>
        <v>12334140</v>
      </c>
      <c r="S127" s="1930"/>
      <c r="T127" s="1930"/>
    </row>
    <row r="128" spans="1:20">
      <c r="A128" s="1750" t="s">
        <v>821</v>
      </c>
      <c r="B128" s="273" t="s">
        <v>237</v>
      </c>
      <c r="C128" s="273" t="s">
        <v>878</v>
      </c>
      <c r="D128" s="273"/>
      <c r="E128" s="273">
        <v>11</v>
      </c>
      <c r="F128" s="445">
        <f t="shared" si="42"/>
        <v>38114390.160000004</v>
      </c>
      <c r="G128" s="445"/>
      <c r="H128" s="445"/>
      <c r="I128" s="321">
        <f>3300000*1.004*1.0458*E128</f>
        <v>38114390.160000004</v>
      </c>
      <c r="J128" s="446"/>
      <c r="K128" s="1499"/>
      <c r="L128" s="445"/>
      <c r="M128" s="300"/>
      <c r="N128" s="321">
        <f t="shared" si="43"/>
        <v>0</v>
      </c>
      <c r="P128" s="321">
        <f t="shared" si="44"/>
        <v>38114390.160000004</v>
      </c>
      <c r="S128" s="694"/>
      <c r="T128" s="694"/>
    </row>
    <row r="129" spans="1:20" ht="15.75" thickBot="1">
      <c r="A129" s="1764" t="s">
        <v>900</v>
      </c>
      <c r="B129" s="1281" t="s">
        <v>237</v>
      </c>
      <c r="C129" s="1281" t="s">
        <v>878</v>
      </c>
      <c r="D129" s="21"/>
      <c r="E129" s="21">
        <v>3</v>
      </c>
      <c r="F129" s="631">
        <f>5000000*E129*1.004</f>
        <v>15060000</v>
      </c>
      <c r="G129" s="631"/>
      <c r="H129" s="631"/>
      <c r="I129" s="632">
        <f>+F129</f>
        <v>15060000</v>
      </c>
      <c r="J129" s="446"/>
      <c r="K129" s="1500"/>
      <c r="L129" s="631"/>
      <c r="M129" s="1301"/>
      <c r="N129" s="1277">
        <f t="shared" si="43"/>
        <v>0</v>
      </c>
      <c r="P129" s="321">
        <f t="shared" si="44"/>
        <v>15060000</v>
      </c>
      <c r="S129" s="694"/>
      <c r="T129" s="694"/>
    </row>
    <row r="130" spans="1:20" ht="26.25" thickBot="1">
      <c r="A130" s="1765" t="s">
        <v>3</v>
      </c>
      <c r="B130" s="1766"/>
      <c r="C130" s="1766"/>
      <c r="D130" s="612" t="s">
        <v>215</v>
      </c>
      <c r="E130" s="612">
        <v>100</v>
      </c>
      <c r="F130" s="1767">
        <f t="shared" ref="F130:H130" si="45">+F131+F135</f>
        <v>120357</v>
      </c>
      <c r="G130" s="1767">
        <f t="shared" si="45"/>
        <v>0</v>
      </c>
      <c r="H130" s="1767">
        <f t="shared" si="45"/>
        <v>9156</v>
      </c>
      <c r="I130" s="1768">
        <f>+I131+I135</f>
        <v>129513</v>
      </c>
      <c r="J130" s="446"/>
      <c r="K130" s="1769">
        <f>+K131+K135</f>
        <v>72089426.288668796</v>
      </c>
      <c r="L130" s="1767">
        <f>+L131+L135</f>
        <v>0</v>
      </c>
      <c r="M130" s="1767">
        <f>+M131+M135</f>
        <v>510019</v>
      </c>
      <c r="N130" s="1768">
        <f>+N131+N135</f>
        <v>72599445.288668796</v>
      </c>
      <c r="P130" s="1770">
        <f>+P131+P135</f>
        <v>72728958.288668796</v>
      </c>
      <c r="S130" s="694"/>
      <c r="T130" s="694"/>
    </row>
    <row r="131" spans="1:20" ht="25.5">
      <c r="A131" s="1706" t="s">
        <v>312</v>
      </c>
      <c r="B131" s="1707"/>
      <c r="C131" s="1707"/>
      <c r="D131" s="1708" t="s">
        <v>210</v>
      </c>
      <c r="E131" s="1708">
        <v>1</v>
      </c>
      <c r="F131" s="1745">
        <f t="shared" ref="F131:H131" si="46">SUM(F132:F134)</f>
        <v>120357</v>
      </c>
      <c r="G131" s="1745">
        <f t="shared" si="46"/>
        <v>0</v>
      </c>
      <c r="H131" s="1745">
        <f t="shared" si="46"/>
        <v>9156</v>
      </c>
      <c r="I131" s="1746">
        <f>SUM(I132:I134)</f>
        <v>129513</v>
      </c>
      <c r="J131" s="446"/>
      <c r="K131" s="1747">
        <f>SUM(K132:K134)</f>
        <v>72089426.288668796</v>
      </c>
      <c r="L131" s="1745">
        <f>SUM(L132:L134)</f>
        <v>0</v>
      </c>
      <c r="M131" s="1745">
        <f>SUM(M132:M134)</f>
        <v>510019</v>
      </c>
      <c r="N131" s="1746">
        <f>SUM(N132:N134)</f>
        <v>72599445.288668796</v>
      </c>
      <c r="P131" s="1746">
        <f>SUM(P132:P134)</f>
        <v>72728958.288668796</v>
      </c>
    </row>
    <row r="132" spans="1:20" s="682" customFormat="1">
      <c r="A132" s="758" t="s">
        <v>449</v>
      </c>
      <c r="B132" s="1627" t="s">
        <v>237</v>
      </c>
      <c r="C132" s="1627" t="s">
        <v>878</v>
      </c>
      <c r="D132" s="1627"/>
      <c r="E132" s="1627"/>
      <c r="F132" s="445">
        <v>120357</v>
      </c>
      <c r="G132" s="445"/>
      <c r="H132" s="445">
        <v>9156</v>
      </c>
      <c r="I132" s="321">
        <f>SUM(F132:H132)</f>
        <v>129513</v>
      </c>
      <c r="J132" s="446"/>
      <c r="K132" s="1499">
        <f>64330694.2886688+7758732</f>
        <v>72089426.288668796</v>
      </c>
      <c r="L132" s="445"/>
      <c r="M132" s="300">
        <v>510019</v>
      </c>
      <c r="N132" s="321">
        <f>SUM(K132:M132)</f>
        <v>72599445.288668796</v>
      </c>
      <c r="P132" s="321">
        <f>+I132+N132</f>
        <v>72728958.288668796</v>
      </c>
      <c r="Q132" s="1872"/>
    </row>
    <row r="133" spans="1:20">
      <c r="A133" s="758" t="s">
        <v>450</v>
      </c>
      <c r="B133" s="305"/>
      <c r="C133" s="305"/>
      <c r="D133" s="1627"/>
      <c r="E133" s="1627"/>
      <c r="F133" s="445"/>
      <c r="G133" s="445"/>
      <c r="H133" s="445"/>
      <c r="I133" s="316"/>
      <c r="J133" s="446"/>
      <c r="K133" s="1499"/>
      <c r="L133" s="445"/>
      <c r="M133" s="300"/>
      <c r="N133" s="321">
        <f t="shared" ref="N133:N134" si="47">SUM(K133:L133)</f>
        <v>0</v>
      </c>
      <c r="P133" s="321">
        <f t="shared" ref="P133:P134" si="48">+I133+N133</f>
        <v>0</v>
      </c>
    </row>
    <row r="134" spans="1:20">
      <c r="A134" s="758" t="s">
        <v>451</v>
      </c>
      <c r="B134" s="305"/>
      <c r="C134" s="305"/>
      <c r="D134" s="1627"/>
      <c r="E134" s="1627"/>
      <c r="F134" s="445"/>
      <c r="G134" s="445"/>
      <c r="H134" s="445"/>
      <c r="I134" s="316"/>
      <c r="J134" s="446"/>
      <c r="K134" s="1499"/>
      <c r="L134" s="445"/>
      <c r="M134" s="300"/>
      <c r="N134" s="321">
        <f t="shared" si="47"/>
        <v>0</v>
      </c>
      <c r="P134" s="321">
        <f t="shared" si="48"/>
        <v>0</v>
      </c>
    </row>
    <row r="135" spans="1:20" ht="25.5">
      <c r="A135" s="1718" t="s">
        <v>313</v>
      </c>
      <c r="B135" s="1719"/>
      <c r="C135" s="1719"/>
      <c r="D135" s="1577" t="s">
        <v>210</v>
      </c>
      <c r="E135" s="1577">
        <v>1</v>
      </c>
      <c r="F135" s="1753"/>
      <c r="G135" s="1753"/>
      <c r="H135" s="1753"/>
      <c r="I135" s="1754">
        <f>SUM(I136:I138)</f>
        <v>0</v>
      </c>
      <c r="J135" s="446"/>
      <c r="K135" s="1755">
        <f>SUM(K136:K138)</f>
        <v>0</v>
      </c>
      <c r="L135" s="1753">
        <f>SUM(L136:L138)</f>
        <v>0</v>
      </c>
      <c r="M135" s="1756"/>
      <c r="N135" s="1754">
        <f>SUM(N136:N138)</f>
        <v>0</v>
      </c>
      <c r="P135" s="1754">
        <f>SUM(P136:P138)</f>
        <v>0</v>
      </c>
    </row>
    <row r="136" spans="1:20">
      <c r="A136" s="758" t="s">
        <v>449</v>
      </c>
      <c r="B136" s="305"/>
      <c r="C136" s="305"/>
      <c r="D136" s="1627" t="s">
        <v>703</v>
      </c>
      <c r="E136" s="1627"/>
      <c r="F136" s="445"/>
      <c r="G136" s="445"/>
      <c r="H136" s="445"/>
      <c r="I136" s="321"/>
      <c r="J136" s="446"/>
      <c r="K136" s="1499"/>
      <c r="L136" s="445"/>
      <c r="M136" s="300"/>
      <c r="N136" s="321">
        <f>SUM(K136:L136)</f>
        <v>0</v>
      </c>
      <c r="P136" s="321">
        <f>+I136+N136</f>
        <v>0</v>
      </c>
    </row>
    <row r="137" spans="1:20">
      <c r="A137" s="758" t="s">
        <v>450</v>
      </c>
      <c r="B137" s="305"/>
      <c r="C137" s="305"/>
      <c r="D137" s="1627"/>
      <c r="E137" s="1627"/>
      <c r="F137" s="445"/>
      <c r="G137" s="445"/>
      <c r="H137" s="445"/>
      <c r="I137" s="316"/>
      <c r="J137" s="446"/>
      <c r="K137" s="1499"/>
      <c r="L137" s="445"/>
      <c r="M137" s="300"/>
      <c r="N137" s="321">
        <f t="shared" ref="N137:N138" si="49">SUM(K137:L137)</f>
        <v>0</v>
      </c>
      <c r="P137" s="321">
        <f t="shared" ref="P137:P138" si="50">+I137+N137</f>
        <v>0</v>
      </c>
    </row>
    <row r="138" spans="1:20" ht="15.75" thickBot="1">
      <c r="A138" s="211" t="s">
        <v>451</v>
      </c>
      <c r="B138" s="487"/>
      <c r="C138" s="487"/>
      <c r="D138" s="21"/>
      <c r="E138" s="21"/>
      <c r="F138" s="631"/>
      <c r="G138" s="631"/>
      <c r="H138" s="631"/>
      <c r="I138" s="632"/>
      <c r="J138" s="446"/>
      <c r="K138" s="1500"/>
      <c r="L138" s="631"/>
      <c r="M138" s="1301"/>
      <c r="N138" s="321">
        <f t="shared" si="49"/>
        <v>0</v>
      </c>
      <c r="P138" s="321">
        <f t="shared" si="50"/>
        <v>0</v>
      </c>
    </row>
    <row r="139" spans="1:20" ht="15.75" thickBot="1">
      <c r="A139" s="2404" t="s">
        <v>10</v>
      </c>
      <c r="B139" s="2405"/>
      <c r="C139" s="2405"/>
      <c r="D139" s="2405"/>
      <c r="E139" s="2406"/>
      <c r="F139" s="1460">
        <f>+F130+F121+F33+F24+F19+F13+F7</f>
        <v>1364154955.9710491</v>
      </c>
      <c r="G139" s="1460">
        <f>+G130+G121+G33+G24+G19+G13+G7</f>
        <v>282233926</v>
      </c>
      <c r="H139" s="1460">
        <f>+H130+H121+H33+H24+H19+H13+H7</f>
        <v>602187003</v>
      </c>
      <c r="I139" s="1461">
        <f>+I130+I121+I33+I24+I19+I13+I7</f>
        <v>2248575884.9710493</v>
      </c>
      <c r="J139" s="447"/>
      <c r="K139" s="1502">
        <f>+K130+K121+K33+K24+K19+K13+K7</f>
        <v>197134881.21506891</v>
      </c>
      <c r="L139" s="1460">
        <f>+L130+L121+L33+L24+L19+L13+L7</f>
        <v>113752786</v>
      </c>
      <c r="M139" s="1460">
        <f>+M130+M121+M33+M24+M19+M13+M7</f>
        <v>109080669.99999997</v>
      </c>
      <c r="N139" s="1461">
        <f>+N130+N121+N33+N24+N19+N13+N7</f>
        <v>419968337.21506888</v>
      </c>
      <c r="P139" s="1461">
        <f>+P130+P121+P33+P24+P19+P13+P7</f>
        <v>2668544222.1861186</v>
      </c>
    </row>
    <row r="140" spans="1:20" ht="15.75" thickBot="1">
      <c r="A140" s="1698"/>
      <c r="B140" s="1698"/>
      <c r="C140" s="1698"/>
      <c r="D140" s="186"/>
      <c r="E140" s="186"/>
      <c r="F140" s="747"/>
      <c r="G140" s="747"/>
      <c r="H140" s="747"/>
      <c r="I140" s="747"/>
      <c r="J140" s="448"/>
      <c r="K140" s="747"/>
      <c r="L140" s="747"/>
      <c r="M140" s="747"/>
      <c r="N140" s="747"/>
      <c r="P140" s="747"/>
    </row>
    <row r="141" spans="1:20" ht="15.75" thickBot="1">
      <c r="A141" s="1698"/>
      <c r="B141" s="1698"/>
      <c r="C141" s="1698"/>
      <c r="D141" s="186"/>
      <c r="E141" s="186"/>
      <c r="F141" s="737">
        <f>1403066695-36000000-2911739</f>
        <v>1364154956</v>
      </c>
      <c r="G141" s="737">
        <v>282233926</v>
      </c>
      <c r="H141" s="737">
        <f>602187003</f>
        <v>602187003</v>
      </c>
      <c r="I141" s="737">
        <f>SUM(F141:H141)</f>
        <v>2248575885</v>
      </c>
      <c r="J141" s="1771"/>
      <c r="K141" s="737">
        <f>352143465-154391020-617564</f>
        <v>197134881</v>
      </c>
      <c r="L141" s="737">
        <f>144000000-414857-29832357</f>
        <v>113752786</v>
      </c>
      <c r="M141" s="737">
        <f>154391020+414857+617564-16000000-30342771</f>
        <v>109080670</v>
      </c>
      <c r="N141" s="737">
        <f>SUM(K141:M141)</f>
        <v>419968337</v>
      </c>
      <c r="P141" s="737">
        <f>SUM(+I141+N141)</f>
        <v>2668544222</v>
      </c>
    </row>
    <row r="142" spans="1:20" s="682" customFormat="1" ht="15.75" thickBot="1">
      <c r="A142" s="759"/>
      <c r="B142" s="759"/>
      <c r="C142" s="759"/>
      <c r="D142" s="1772"/>
      <c r="E142" s="1772"/>
      <c r="F142" s="1773"/>
      <c r="G142" s="1773"/>
      <c r="H142" s="1773"/>
      <c r="I142" s="1773"/>
      <c r="J142" s="1771"/>
      <c r="K142" s="1773"/>
      <c r="L142" s="1773"/>
      <c r="M142" s="1773"/>
      <c r="N142" s="1773"/>
      <c r="P142" s="1773"/>
    </row>
    <row r="143" spans="1:20" ht="15.75" thickBot="1">
      <c r="A143" s="1698"/>
      <c r="B143" s="1698"/>
      <c r="C143" s="1698"/>
      <c r="D143" s="186"/>
      <c r="E143" s="186"/>
      <c r="F143" s="1496">
        <f>+F141-F139</f>
        <v>2.8950929641723633E-2</v>
      </c>
      <c r="G143" s="635">
        <f t="shared" ref="G143:I143" si="51">+G141-G139</f>
        <v>0</v>
      </c>
      <c r="H143" s="635">
        <f t="shared" si="51"/>
        <v>0</v>
      </c>
      <c r="I143" s="1497">
        <f t="shared" si="51"/>
        <v>2.8950691223144531E-2</v>
      </c>
      <c r="K143" s="1496">
        <f>+K141-K139</f>
        <v>-0.21506890654563904</v>
      </c>
      <c r="L143" s="635">
        <f t="shared" ref="L143:N143" si="52">+L141-L139</f>
        <v>0</v>
      </c>
      <c r="M143" s="635">
        <f t="shared" si="52"/>
        <v>0</v>
      </c>
      <c r="N143" s="1497">
        <f t="shared" si="52"/>
        <v>-0.21506887674331665</v>
      </c>
      <c r="P143" s="1498">
        <f t="shared" ref="P143" si="53">+P141-P139</f>
        <v>-0.18611860275268555</v>
      </c>
    </row>
    <row r="144" spans="1:20">
      <c r="A144" s="1698"/>
      <c r="B144" s="1698"/>
      <c r="C144" s="1698"/>
      <c r="D144" s="186"/>
      <c r="E144" s="186"/>
      <c r="F144" s="747"/>
      <c r="G144" s="747"/>
      <c r="H144" s="747"/>
      <c r="I144" s="747"/>
      <c r="J144" s="1735"/>
      <c r="K144" s="747"/>
      <c r="L144" s="747"/>
      <c r="M144" s="747"/>
      <c r="N144" s="747"/>
      <c r="P144" s="747"/>
    </row>
    <row r="145" spans="1:16">
      <c r="A145" s="1698"/>
      <c r="B145" s="1698"/>
      <c r="C145" s="1698"/>
      <c r="D145" s="186"/>
      <c r="E145" s="186"/>
      <c r="F145" s="747"/>
      <c r="G145" s="747"/>
      <c r="H145" s="747"/>
      <c r="I145" s="747"/>
      <c r="J145" s="1735"/>
      <c r="K145" s="747"/>
      <c r="L145" s="747"/>
      <c r="M145" s="747"/>
      <c r="N145" s="747"/>
      <c r="P145" s="747"/>
    </row>
    <row r="146" spans="1:16">
      <c r="A146" s="1698"/>
      <c r="B146" s="693"/>
      <c r="C146" s="693"/>
      <c r="D146" s="186"/>
      <c r="E146" s="186"/>
      <c r="F146" s="747"/>
      <c r="G146" s="747"/>
      <c r="H146" s="747"/>
      <c r="I146" s="747"/>
      <c r="J146" s="1735"/>
      <c r="K146" s="747"/>
      <c r="L146" s="747"/>
      <c r="M146" s="747"/>
      <c r="N146" s="747"/>
      <c r="P146" s="747"/>
    </row>
    <row r="147" spans="1:16">
      <c r="A147" s="1698"/>
      <c r="B147" s="693"/>
      <c r="C147" s="693"/>
      <c r="D147" s="186"/>
      <c r="E147" s="186"/>
      <c r="F147" s="747"/>
      <c r="G147" s="747"/>
      <c r="H147" s="747"/>
      <c r="I147" s="747"/>
      <c r="J147" s="1735"/>
      <c r="K147" s="747"/>
      <c r="L147" s="747"/>
      <c r="M147" s="747"/>
      <c r="N147" s="747"/>
      <c r="P147" s="747"/>
    </row>
    <row r="148" spans="1:16">
      <c r="A148" s="1698"/>
      <c r="B148" s="693"/>
      <c r="C148" s="693"/>
      <c r="D148" s="186"/>
      <c r="E148" s="186"/>
      <c r="F148" s="747"/>
      <c r="G148" s="747"/>
      <c r="H148" s="747"/>
      <c r="I148" s="747"/>
      <c r="J148" s="1735"/>
      <c r="K148" s="747"/>
      <c r="L148" s="747"/>
      <c r="M148" s="747"/>
      <c r="N148" s="747"/>
      <c r="P148" s="747"/>
    </row>
    <row r="149" spans="1:16">
      <c r="A149" s="1698"/>
      <c r="B149" s="693"/>
      <c r="C149" s="693"/>
      <c r="D149" s="186"/>
      <c r="E149" s="186"/>
      <c r="F149" s="747"/>
      <c r="G149" s="747"/>
      <c r="H149" s="747"/>
      <c r="I149" s="747"/>
      <c r="J149" s="1735"/>
      <c r="K149" s="747"/>
      <c r="L149" s="747"/>
      <c r="M149" s="747"/>
      <c r="N149" s="747"/>
      <c r="P149" s="747"/>
    </row>
    <row r="150" spans="1:16">
      <c r="A150" s="1698"/>
      <c r="B150" s="693"/>
      <c r="C150" s="693"/>
      <c r="D150" s="186"/>
      <c r="E150" s="186"/>
      <c r="F150" s="747"/>
      <c r="G150" s="747"/>
      <c r="H150" s="747"/>
      <c r="I150" s="747"/>
      <c r="J150" s="1735"/>
      <c r="K150" s="747"/>
      <c r="L150" s="747"/>
      <c r="M150" s="747"/>
      <c r="N150" s="747"/>
      <c r="P150" s="747"/>
    </row>
    <row r="151" spans="1:16">
      <c r="B151" s="693"/>
      <c r="C151" s="694"/>
    </row>
    <row r="152" spans="1:16">
      <c r="B152" s="694"/>
      <c r="C152" s="694"/>
    </row>
    <row r="153" spans="1:16">
      <c r="B153" s="694"/>
      <c r="C153" s="694"/>
      <c r="E153" s="1777"/>
    </row>
    <row r="154" spans="1:16">
      <c r="B154" s="694"/>
      <c r="C154" s="694"/>
    </row>
    <row r="155" spans="1:16">
      <c r="B155" s="694"/>
      <c r="C155" s="694"/>
    </row>
    <row r="156" spans="1:16">
      <c r="B156" s="694"/>
      <c r="C156" s="694"/>
    </row>
    <row r="157" spans="1:16">
      <c r="B157" s="694"/>
      <c r="C157" s="694"/>
    </row>
    <row r="158" spans="1:16">
      <c r="B158" s="694"/>
      <c r="C158" s="694"/>
    </row>
  </sheetData>
  <mergeCells count="19">
    <mergeCell ref="A1:I1"/>
    <mergeCell ref="A2:I2"/>
    <mergeCell ref="I4:I6"/>
    <mergeCell ref="A4:A6"/>
    <mergeCell ref="B4:B6"/>
    <mergeCell ref="D4:D6"/>
    <mergeCell ref="E4:E6"/>
    <mergeCell ref="C4:C6"/>
    <mergeCell ref="F4:H4"/>
    <mergeCell ref="F5:F6"/>
    <mergeCell ref="G5:G6"/>
    <mergeCell ref="A139:E139"/>
    <mergeCell ref="N4:N6"/>
    <mergeCell ref="K5:K6"/>
    <mergeCell ref="L5:L6"/>
    <mergeCell ref="P4:P6"/>
    <mergeCell ref="H5:H6"/>
    <mergeCell ref="M5:M6"/>
    <mergeCell ref="K4:M4"/>
  </mergeCells>
  <phoneticPr fontId="45" type="noConversion"/>
  <pageMargins left="0.7" right="0.7" top="0.75" bottom="0.75" header="0.3" footer="0.3"/>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theme="7" tint="0.59999389629810485"/>
  </sheetPr>
  <dimension ref="A1:I16"/>
  <sheetViews>
    <sheetView workbookViewId="0">
      <selection activeCell="G21" sqref="G21"/>
    </sheetView>
  </sheetViews>
  <sheetFormatPr baseColWidth="10" defaultRowHeight="15"/>
  <cols>
    <col min="2" max="2" width="46.42578125" customWidth="1"/>
    <col min="3" max="4" width="11.42578125" customWidth="1"/>
    <col min="5" max="7" width="13.7109375" customWidth="1"/>
  </cols>
  <sheetData>
    <row r="1" spans="1:9" s="1" customFormat="1" ht="12.75">
      <c r="A1" s="2409" t="s">
        <v>187</v>
      </c>
      <c r="B1" s="2409"/>
      <c r="C1" s="2409"/>
      <c r="D1" s="2409"/>
      <c r="E1" s="2409"/>
      <c r="F1" s="2409"/>
      <c r="G1" s="2409"/>
    </row>
    <row r="2" spans="1:9" s="1" customFormat="1" ht="12.75">
      <c r="A2" s="2311" t="s">
        <v>188</v>
      </c>
      <c r="B2" s="2311"/>
      <c r="C2" s="2311"/>
      <c r="D2" s="2311"/>
      <c r="E2" s="2311"/>
      <c r="F2" s="2311"/>
      <c r="G2" s="2311"/>
    </row>
    <row r="4" spans="1:9" ht="15.75" thickBot="1"/>
    <row r="5" spans="1:9" ht="15" customHeight="1" thickBot="1">
      <c r="A5" s="2312" t="s">
        <v>394</v>
      </c>
      <c r="B5" s="2368" t="s">
        <v>198</v>
      </c>
      <c r="C5" s="2445">
        <v>2022</v>
      </c>
      <c r="D5" s="2445"/>
      <c r="E5" s="2445"/>
      <c r="F5" s="2445"/>
      <c r="G5" s="2445"/>
    </row>
    <row r="6" spans="1:9" ht="15" customHeight="1" thickBot="1">
      <c r="A6" s="2312"/>
      <c r="B6" s="2368"/>
      <c r="C6" s="2339" t="s">
        <v>255</v>
      </c>
      <c r="D6" s="2312" t="s">
        <v>201</v>
      </c>
      <c r="E6" s="2368" t="s">
        <v>199</v>
      </c>
      <c r="F6" s="2368"/>
      <c r="G6" s="2312" t="s">
        <v>205</v>
      </c>
    </row>
    <row r="7" spans="1:9" ht="15.75" thickBot="1">
      <c r="A7" s="2312"/>
      <c r="B7" s="2368"/>
      <c r="C7" s="2339"/>
      <c r="D7" s="2312"/>
      <c r="E7" s="1112" t="s">
        <v>204</v>
      </c>
      <c r="F7" s="1112" t="s">
        <v>234</v>
      </c>
      <c r="G7" s="2312"/>
    </row>
    <row r="8" spans="1:9" ht="39" thickBot="1">
      <c r="A8" s="204">
        <v>3204048</v>
      </c>
      <c r="B8" s="539" t="s">
        <v>54</v>
      </c>
      <c r="C8" s="522" t="s">
        <v>215</v>
      </c>
      <c r="D8" s="522">
        <v>100</v>
      </c>
      <c r="E8" s="523">
        <f>+'ACCIONES 320401'!G7</f>
        <v>202185480.59200004</v>
      </c>
      <c r="F8" s="523">
        <f>+'ACCIONES 320401'!H7</f>
        <v>0</v>
      </c>
      <c r="G8" s="524">
        <f>+'ACCIONES 320401'!I7</f>
        <v>202185480.59200004</v>
      </c>
      <c r="I8" s="32">
        <f>+(E8+F8)-G8</f>
        <v>0</v>
      </c>
    </row>
    <row r="9" spans="1:9" ht="26.25" thickBot="1">
      <c r="B9" s="538" t="s">
        <v>314</v>
      </c>
      <c r="C9" s="518"/>
      <c r="D9" s="518"/>
      <c r="E9" s="540">
        <f>+'ACCIONES 320401'!G8</f>
        <v>202185480.59200004</v>
      </c>
      <c r="F9" s="540">
        <f>+'ACCIONES 320401'!H8</f>
        <v>0</v>
      </c>
      <c r="G9" s="520">
        <f>+'ACCIONES 320401'!I8</f>
        <v>202185480.59200004</v>
      </c>
      <c r="I9" s="32">
        <f t="shared" ref="I9:I11" si="0">+(E9+F9)-G9</f>
        <v>0</v>
      </c>
    </row>
    <row r="10" spans="1:9" ht="26.25" thickBot="1">
      <c r="A10" s="205">
        <v>3204055</v>
      </c>
      <c r="B10" s="525" t="s">
        <v>55</v>
      </c>
      <c r="C10" s="515" t="s">
        <v>215</v>
      </c>
      <c r="D10" s="596">
        <v>0.9</v>
      </c>
      <c r="E10" s="597">
        <f>+'ACCIONES 320401'!G26</f>
        <v>31424017</v>
      </c>
      <c r="F10" s="597">
        <f>+'ACCIONES 320401'!H26</f>
        <v>22020127.68</v>
      </c>
      <c r="G10" s="517">
        <f>+'ACCIONES 320401'!I26</f>
        <v>53444144.679999992</v>
      </c>
      <c r="I10" s="32">
        <f t="shared" si="0"/>
        <v>0</v>
      </c>
    </row>
    <row r="11" spans="1:9" ht="26.25" thickBot="1">
      <c r="B11" s="593" t="s">
        <v>315</v>
      </c>
      <c r="C11" s="449"/>
      <c r="D11" s="594"/>
      <c r="E11" s="595">
        <f>+'ACCIONES 320401'!G27</f>
        <v>31424017</v>
      </c>
      <c r="F11" s="595">
        <f>+'ACCIONES 320401'!H27</f>
        <v>22020127.68</v>
      </c>
      <c r="G11" s="133">
        <f>+'ACCIONES 320401'!I27</f>
        <v>53444144.679999992</v>
      </c>
      <c r="I11" s="32">
        <f t="shared" si="0"/>
        <v>0</v>
      </c>
    </row>
    <row r="12" spans="1:9" ht="16.5" thickBot="1">
      <c r="B12" s="2449" t="s">
        <v>278</v>
      </c>
      <c r="C12" s="2450"/>
      <c r="D12" s="2450"/>
      <c r="E12" s="1462">
        <f>+E10+E8</f>
        <v>233609497.59200004</v>
      </c>
      <c r="F12" s="1462">
        <f t="shared" ref="F12" si="1">+F10+F8</f>
        <v>22020127.68</v>
      </c>
      <c r="G12" s="1463">
        <f>+G10+G8</f>
        <v>255629625.27200001</v>
      </c>
    </row>
    <row r="13" spans="1:9" ht="15.75" thickBot="1"/>
    <row r="14" spans="1:9" ht="15.75" thickBot="1">
      <c r="E14" s="742">
        <f>246849786.84-13240289</f>
        <v>233609497.84</v>
      </c>
      <c r="F14" s="742">
        <f>30000000-7979872</f>
        <v>22020128</v>
      </c>
      <c r="G14" s="742">
        <v>255629625.84</v>
      </c>
    </row>
    <row r="16" spans="1:9">
      <c r="E16" s="32">
        <f>+E14-E12</f>
        <v>0.24799996614456177</v>
      </c>
      <c r="F16" s="32">
        <f t="shared" ref="F16:G16" si="2">+F14-F12</f>
        <v>0.32000000029802322</v>
      </c>
      <c r="G16" s="32">
        <f t="shared" si="2"/>
        <v>0.56799998879432678</v>
      </c>
    </row>
  </sheetData>
  <mergeCells count="10">
    <mergeCell ref="A1:G1"/>
    <mergeCell ref="A2:G2"/>
    <mergeCell ref="B12:D12"/>
    <mergeCell ref="B5:B7"/>
    <mergeCell ref="C5:G5"/>
    <mergeCell ref="E6:F6"/>
    <mergeCell ref="G6:G7"/>
    <mergeCell ref="C6:C7"/>
    <mergeCell ref="D6:D7"/>
    <mergeCell ref="A5:A7"/>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theme="7" tint="0.59999389629810485"/>
  </sheetPr>
  <dimension ref="A1:N42"/>
  <sheetViews>
    <sheetView topLeftCell="A22" workbookViewId="0">
      <selection activeCell="A15" sqref="A15"/>
    </sheetView>
  </sheetViews>
  <sheetFormatPr baseColWidth="10" defaultRowHeight="15"/>
  <cols>
    <col min="1" max="1" width="61" style="302" customWidth="1"/>
    <col min="2" max="2" width="18.7109375" style="302" hidden="1" customWidth="1"/>
    <col min="3" max="4" width="11.42578125" style="302" hidden="1" customWidth="1"/>
    <col min="5" max="6" width="11.42578125" style="404" hidden="1" customWidth="1"/>
    <col min="7" max="7" width="13.7109375" style="404" customWidth="1"/>
    <col min="8" max="8" width="13.140625" style="404" customWidth="1"/>
    <col min="9" max="9" width="19.140625" style="302" customWidth="1"/>
    <col min="10" max="16384" width="11.42578125" style="302"/>
  </cols>
  <sheetData>
    <row r="1" spans="1:14" s="1" customFormat="1" ht="12.75">
      <c r="A1" s="2409" t="s">
        <v>187</v>
      </c>
      <c r="B1" s="2409"/>
      <c r="C1" s="2409"/>
      <c r="D1" s="2409"/>
      <c r="E1" s="2409"/>
      <c r="F1" s="2409"/>
      <c r="G1" s="2409"/>
      <c r="H1" s="2409"/>
      <c r="I1" s="2409"/>
      <c r="J1" s="1663"/>
      <c r="N1" s="489"/>
    </row>
    <row r="2" spans="1:14" s="1" customFormat="1" ht="12.75">
      <c r="A2" s="2311" t="s">
        <v>188</v>
      </c>
      <c r="B2" s="2311"/>
      <c r="C2" s="2311"/>
      <c r="D2" s="2311"/>
      <c r="E2" s="2311"/>
      <c r="F2" s="2311"/>
      <c r="G2" s="2311"/>
      <c r="H2" s="2311"/>
      <c r="I2" s="2311"/>
      <c r="J2" s="1663"/>
      <c r="N2" s="488"/>
    </row>
    <row r="3" spans="1:14" ht="15.75" thickBot="1">
      <c r="I3" s="306"/>
      <c r="J3" s="1664"/>
      <c r="K3" s="418"/>
      <c r="L3" s="418"/>
      <c r="M3" s="418"/>
    </row>
    <row r="4" spans="1:14" ht="26.25" customHeight="1" thickBot="1">
      <c r="A4" s="2312" t="s">
        <v>446</v>
      </c>
      <c r="B4" s="2312" t="s">
        <v>447</v>
      </c>
      <c r="C4" s="2339" t="s">
        <v>231</v>
      </c>
      <c r="D4" s="2339" t="s">
        <v>876</v>
      </c>
      <c r="E4" s="2312" t="s">
        <v>448</v>
      </c>
      <c r="F4" s="2312" t="s">
        <v>201</v>
      </c>
      <c r="G4" s="2312" t="s">
        <v>199</v>
      </c>
      <c r="H4" s="2312"/>
      <c r="I4" s="2407" t="s">
        <v>352</v>
      </c>
      <c r="J4" s="1664"/>
      <c r="K4" s="418"/>
      <c r="L4" s="418"/>
      <c r="M4" s="418"/>
    </row>
    <row r="5" spans="1:14" ht="15" customHeight="1" thickBot="1">
      <c r="A5" s="2312"/>
      <c r="B5" s="2312"/>
      <c r="C5" s="2339"/>
      <c r="D5" s="2339"/>
      <c r="E5" s="2312"/>
      <c r="F5" s="2312"/>
      <c r="G5" s="2312" t="s">
        <v>233</v>
      </c>
      <c r="H5" s="2312" t="s">
        <v>234</v>
      </c>
      <c r="I5" s="2407"/>
      <c r="J5" s="1664"/>
      <c r="K5" s="418"/>
      <c r="L5" s="418"/>
      <c r="M5" s="418"/>
    </row>
    <row r="6" spans="1:14" ht="15.75" thickBot="1">
      <c r="A6" s="2330"/>
      <c r="B6" s="2330"/>
      <c r="C6" s="2395"/>
      <c r="D6" s="2395"/>
      <c r="E6" s="2330"/>
      <c r="F6" s="2330"/>
      <c r="G6" s="2330"/>
      <c r="H6" s="2330"/>
      <c r="I6" s="2408"/>
      <c r="J6" s="1664"/>
      <c r="K6" s="418"/>
      <c r="L6" s="418"/>
      <c r="M6" s="418"/>
    </row>
    <row r="7" spans="1:14" ht="26.25" thickBot="1">
      <c r="A7" s="539" t="s">
        <v>54</v>
      </c>
      <c r="B7" s="1226"/>
      <c r="C7" s="1226"/>
      <c r="D7" s="1226"/>
      <c r="E7" s="1288" t="s">
        <v>215</v>
      </c>
      <c r="F7" s="1288">
        <v>100</v>
      </c>
      <c r="G7" s="1289">
        <f t="shared" ref="G7:H7" si="0">+G8</f>
        <v>202185480.59200004</v>
      </c>
      <c r="H7" s="1289">
        <f t="shared" si="0"/>
        <v>0</v>
      </c>
      <c r="I7" s="1290">
        <f>+I8</f>
        <v>202185480.59200004</v>
      </c>
      <c r="J7" s="1664"/>
      <c r="K7" s="418"/>
      <c r="L7" s="418"/>
      <c r="M7" s="418"/>
    </row>
    <row r="8" spans="1:14" ht="38.25" customHeight="1">
      <c r="A8" s="1088" t="s">
        <v>314</v>
      </c>
      <c r="B8" s="1071"/>
      <c r="C8" s="1071"/>
      <c r="D8" s="1071"/>
      <c r="E8" s="1071"/>
      <c r="F8" s="1071"/>
      <c r="G8" s="1286">
        <f t="shared" ref="G8:H8" si="1">SUM(G9:G25)</f>
        <v>202185480.59200004</v>
      </c>
      <c r="H8" s="1286">
        <f t="shared" si="1"/>
        <v>0</v>
      </c>
      <c r="I8" s="1287">
        <f>SUM(I9:I25)</f>
        <v>202185480.59200004</v>
      </c>
    </row>
    <row r="9" spans="1:14" s="762" customFormat="1">
      <c r="A9" s="677" t="s">
        <v>704</v>
      </c>
      <c r="B9" s="1627" t="s">
        <v>237</v>
      </c>
      <c r="C9" s="30" t="s">
        <v>877</v>
      </c>
      <c r="D9" s="30" t="s">
        <v>878</v>
      </c>
      <c r="E9" s="1627" t="s">
        <v>705</v>
      </c>
      <c r="F9" s="1627">
        <v>2.5</v>
      </c>
      <c r="G9" s="300">
        <v>2185045.36</v>
      </c>
      <c r="H9" s="315"/>
      <c r="I9" s="356">
        <f>+G9</f>
        <v>2185045.36</v>
      </c>
    </row>
    <row r="10" spans="1:14" s="764" customFormat="1" ht="12.75">
      <c r="A10" s="677" t="s">
        <v>706</v>
      </c>
      <c r="B10" s="1627" t="s">
        <v>237</v>
      </c>
      <c r="C10" s="30" t="s">
        <v>877</v>
      </c>
      <c r="D10" s="30" t="s">
        <v>878</v>
      </c>
      <c r="E10" s="1627"/>
      <c r="F10" s="1627">
        <v>2.6</v>
      </c>
      <c r="G10" s="300">
        <v>2385845.36</v>
      </c>
      <c r="H10" s="315"/>
      <c r="I10" s="356">
        <f>+G10</f>
        <v>2385845.36</v>
      </c>
    </row>
    <row r="11" spans="1:14" s="764" customFormat="1" ht="12.75">
      <c r="A11" s="677"/>
      <c r="B11" s="683"/>
      <c r="C11" s="683"/>
      <c r="D11" s="683"/>
      <c r="E11" s="1627"/>
      <c r="F11" s="1627"/>
      <c r="G11" s="315"/>
      <c r="H11" s="315"/>
      <c r="I11" s="356">
        <f t="shared" ref="I11" si="2">1800000*1.004*1.05*F11</f>
        <v>0</v>
      </c>
    </row>
    <row r="12" spans="1:14" s="764" customFormat="1" ht="12.75">
      <c r="A12" s="677" t="s">
        <v>707</v>
      </c>
      <c r="B12" s="1627" t="s">
        <v>237</v>
      </c>
      <c r="C12" s="30" t="s">
        <v>877</v>
      </c>
      <c r="D12" s="30" t="s">
        <v>878</v>
      </c>
      <c r="E12" s="1627"/>
      <c r="F12" s="1627">
        <v>10</v>
      </c>
      <c r="G12" s="2114">
        <f>17009728-22048</f>
        <v>16987680</v>
      </c>
      <c r="H12" s="315"/>
      <c r="I12" s="356">
        <f>+G12</f>
        <v>16987680</v>
      </c>
      <c r="K12" s="642"/>
    </row>
    <row r="13" spans="1:14" s="762" customFormat="1">
      <c r="A13" s="677" t="s">
        <v>708</v>
      </c>
      <c r="B13" s="1627" t="s">
        <v>237</v>
      </c>
      <c r="C13" s="30" t="s">
        <v>877</v>
      </c>
      <c r="D13" s="30" t="s">
        <v>878</v>
      </c>
      <c r="E13" s="1627"/>
      <c r="F13" s="1627">
        <v>10</v>
      </c>
      <c r="G13" s="2114">
        <v>17009728</v>
      </c>
      <c r="H13" s="315"/>
      <c r="I13" s="356">
        <f>+G13</f>
        <v>17009728</v>
      </c>
    </row>
    <row r="14" spans="1:14" s="762" customFormat="1" ht="25.5" customHeight="1">
      <c r="A14" s="677" t="s">
        <v>708</v>
      </c>
      <c r="B14" s="1627" t="s">
        <v>237</v>
      </c>
      <c r="C14" s="30" t="s">
        <v>877</v>
      </c>
      <c r="D14" s="30" t="s">
        <v>878</v>
      </c>
      <c r="E14" s="1627"/>
      <c r="F14" s="1627">
        <v>3</v>
      </c>
      <c r="G14" s="772">
        <f>+I14</f>
        <v>8476514.3736000005</v>
      </c>
      <c r="H14" s="315"/>
      <c r="I14" s="356">
        <f>2691000*1.004*1.0458*F14</f>
        <v>8476514.3736000005</v>
      </c>
    </row>
    <row r="15" spans="1:14" s="764" customFormat="1" ht="12.75">
      <c r="A15" s="677" t="s">
        <v>1105</v>
      </c>
      <c r="B15" s="1627" t="s">
        <v>237</v>
      </c>
      <c r="C15" s="30" t="s">
        <v>877</v>
      </c>
      <c r="D15" s="30" t="s">
        <v>878</v>
      </c>
      <c r="E15" s="1627"/>
      <c r="F15" s="1627">
        <v>3</v>
      </c>
      <c r="G15" s="772">
        <v>4853778.28</v>
      </c>
      <c r="H15" s="315"/>
      <c r="I15" s="356">
        <f>+G15</f>
        <v>4853778.28</v>
      </c>
      <c r="J15" s="642"/>
    </row>
    <row r="16" spans="1:14" s="764" customFormat="1" ht="16.5" customHeight="1">
      <c r="A16" s="677" t="s">
        <v>709</v>
      </c>
      <c r="B16" s="1627" t="s">
        <v>237</v>
      </c>
      <c r="C16" s="30" t="s">
        <v>877</v>
      </c>
      <c r="D16" s="30" t="s">
        <v>878</v>
      </c>
      <c r="E16" s="1627"/>
      <c r="F16" s="1627">
        <v>8</v>
      </c>
      <c r="G16" s="2114">
        <f>+I16</f>
        <v>27719556.48</v>
      </c>
      <c r="H16" s="315"/>
      <c r="I16" s="356">
        <f>3300000*1.004*1.0458*F16</f>
        <v>27719556.48</v>
      </c>
    </row>
    <row r="17" spans="1:12" s="764" customFormat="1" ht="18.75" customHeight="1">
      <c r="A17" s="677" t="s">
        <v>710</v>
      </c>
      <c r="B17" s="1627" t="s">
        <v>237</v>
      </c>
      <c r="C17" s="30" t="s">
        <v>877</v>
      </c>
      <c r="D17" s="30" t="s">
        <v>878</v>
      </c>
      <c r="E17" s="1627"/>
      <c r="F17" s="1627">
        <v>10</v>
      </c>
      <c r="G17" s="2114">
        <v>2206742</v>
      </c>
      <c r="H17" s="315"/>
      <c r="I17" s="356">
        <f>+G17</f>
        <v>2206742</v>
      </c>
      <c r="J17" s="642"/>
    </row>
    <row r="18" spans="1:12" s="762" customFormat="1">
      <c r="A18" s="677" t="s">
        <v>1188</v>
      </c>
      <c r="B18" s="683"/>
      <c r="C18" s="683"/>
      <c r="D18" s="30" t="s">
        <v>878</v>
      </c>
      <c r="E18" s="1627"/>
      <c r="F18" s="1627"/>
      <c r="G18" s="2115">
        <f>5669909-5669909</f>
        <v>0</v>
      </c>
      <c r="H18" s="315"/>
      <c r="I18" s="356">
        <f>+G18</f>
        <v>0</v>
      </c>
    </row>
    <row r="19" spans="1:12" s="762" customFormat="1">
      <c r="A19" s="677" t="s">
        <v>711</v>
      </c>
      <c r="B19" s="1627" t="s">
        <v>237</v>
      </c>
      <c r="C19" s="30" t="s">
        <v>877</v>
      </c>
      <c r="D19" s="30" t="s">
        <v>878</v>
      </c>
      <c r="E19" s="1627"/>
      <c r="F19" s="1627">
        <v>8</v>
      </c>
      <c r="G19" s="2114">
        <f>+I19</f>
        <v>27719556.48</v>
      </c>
      <c r="H19" s="315"/>
      <c r="I19" s="356">
        <f>3300000*1.004*1.0458*F19</f>
        <v>27719556.48</v>
      </c>
      <c r="K19" s="1871"/>
    </row>
    <row r="20" spans="1:12" s="762" customFormat="1">
      <c r="A20" s="677" t="s">
        <v>712</v>
      </c>
      <c r="B20" s="1627" t="s">
        <v>237</v>
      </c>
      <c r="C20" s="30" t="s">
        <v>877</v>
      </c>
      <c r="D20" s="30" t="s">
        <v>878</v>
      </c>
      <c r="E20" s="1627"/>
      <c r="F20" s="1627">
        <v>2</v>
      </c>
      <c r="G20" s="2114">
        <v>2298616</v>
      </c>
      <c r="H20" s="315"/>
      <c r="I20" s="356">
        <f>+G20</f>
        <v>2298616</v>
      </c>
    </row>
    <row r="21" spans="1:12" s="762" customFormat="1">
      <c r="A21" s="677" t="s">
        <v>1167</v>
      </c>
      <c r="B21" s="1627" t="s">
        <v>237</v>
      </c>
      <c r="C21" s="30" t="s">
        <v>877</v>
      </c>
      <c r="D21" s="30" t="s">
        <v>878</v>
      </c>
      <c r="E21" s="1627"/>
      <c r="F21" s="1627">
        <v>2</v>
      </c>
      <c r="G21" s="772">
        <f>2695821+22048</f>
        <v>2717869</v>
      </c>
      <c r="H21" s="315"/>
      <c r="I21" s="356">
        <f>+G21</f>
        <v>2717869</v>
      </c>
      <c r="K21" s="1871"/>
    </row>
    <row r="22" spans="1:12" s="762" customFormat="1">
      <c r="A22" s="677" t="s">
        <v>1188</v>
      </c>
      <c r="B22" s="1627"/>
      <c r="C22" s="30"/>
      <c r="D22" s="30" t="s">
        <v>878</v>
      </c>
      <c r="E22" s="1627"/>
      <c r="F22" s="1627">
        <v>3</v>
      </c>
      <c r="G22" s="772">
        <v>5669909.2800000003</v>
      </c>
      <c r="H22" s="315"/>
      <c r="I22" s="356">
        <f>+G22</f>
        <v>5669909.2800000003</v>
      </c>
    </row>
    <row r="23" spans="1:12" s="762" customFormat="1">
      <c r="A23" s="677" t="s">
        <v>713</v>
      </c>
      <c r="B23" s="1627" t="s">
        <v>237</v>
      </c>
      <c r="C23" s="30" t="s">
        <v>877</v>
      </c>
      <c r="D23" s="30" t="s">
        <v>878</v>
      </c>
      <c r="E23" s="1627"/>
      <c r="F23" s="1627">
        <v>10</v>
      </c>
      <c r="G23" s="445">
        <f>+I23</f>
        <v>63477305</v>
      </c>
      <c r="H23" s="315"/>
      <c r="I23" s="356">
        <v>63477305</v>
      </c>
    </row>
    <row r="24" spans="1:12" s="762" customFormat="1">
      <c r="A24" s="677" t="s">
        <v>714</v>
      </c>
      <c r="B24" s="1627" t="s">
        <v>237</v>
      </c>
      <c r="C24" s="30" t="s">
        <v>877</v>
      </c>
      <c r="D24" s="30" t="s">
        <v>878</v>
      </c>
      <c r="E24" s="1627"/>
      <c r="F24" s="1627">
        <v>8</v>
      </c>
      <c r="G24" s="300">
        <v>12694295</v>
      </c>
      <c r="H24" s="315"/>
      <c r="I24" s="356">
        <f>+G24</f>
        <v>12694295</v>
      </c>
      <c r="K24" s="1871"/>
      <c r="L24" s="1871"/>
    </row>
    <row r="25" spans="1:12" s="762" customFormat="1" ht="15.75" thickBot="1">
      <c r="A25" s="760" t="s">
        <v>1050</v>
      </c>
      <c r="B25" s="1627" t="s">
        <v>237</v>
      </c>
      <c r="C25" s="30" t="s">
        <v>877</v>
      </c>
      <c r="D25" s="30" t="s">
        <v>878</v>
      </c>
      <c r="E25" s="21"/>
      <c r="F25" s="1627">
        <v>2</v>
      </c>
      <c r="G25" s="445">
        <v>5783039.9784000199</v>
      </c>
      <c r="H25" s="633"/>
      <c r="I25" s="356">
        <f>+G25</f>
        <v>5783039.9784000199</v>
      </c>
      <c r="J25" s="1871"/>
    </row>
    <row r="26" spans="1:12" ht="26.25" thickBot="1">
      <c r="A26" s="525" t="s">
        <v>55</v>
      </c>
      <c r="B26" s="1279"/>
      <c r="C26" s="1279"/>
      <c r="D26" s="1279"/>
      <c r="E26" s="1280" t="s">
        <v>215</v>
      </c>
      <c r="F26" s="1280">
        <v>90</v>
      </c>
      <c r="G26" s="1291">
        <f t="shared" ref="G26:H26" si="3">+G27</f>
        <v>31424017</v>
      </c>
      <c r="H26" s="1291">
        <f t="shared" si="3"/>
        <v>22020127.68</v>
      </c>
      <c r="I26" s="1292">
        <f>+I27</f>
        <v>53444144.679999992</v>
      </c>
    </row>
    <row r="27" spans="1:12">
      <c r="A27" s="1088" t="s">
        <v>315</v>
      </c>
      <c r="B27" s="1071"/>
      <c r="C27" s="1071"/>
      <c r="D27" s="1071"/>
      <c r="E27" s="1071"/>
      <c r="F27" s="1071"/>
      <c r="G27" s="1286">
        <f t="shared" ref="G27:H27" si="4">SUM(G28:G32)</f>
        <v>31424017</v>
      </c>
      <c r="H27" s="1286">
        <f t="shared" si="4"/>
        <v>22020127.68</v>
      </c>
      <c r="I27" s="1287">
        <f>SUM(I28:I32)</f>
        <v>53444144.679999992</v>
      </c>
    </row>
    <row r="28" spans="1:12">
      <c r="A28" s="312" t="s">
        <v>715</v>
      </c>
      <c r="B28" s="25">
        <v>7490</v>
      </c>
      <c r="C28" s="432" t="s">
        <v>877</v>
      </c>
      <c r="D28" s="432" t="s">
        <v>878</v>
      </c>
      <c r="E28" s="17"/>
      <c r="F28" s="17">
        <v>10</v>
      </c>
      <c r="G28" s="301">
        <v>31424017</v>
      </c>
      <c r="H28" s="300">
        <v>8160349.4399999976</v>
      </c>
      <c r="I28" s="356">
        <f>+H28+G28</f>
        <v>39584366.439999998</v>
      </c>
    </row>
    <row r="29" spans="1:12" s="762" customFormat="1">
      <c r="A29" s="677" t="s">
        <v>714</v>
      </c>
      <c r="B29" s="761">
        <v>7490</v>
      </c>
      <c r="C29" s="30" t="s">
        <v>877</v>
      </c>
      <c r="D29" s="30" t="s">
        <v>878</v>
      </c>
      <c r="E29" s="1627"/>
      <c r="F29" s="1627">
        <v>2</v>
      </c>
      <c r="G29" s="315"/>
      <c r="H29" s="300">
        <f>7979872-7979872</f>
        <v>0</v>
      </c>
      <c r="I29" s="356">
        <f>+H29</f>
        <v>0</v>
      </c>
    </row>
    <row r="30" spans="1:12">
      <c r="A30" s="297" t="s">
        <v>709</v>
      </c>
      <c r="B30" s="25">
        <v>7490</v>
      </c>
      <c r="C30" s="432" t="s">
        <v>877</v>
      </c>
      <c r="D30" s="432" t="s">
        <v>878</v>
      </c>
      <c r="E30" s="17"/>
      <c r="F30" s="17">
        <v>2</v>
      </c>
      <c r="G30" s="315"/>
      <c r="H30" s="300">
        <f>+I30</f>
        <v>6929889.1200000001</v>
      </c>
      <c r="I30" s="356">
        <f>3300000*1.004*1.0458*F30</f>
        <v>6929889.1200000001</v>
      </c>
    </row>
    <row r="31" spans="1:12">
      <c r="A31" s="297" t="s">
        <v>711</v>
      </c>
      <c r="B31" s="25">
        <v>7490</v>
      </c>
      <c r="C31" s="432" t="s">
        <v>877</v>
      </c>
      <c r="D31" s="432" t="s">
        <v>878</v>
      </c>
      <c r="E31" s="17"/>
      <c r="F31" s="17">
        <v>2</v>
      </c>
      <c r="G31" s="315"/>
      <c r="H31" s="300">
        <f>+I31</f>
        <v>6929889.1200000001</v>
      </c>
      <c r="I31" s="356">
        <f>3300000*1.004*1.0458*F31</f>
        <v>6929889.1200000001</v>
      </c>
    </row>
    <row r="32" spans="1:12" ht="15.75" thickBot="1">
      <c r="A32" s="55"/>
      <c r="B32" s="487"/>
      <c r="C32" s="487"/>
      <c r="D32" s="487"/>
      <c r="E32" s="21"/>
      <c r="F32" s="21"/>
      <c r="G32" s="633"/>
      <c r="H32" s="633"/>
      <c r="I32" s="634"/>
    </row>
    <row r="33" spans="1:9" ht="21" customHeight="1" thickBot="1">
      <c r="A33" s="2404" t="s">
        <v>10</v>
      </c>
      <c r="B33" s="2405"/>
      <c r="C33" s="2405"/>
      <c r="D33" s="2405"/>
      <c r="E33" s="2405"/>
      <c r="F33" s="2406"/>
      <c r="G33" s="1438">
        <f>+G26+G7</f>
        <v>233609497.59200004</v>
      </c>
      <c r="H33" s="1438">
        <f>+H26+H7</f>
        <v>22020127.68</v>
      </c>
      <c r="I33" s="1439">
        <f>+I26+I7</f>
        <v>255629625.27200001</v>
      </c>
    </row>
    <row r="34" spans="1:9" ht="15.75" thickBot="1">
      <c r="I34" s="306"/>
    </row>
    <row r="35" spans="1:9" ht="15.75" thickBot="1">
      <c r="E35" s="453"/>
      <c r="F35" s="453"/>
      <c r="G35" s="742">
        <f>246849786.84-13240289</f>
        <v>233609497.84</v>
      </c>
      <c r="H35" s="742">
        <f>30000000-7979872</f>
        <v>22020128</v>
      </c>
      <c r="I35" s="742">
        <v>255629625.84</v>
      </c>
    </row>
    <row r="37" spans="1:9">
      <c r="G37" s="307">
        <f>+G35-G33</f>
        <v>0.24799996614456177</v>
      </c>
      <c r="H37" s="307">
        <f t="shared" ref="H37:I37" si="5">+H35-H33</f>
        <v>0.32000000029802322</v>
      </c>
      <c r="I37" s="307">
        <f t="shared" si="5"/>
        <v>0.56799998879432678</v>
      </c>
    </row>
    <row r="42" spans="1:9">
      <c r="D42" s="306"/>
    </row>
  </sheetData>
  <mergeCells count="13">
    <mergeCell ref="A33:F33"/>
    <mergeCell ref="A1:I1"/>
    <mergeCell ref="A2:I2"/>
    <mergeCell ref="G5:G6"/>
    <mergeCell ref="H5:H6"/>
    <mergeCell ref="G4:H4"/>
    <mergeCell ref="I4:I6"/>
    <mergeCell ref="A4:A6"/>
    <mergeCell ref="B4:B6"/>
    <mergeCell ref="E4:E6"/>
    <mergeCell ref="F4:F6"/>
    <mergeCell ref="D4:D6"/>
    <mergeCell ref="C4:C6"/>
  </mergeCells>
  <pageMargins left="0.7" right="0.7" top="0.75" bottom="0.75" header="0.3" footer="0.3"/>
  <pageSetup orientation="portrait" verticalDpi="597"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8">
    <tabColor theme="7" tint="0.59999389629810485"/>
  </sheetPr>
  <dimension ref="A1:L16"/>
  <sheetViews>
    <sheetView zoomScale="80" zoomScaleNormal="80" workbookViewId="0">
      <selection activeCell="J7" sqref="J7"/>
    </sheetView>
  </sheetViews>
  <sheetFormatPr baseColWidth="10" defaultRowHeight="15"/>
  <cols>
    <col min="2" max="2" width="41.140625" customWidth="1"/>
    <col min="3" max="10" width="15.7109375" customWidth="1"/>
    <col min="11" max="11" width="6.42578125" customWidth="1"/>
    <col min="12" max="12" width="13" customWidth="1"/>
  </cols>
  <sheetData>
    <row r="1" spans="1:12" s="65" customFormat="1" ht="15.75" customHeight="1">
      <c r="A1" s="2453" t="s">
        <v>903</v>
      </c>
      <c r="B1" s="2453"/>
      <c r="C1" s="2453"/>
      <c r="D1" s="2453"/>
      <c r="E1" s="2453"/>
      <c r="F1" s="2453"/>
      <c r="G1" s="2453"/>
      <c r="H1" s="2453"/>
      <c r="I1" s="2453"/>
      <c r="J1" s="2453"/>
    </row>
    <row r="2" spans="1:12" s="65" customFormat="1" ht="15" customHeight="1">
      <c r="A2" s="2453" t="s">
        <v>722</v>
      </c>
      <c r="B2" s="2453"/>
      <c r="C2" s="2453"/>
      <c r="D2" s="2453"/>
      <c r="E2" s="2453"/>
      <c r="F2" s="2453"/>
      <c r="G2" s="2453"/>
      <c r="H2" s="2453"/>
      <c r="I2" s="2453"/>
      <c r="J2" s="2453"/>
    </row>
    <row r="3" spans="1:12" ht="15.75" thickBot="1"/>
    <row r="4" spans="1:12" ht="15" customHeight="1" thickBot="1">
      <c r="A4" s="2312" t="s">
        <v>394</v>
      </c>
      <c r="B4" s="2346" t="s">
        <v>198</v>
      </c>
      <c r="C4" s="2339">
        <v>2022</v>
      </c>
      <c r="D4" s="2339"/>
      <c r="E4" s="2339"/>
      <c r="F4" s="2339"/>
      <c r="G4" s="2339"/>
      <c r="H4" s="2339"/>
      <c r="I4" s="2339"/>
      <c r="J4" s="2339"/>
    </row>
    <row r="5" spans="1:12" ht="15.75" thickBot="1">
      <c r="A5" s="2312"/>
      <c r="B5" s="2346"/>
      <c r="C5" s="2339" t="s">
        <v>200</v>
      </c>
      <c r="D5" s="2339" t="s">
        <v>201</v>
      </c>
      <c r="E5" s="1059" t="s">
        <v>254</v>
      </c>
      <c r="F5" s="1997"/>
      <c r="G5" s="1997"/>
      <c r="H5" s="1997"/>
      <c r="I5" s="1997"/>
      <c r="J5" s="2347" t="s">
        <v>205</v>
      </c>
    </row>
    <row r="6" spans="1:12" ht="26.25" thickBot="1">
      <c r="A6" s="2312"/>
      <c r="B6" s="2346"/>
      <c r="C6" s="2339"/>
      <c r="D6" s="2339"/>
      <c r="E6" s="1059" t="s">
        <v>233</v>
      </c>
      <c r="F6" s="1997" t="s">
        <v>1194</v>
      </c>
      <c r="G6" s="1997" t="s">
        <v>1195</v>
      </c>
      <c r="H6" s="1997" t="s">
        <v>1196</v>
      </c>
      <c r="I6" s="1997" t="s">
        <v>1193</v>
      </c>
      <c r="J6" s="2347"/>
    </row>
    <row r="7" spans="1:12" ht="77.25" thickBot="1">
      <c r="A7" s="194">
        <v>3205022</v>
      </c>
      <c r="B7" s="454" t="s">
        <v>1</v>
      </c>
      <c r="C7" s="455" t="s">
        <v>215</v>
      </c>
      <c r="D7" s="455">
        <v>100</v>
      </c>
      <c r="E7" s="456">
        <f>+'ACCIONES 320501'!I7</f>
        <v>238838230.06400001</v>
      </c>
      <c r="F7" s="456">
        <f>+'ACCIONES 320501'!J7</f>
        <v>8364592</v>
      </c>
      <c r="G7" s="456">
        <f>+'ACCIONES 320501'!K7</f>
        <v>146993465</v>
      </c>
      <c r="H7" s="456">
        <f>+'ACCIONES 320501'!L7</f>
        <v>42510181</v>
      </c>
      <c r="I7" s="456">
        <f>+'ACCIONES 320501'!M7</f>
        <v>57871024</v>
      </c>
      <c r="J7" s="457">
        <f>+'ACCIONES 320501'!N7</f>
        <v>494577492.06400001</v>
      </c>
      <c r="L7" s="663"/>
    </row>
    <row r="8" spans="1:12" ht="26.25" thickBot="1">
      <c r="B8" s="458" t="s">
        <v>316</v>
      </c>
      <c r="C8" s="459" t="s">
        <v>210</v>
      </c>
      <c r="D8" s="459">
        <v>1</v>
      </c>
      <c r="E8" s="460">
        <f>+'ACCIONES 320501'!I8</f>
        <v>238838230.06400001</v>
      </c>
      <c r="F8" s="460">
        <f>+'ACCIONES 320501'!J8</f>
        <v>8364592</v>
      </c>
      <c r="G8" s="460">
        <f>+'ACCIONES 320501'!K8</f>
        <v>146993465</v>
      </c>
      <c r="H8" s="460">
        <f>+'ACCIONES 320501'!L8</f>
        <v>42510181</v>
      </c>
      <c r="I8" s="460">
        <f>+'ACCIONES 320501'!M8</f>
        <v>57871024</v>
      </c>
      <c r="J8" s="461">
        <f>+'ACCIONES 320501'!N8</f>
        <v>494577492.06400001</v>
      </c>
      <c r="L8" s="663"/>
    </row>
    <row r="9" spans="1:12" ht="26.25" thickBot="1">
      <c r="A9" s="215">
        <v>3202008</v>
      </c>
      <c r="B9" s="462" t="s">
        <v>241</v>
      </c>
      <c r="C9" s="463" t="s">
        <v>210</v>
      </c>
      <c r="D9" s="463">
        <v>1</v>
      </c>
      <c r="E9" s="464">
        <f>+'ACCIONES 320501'!I15</f>
        <v>101951458.936</v>
      </c>
      <c r="F9" s="464">
        <f>+'ACCIONES 320501'!J15</f>
        <v>0</v>
      </c>
      <c r="G9" s="464">
        <f>+'ACCIONES 320501'!K15</f>
        <v>0</v>
      </c>
      <c r="H9" s="464">
        <f>+'ACCIONES 320501'!L15</f>
        <v>0</v>
      </c>
      <c r="I9" s="464">
        <f>+'ACCIONES 320501'!M15</f>
        <v>0</v>
      </c>
      <c r="J9" s="465">
        <f>+'ACCIONES 320501'!N15</f>
        <v>101951458.936</v>
      </c>
      <c r="L9" s="663"/>
    </row>
    <row r="10" spans="1:12" ht="38.25">
      <c r="B10" s="51" t="s">
        <v>317</v>
      </c>
      <c r="C10" s="126" t="s">
        <v>210</v>
      </c>
      <c r="D10" s="126">
        <v>1</v>
      </c>
      <c r="E10" s="466">
        <f>+'ACCIONES 320501'!I16</f>
        <v>16635077.936000001</v>
      </c>
      <c r="F10" s="466">
        <f>+'ACCIONES 320501'!J16</f>
        <v>0</v>
      </c>
      <c r="G10" s="466">
        <f>+'ACCIONES 320501'!K16</f>
        <v>0</v>
      </c>
      <c r="H10" s="466">
        <f>+'ACCIONES 320501'!L16</f>
        <v>0</v>
      </c>
      <c r="I10" s="466">
        <f>+'ACCIONES 320501'!M16</f>
        <v>0</v>
      </c>
      <c r="J10" s="467">
        <f>+'ACCIONES 320501'!N16</f>
        <v>16635077.936000001</v>
      </c>
      <c r="L10" s="663"/>
    </row>
    <row r="11" spans="1:12" ht="15.75" thickBot="1">
      <c r="B11" s="176" t="s">
        <v>228</v>
      </c>
      <c r="C11" s="171" t="s">
        <v>210</v>
      </c>
      <c r="D11" s="171">
        <v>1</v>
      </c>
      <c r="E11" s="342">
        <f>+'ACCIONES 320501'!I19</f>
        <v>85316381</v>
      </c>
      <c r="F11" s="342">
        <f>+'ACCIONES 320501'!J19</f>
        <v>0</v>
      </c>
      <c r="G11" s="342">
        <f>+'ACCIONES 320501'!K19</f>
        <v>0</v>
      </c>
      <c r="H11" s="342">
        <f>+'ACCIONES 320501'!L19</f>
        <v>0</v>
      </c>
      <c r="I11" s="342">
        <f>+'ACCIONES 320501'!M19</f>
        <v>0</v>
      </c>
      <c r="J11" s="343">
        <f>+'ACCIONES 320501'!N19</f>
        <v>85316381</v>
      </c>
      <c r="L11" s="663"/>
    </row>
    <row r="12" spans="1:12" ht="15.75" thickBot="1">
      <c r="B12" s="2451" t="s">
        <v>10</v>
      </c>
      <c r="C12" s="2452"/>
      <c r="D12" s="2452"/>
      <c r="E12" s="1464">
        <f>+E9+E7</f>
        <v>340789689</v>
      </c>
      <c r="F12" s="1464">
        <f t="shared" ref="F12:I12" si="0">+F9+F7</f>
        <v>8364592</v>
      </c>
      <c r="G12" s="1464">
        <f t="shared" si="0"/>
        <v>146993465</v>
      </c>
      <c r="H12" s="1464">
        <f t="shared" si="0"/>
        <v>42510181</v>
      </c>
      <c r="I12" s="1464">
        <f t="shared" si="0"/>
        <v>57871024</v>
      </c>
      <c r="J12" s="1465">
        <f>+J9+J7</f>
        <v>596528951</v>
      </c>
      <c r="L12" s="663"/>
    </row>
    <row r="13" spans="1:12" ht="15.75" thickBot="1"/>
    <row r="14" spans="1:12" ht="15.75" thickBot="1">
      <c r="E14" s="1503">
        <v>340789689</v>
      </c>
      <c r="F14" s="2006">
        <v>8364592</v>
      </c>
      <c r="G14" s="2006">
        <v>146993465</v>
      </c>
      <c r="H14" s="2006">
        <v>42510181</v>
      </c>
      <c r="I14" s="2006">
        <v>57871024</v>
      </c>
      <c r="J14" s="2011">
        <v>596528951</v>
      </c>
    </row>
    <row r="16" spans="1:12">
      <c r="E16" s="134">
        <f>+E14-E12</f>
        <v>0</v>
      </c>
      <c r="F16" s="134"/>
      <c r="G16" s="134"/>
      <c r="H16" s="134"/>
      <c r="I16" s="134"/>
      <c r="J16" s="134">
        <f>+J14-J12</f>
        <v>0</v>
      </c>
    </row>
  </sheetData>
  <mergeCells count="9">
    <mergeCell ref="B12:D12"/>
    <mergeCell ref="A1:J1"/>
    <mergeCell ref="A2:J2"/>
    <mergeCell ref="B4:B6"/>
    <mergeCell ref="C4:J4"/>
    <mergeCell ref="C5:C6"/>
    <mergeCell ref="D5:D6"/>
    <mergeCell ref="J5:J6"/>
    <mergeCell ref="A4:A6"/>
  </mergeCells>
  <pageMargins left="0.7" right="0.7" top="0.75" bottom="0.75" header="0.3" footer="0.3"/>
  <pageSetup paperSize="9" orientation="portrait" verticalDpi="597"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9">
    <tabColor theme="7" tint="0.59999389629810485"/>
  </sheetPr>
  <dimension ref="A1:AI33"/>
  <sheetViews>
    <sheetView workbookViewId="0">
      <selection activeCell="A32" sqref="A32"/>
    </sheetView>
  </sheetViews>
  <sheetFormatPr baseColWidth="10" defaultRowHeight="15"/>
  <cols>
    <col min="1" max="1" width="41.140625" customWidth="1"/>
    <col min="2" max="2" width="16.42578125" customWidth="1"/>
    <col min="3" max="3" width="16.42578125" hidden="1" customWidth="1"/>
    <col min="4" max="4" width="15.7109375" hidden="1" customWidth="1"/>
    <col min="5" max="6" width="15.7109375" style="406" hidden="1" customWidth="1"/>
    <col min="7" max="8" width="15.7109375" hidden="1" customWidth="1"/>
    <col min="9" max="11" width="15.7109375" customWidth="1"/>
    <col min="12" max="12" width="19.7109375" customWidth="1"/>
    <col min="13" max="13" width="15.7109375" customWidth="1"/>
    <col min="14" max="14" width="20.28515625" customWidth="1"/>
    <col min="15" max="15" width="17.7109375" customWidth="1"/>
  </cols>
  <sheetData>
    <row r="1" spans="1:35" s="1" customFormat="1" ht="12.75">
      <c r="A1" s="2311" t="s">
        <v>903</v>
      </c>
      <c r="B1" s="2311"/>
      <c r="C1" s="2311"/>
      <c r="D1" s="2311"/>
      <c r="E1" s="2311"/>
      <c r="F1" s="2311"/>
      <c r="G1" s="2311"/>
      <c r="H1" s="2311"/>
      <c r="O1" s="1663"/>
    </row>
    <row r="2" spans="1:35" s="1" customFormat="1" ht="15" customHeight="1">
      <c r="A2" s="2311" t="s">
        <v>722</v>
      </c>
      <c r="B2" s="2311"/>
      <c r="C2" s="2311"/>
      <c r="D2" s="2311"/>
      <c r="E2" s="2311"/>
      <c r="F2" s="2311"/>
      <c r="G2" s="2311"/>
      <c r="H2" s="2311"/>
      <c r="O2" s="1663"/>
    </row>
    <row r="3" spans="1:35" ht="15.75" thickBot="1">
      <c r="G3" s="406"/>
      <c r="O3" s="1664"/>
      <c r="P3" s="418"/>
      <c r="Q3" s="418"/>
      <c r="R3" s="418"/>
      <c r="S3" s="1"/>
    </row>
    <row r="4" spans="1:35" ht="25.5" customHeight="1" thickBot="1">
      <c r="A4" s="2312" t="s">
        <v>446</v>
      </c>
      <c r="B4" s="2312" t="s">
        <v>447</v>
      </c>
      <c r="C4" s="2312" t="s">
        <v>865</v>
      </c>
      <c r="D4" s="2312" t="s">
        <v>448</v>
      </c>
      <c r="E4" s="2312" t="s">
        <v>201</v>
      </c>
      <c r="F4" s="2312" t="s">
        <v>232</v>
      </c>
      <c r="G4" s="2312" t="s">
        <v>861</v>
      </c>
      <c r="H4" s="2312" t="s">
        <v>864</v>
      </c>
      <c r="I4" s="2308" t="s">
        <v>199</v>
      </c>
      <c r="J4" s="2309"/>
      <c r="K4" s="2309"/>
      <c r="L4" s="2309"/>
      <c r="M4" s="2310"/>
      <c r="N4" s="2312" t="s">
        <v>352</v>
      </c>
      <c r="O4" s="1664"/>
      <c r="P4" s="418"/>
      <c r="Q4" s="418"/>
      <c r="R4" s="418"/>
      <c r="S4" s="1"/>
    </row>
    <row r="5" spans="1:35" ht="15" customHeight="1" thickBot="1">
      <c r="A5" s="2312"/>
      <c r="B5" s="2312"/>
      <c r="C5" s="2312"/>
      <c r="D5" s="2312"/>
      <c r="E5" s="2312"/>
      <c r="F5" s="2312"/>
      <c r="G5" s="2312"/>
      <c r="H5" s="2312"/>
      <c r="I5" s="2312" t="s">
        <v>204</v>
      </c>
      <c r="J5" s="2330" t="s">
        <v>234</v>
      </c>
      <c r="K5" s="2330" t="s">
        <v>202</v>
      </c>
      <c r="L5" s="2330" t="s">
        <v>1192</v>
      </c>
      <c r="M5" s="2330" t="s">
        <v>1193</v>
      </c>
      <c r="N5" s="2312"/>
      <c r="O5" s="1664"/>
      <c r="P5" s="418"/>
      <c r="Q5" s="418"/>
      <c r="R5" s="418"/>
      <c r="S5" s="1"/>
    </row>
    <row r="6" spans="1:35" ht="15.75" thickBot="1">
      <c r="A6" s="2312"/>
      <c r="B6" s="2312"/>
      <c r="C6" s="2312"/>
      <c r="D6" s="2312"/>
      <c r="E6" s="2312"/>
      <c r="F6" s="2312"/>
      <c r="G6" s="2312"/>
      <c r="H6" s="2312"/>
      <c r="I6" s="2312"/>
      <c r="J6" s="2331"/>
      <c r="K6" s="2331"/>
      <c r="L6" s="2331"/>
      <c r="M6" s="2331"/>
      <c r="N6" s="2312"/>
      <c r="O6" s="1664"/>
      <c r="P6" s="418"/>
      <c r="Q6" s="418"/>
      <c r="R6" s="418"/>
      <c r="S6" s="1"/>
    </row>
    <row r="7" spans="1:35" ht="77.25" thickBot="1">
      <c r="A7" s="454" t="s">
        <v>1</v>
      </c>
      <c r="B7" s="1074"/>
      <c r="C7" s="1074"/>
      <c r="D7" s="1100" t="s">
        <v>215</v>
      </c>
      <c r="E7" s="1100">
        <v>100</v>
      </c>
      <c r="F7" s="1100"/>
      <c r="G7" s="1100"/>
      <c r="H7" s="1100"/>
      <c r="I7" s="1294">
        <f>+I8</f>
        <v>238838230.06400001</v>
      </c>
      <c r="J7" s="1294">
        <f t="shared" ref="J7:M7" si="0">+J8</f>
        <v>8364592</v>
      </c>
      <c r="K7" s="1294">
        <f t="shared" si="0"/>
        <v>146993465</v>
      </c>
      <c r="L7" s="1294">
        <f t="shared" si="0"/>
        <v>42510181</v>
      </c>
      <c r="M7" s="1294">
        <f t="shared" si="0"/>
        <v>57871024</v>
      </c>
      <c r="N7" s="1295">
        <f>SUM(N8)</f>
        <v>494577492.06400001</v>
      </c>
      <c r="O7" s="1664"/>
      <c r="P7" s="418"/>
      <c r="Q7" s="418"/>
      <c r="R7" s="418"/>
      <c r="S7" s="1"/>
    </row>
    <row r="8" spans="1:35" ht="25.5">
      <c r="A8" s="1088" t="s">
        <v>316</v>
      </c>
      <c r="B8" s="1071"/>
      <c r="C8" s="1071"/>
      <c r="D8" s="1090" t="s">
        <v>210</v>
      </c>
      <c r="E8" s="1090">
        <v>1</v>
      </c>
      <c r="F8" s="1090"/>
      <c r="G8" s="1090"/>
      <c r="H8" s="1090"/>
      <c r="I8" s="1293">
        <f>SUM(I9:I14)</f>
        <v>238838230.06400001</v>
      </c>
      <c r="J8" s="1293">
        <f t="shared" ref="J8:M8" si="1">SUM(J9:J14)</f>
        <v>8364592</v>
      </c>
      <c r="K8" s="1293">
        <f t="shared" si="1"/>
        <v>146993465</v>
      </c>
      <c r="L8" s="1293">
        <f t="shared" si="1"/>
        <v>42510181</v>
      </c>
      <c r="M8" s="1293">
        <f t="shared" si="1"/>
        <v>57871024</v>
      </c>
      <c r="N8" s="1293">
        <f>SUM(N9:N14)</f>
        <v>494577492.06400001</v>
      </c>
    </row>
    <row r="9" spans="1:35" s="65" customFormat="1">
      <c r="A9" s="10" t="s">
        <v>716</v>
      </c>
      <c r="B9" s="11" t="s">
        <v>237</v>
      </c>
      <c r="C9" s="11">
        <v>83990</v>
      </c>
      <c r="D9" s="17" t="s">
        <v>717</v>
      </c>
      <c r="E9" s="17">
        <v>11</v>
      </c>
      <c r="F9" s="294">
        <f>5475000*1.0458</f>
        <v>5725755</v>
      </c>
      <c r="G9" s="294">
        <f>+F9*E9</f>
        <v>62983305</v>
      </c>
      <c r="H9" s="294">
        <f>+G9*1.004</f>
        <v>63235238.219999999</v>
      </c>
      <c r="I9" s="294">
        <v>63235238</v>
      </c>
      <c r="J9" s="313"/>
      <c r="K9" s="313"/>
      <c r="L9" s="313"/>
      <c r="M9" s="313"/>
      <c r="N9" s="689">
        <f>SUM(I9:M9)</f>
        <v>63235238</v>
      </c>
      <c r="P9" s="2154"/>
    </row>
    <row r="10" spans="1:35" s="65" customFormat="1">
      <c r="A10" s="10" t="s">
        <v>718</v>
      </c>
      <c r="B10" s="11" t="s">
        <v>237</v>
      </c>
      <c r="C10" s="11">
        <v>83990</v>
      </c>
      <c r="D10" s="17" t="s">
        <v>717</v>
      </c>
      <c r="E10" s="17">
        <v>11</v>
      </c>
      <c r="F10" s="294">
        <f>3620000*1.0458</f>
        <v>3785796</v>
      </c>
      <c r="G10" s="294">
        <f>+F10*E10</f>
        <v>41643756</v>
      </c>
      <c r="H10" s="294">
        <f>+G10*1.004</f>
        <v>41810331.023999996</v>
      </c>
      <c r="I10" s="294">
        <v>41810331</v>
      </c>
      <c r="J10" s="313"/>
      <c r="K10" s="313"/>
      <c r="L10" s="313"/>
      <c r="M10" s="313"/>
      <c r="N10" s="689">
        <f t="shared" ref="N10:N14" si="2">SUM(I10:M10)</f>
        <v>41810331</v>
      </c>
      <c r="P10" s="2154"/>
    </row>
    <row r="11" spans="1:35" s="65" customFormat="1">
      <c r="A11" s="10" t="s">
        <v>719</v>
      </c>
      <c r="B11" s="11" t="s">
        <v>237</v>
      </c>
      <c r="C11" s="11">
        <v>83990</v>
      </c>
      <c r="D11" s="17" t="s">
        <v>717</v>
      </c>
      <c r="E11" s="17">
        <v>11</v>
      </c>
      <c r="F11" s="294">
        <f>3220000*1.0458</f>
        <v>3367476</v>
      </c>
      <c r="G11" s="294">
        <f t="shared" ref="G11" si="3">+F11*E11</f>
        <v>37042236</v>
      </c>
      <c r="H11" s="294">
        <f>+G11*1.004</f>
        <v>37190404.943999998</v>
      </c>
      <c r="I11" s="294">
        <v>37190405</v>
      </c>
      <c r="J11" s="313"/>
      <c r="K11" s="313"/>
      <c r="L11" s="313"/>
      <c r="M11" s="313"/>
      <c r="N11" s="689">
        <f t="shared" si="2"/>
        <v>37190405</v>
      </c>
      <c r="P11" s="2154"/>
    </row>
    <row r="12" spans="1:35" s="1629" customFormat="1" ht="38.25">
      <c r="A12" s="760" t="s">
        <v>720</v>
      </c>
      <c r="B12" s="1626" t="s">
        <v>237</v>
      </c>
      <c r="C12" s="233">
        <v>83990</v>
      </c>
      <c r="D12" s="1627"/>
      <c r="E12" s="1627" t="s">
        <v>327</v>
      </c>
      <c r="F12" s="294"/>
      <c r="G12" s="294"/>
      <c r="H12" s="294"/>
      <c r="I12" s="294">
        <f>49121704-1345108-2659077.936</f>
        <v>45117518.064000003</v>
      </c>
      <c r="J12" s="313"/>
      <c r="K12" s="313"/>
      <c r="L12" s="313"/>
      <c r="M12" s="313"/>
      <c r="N12" s="689">
        <f t="shared" si="2"/>
        <v>45117518.064000003</v>
      </c>
      <c r="O12" s="1625"/>
      <c r="P12" s="663"/>
      <c r="R12" s="294"/>
      <c r="AE12" s="1911"/>
      <c r="AF12" s="1911"/>
    </row>
    <row r="13" spans="1:35" s="1629" customFormat="1">
      <c r="A13" s="20" t="s">
        <v>931</v>
      </c>
      <c r="B13" s="1626" t="s">
        <v>237</v>
      </c>
      <c r="C13" s="1631"/>
      <c r="D13" s="1627"/>
      <c r="E13" s="1627"/>
      <c r="F13" s="294"/>
      <c r="G13" s="294"/>
      <c r="H13" s="294"/>
      <c r="I13" s="294">
        <f>3364922.064+2659077.936</f>
        <v>6024000</v>
      </c>
      <c r="J13" s="294"/>
      <c r="K13" s="294"/>
      <c r="L13" s="294"/>
      <c r="M13" s="294"/>
      <c r="N13" s="689">
        <f t="shared" si="2"/>
        <v>6024000</v>
      </c>
      <c r="O13" s="1628"/>
      <c r="P13" s="663"/>
      <c r="R13" s="294"/>
      <c r="AE13" s="1912">
        <v>6024000</v>
      </c>
      <c r="AF13" s="1911"/>
    </row>
    <row r="14" spans="1:35" s="1629" customFormat="1" ht="26.25" thickBot="1">
      <c r="A14" s="2042" t="s">
        <v>1191</v>
      </c>
      <c r="B14" s="2043" t="s">
        <v>1201</v>
      </c>
      <c r="C14" s="2043"/>
      <c r="D14" s="1096"/>
      <c r="E14" s="1096"/>
      <c r="F14" s="2044"/>
      <c r="G14" s="2044"/>
      <c r="H14" s="2044"/>
      <c r="I14" s="2044">
        <v>45460738</v>
      </c>
      <c r="J14" s="2045">
        <v>8364592</v>
      </c>
      <c r="K14" s="2045">
        <v>146993465</v>
      </c>
      <c r="L14" s="2045">
        <v>42510181</v>
      </c>
      <c r="M14" s="2046">
        <v>57871024</v>
      </c>
      <c r="N14" s="2047">
        <f t="shared" si="2"/>
        <v>301200000</v>
      </c>
      <c r="O14" s="1628"/>
      <c r="AE14" s="1912"/>
      <c r="AF14" s="1911"/>
    </row>
    <row r="15" spans="1:35" ht="26.25" thickBot="1">
      <c r="A15" s="462" t="s">
        <v>241</v>
      </c>
      <c r="B15" s="1168"/>
      <c r="C15" s="1168"/>
      <c r="D15" s="1168" t="s">
        <v>210</v>
      </c>
      <c r="E15" s="1168">
        <v>1</v>
      </c>
      <c r="F15" s="1168"/>
      <c r="G15" s="1168"/>
      <c r="H15" s="1168"/>
      <c r="I15" s="1299">
        <f>+I16+I19</f>
        <v>101951458.936</v>
      </c>
      <c r="J15" s="2002"/>
      <c r="K15" s="2002"/>
      <c r="L15" s="2002"/>
      <c r="M15" s="2002"/>
      <c r="N15" s="1300">
        <f>+N16+N19</f>
        <v>101951458.936</v>
      </c>
      <c r="P15" s="62"/>
      <c r="AE15" s="406"/>
      <c r="AF15" s="406"/>
    </row>
    <row r="16" spans="1:35" s="1" customFormat="1" ht="38.25">
      <c r="A16" s="1088" t="s">
        <v>317</v>
      </c>
      <c r="B16" s="1090"/>
      <c r="C16" s="1090"/>
      <c r="D16" s="1090" t="s">
        <v>210</v>
      </c>
      <c r="E16" s="1090">
        <v>1</v>
      </c>
      <c r="F16" s="1090"/>
      <c r="G16" s="1090"/>
      <c r="H16" s="1090"/>
      <c r="I16" s="1297">
        <f>SUM(I17:I18)</f>
        <v>16635077.936000001</v>
      </c>
      <c r="J16" s="2003"/>
      <c r="K16" s="2003"/>
      <c r="L16" s="2003"/>
      <c r="M16" s="2003"/>
      <c r="N16" s="1298">
        <f>SUM(N17:N18)</f>
        <v>16635077.936000001</v>
      </c>
      <c r="O16"/>
      <c r="AD16"/>
      <c r="AE16"/>
      <c r="AF16" s="406"/>
      <c r="AG16" s="406"/>
      <c r="AH16"/>
      <c r="AI16"/>
    </row>
    <row r="17" spans="1:35" s="1628" customFormat="1">
      <c r="A17" s="760" t="s">
        <v>468</v>
      </c>
      <c r="B17" s="30" t="s">
        <v>242</v>
      </c>
      <c r="C17" s="30">
        <v>65119</v>
      </c>
      <c r="D17" s="1627"/>
      <c r="E17" s="1627"/>
      <c r="F17" s="1627"/>
      <c r="G17" s="1627"/>
      <c r="H17" s="1627"/>
      <c r="I17" s="787">
        <f>15000000-3364922.064+3996000</f>
        <v>15631077.936000001</v>
      </c>
      <c r="J17" s="1508"/>
      <c r="K17" s="1508"/>
      <c r="L17" s="1508"/>
      <c r="M17" s="1508"/>
      <c r="N17" s="689">
        <f>SUM(I17:M17)</f>
        <v>15631077.936000001</v>
      </c>
      <c r="O17" s="1625"/>
      <c r="AD17" s="1629"/>
      <c r="AE17" s="1629"/>
      <c r="AF17" s="1911"/>
      <c r="AG17" s="1911"/>
      <c r="AH17" s="1629"/>
      <c r="AI17" s="1629"/>
    </row>
    <row r="18" spans="1:35" s="1628" customFormat="1">
      <c r="A18" s="760" t="s">
        <v>721</v>
      </c>
      <c r="B18" s="30" t="s">
        <v>242</v>
      </c>
      <c r="C18" s="30">
        <v>63399</v>
      </c>
      <c r="D18" s="1627"/>
      <c r="E18" s="1627"/>
      <c r="F18" s="1627"/>
      <c r="G18" s="1627"/>
      <c r="H18" s="1627"/>
      <c r="I18" s="787">
        <f>5000000-3996000</f>
        <v>1004000</v>
      </c>
      <c r="J18" s="1508"/>
      <c r="K18" s="1508"/>
      <c r="L18" s="1508"/>
      <c r="M18" s="1508"/>
      <c r="N18" s="689">
        <f t="shared" ref="N18:N19" si="4">SUM(I18:M18)</f>
        <v>1004000</v>
      </c>
      <c r="P18" s="1625"/>
      <c r="AD18" s="1629"/>
      <c r="AE18" s="1629"/>
      <c r="AF18" s="1911"/>
      <c r="AG18" s="1911"/>
      <c r="AH18" s="1629"/>
      <c r="AI18" s="1629"/>
    </row>
    <row r="19" spans="1:35" ht="15.75" thickBot="1">
      <c r="A19" s="176" t="s">
        <v>228</v>
      </c>
      <c r="B19" s="177"/>
      <c r="C19" s="177"/>
      <c r="D19" s="181" t="s">
        <v>210</v>
      </c>
      <c r="E19" s="181">
        <v>1</v>
      </c>
      <c r="F19" s="181"/>
      <c r="G19" s="181"/>
      <c r="H19" s="181"/>
      <c r="I19" s="636">
        <f>83971273+1345108</f>
        <v>85316381</v>
      </c>
      <c r="J19" s="2004"/>
      <c r="K19" s="2004"/>
      <c r="L19" s="2004"/>
      <c r="M19" s="2004"/>
      <c r="N19" s="2007">
        <f t="shared" si="4"/>
        <v>85316381</v>
      </c>
      <c r="AF19" s="406"/>
      <c r="AG19" s="406"/>
    </row>
    <row r="20" spans="1:35" ht="15.75" thickBot="1">
      <c r="A20" s="2454" t="s">
        <v>10</v>
      </c>
      <c r="B20" s="2455"/>
      <c r="C20" s="2455"/>
      <c r="D20" s="2455"/>
      <c r="E20" s="2455"/>
      <c r="F20" s="2455"/>
      <c r="G20" s="2455"/>
      <c r="H20" s="2456"/>
      <c r="I20" s="1466">
        <f>+I15+I7</f>
        <v>340789689</v>
      </c>
      <c r="J20" s="1466">
        <f>+J15+J7</f>
        <v>8364592</v>
      </c>
      <c r="K20" s="1466">
        <f t="shared" ref="K20:M20" si="5">+K15+K7</f>
        <v>146993465</v>
      </c>
      <c r="L20" s="1466">
        <f t="shared" si="5"/>
        <v>42510181</v>
      </c>
      <c r="M20" s="2005">
        <f t="shared" si="5"/>
        <v>57871024</v>
      </c>
      <c r="N20" s="1455">
        <f>+N15+N7</f>
        <v>596528951</v>
      </c>
      <c r="AE20" s="1909">
        <v>3000000</v>
      </c>
      <c r="AF20" s="1908">
        <v>117172</v>
      </c>
      <c r="AG20" s="406"/>
    </row>
    <row r="21" spans="1:35" ht="15.75" thickBot="1">
      <c r="D21" s="406"/>
      <c r="G21" s="406"/>
      <c r="H21" s="406"/>
      <c r="I21" s="406"/>
      <c r="J21" s="453"/>
      <c r="K21" s="453"/>
      <c r="L21" s="453"/>
      <c r="M21" s="453"/>
      <c r="N21" s="62"/>
      <c r="AF21" s="406">
        <f>+AF20*3</f>
        <v>351516</v>
      </c>
      <c r="AG21" s="406"/>
    </row>
    <row r="22" spans="1:35" ht="15.75" thickBot="1">
      <c r="D22" s="453"/>
      <c r="E22" s="453"/>
      <c r="F22" s="453"/>
      <c r="G22" s="453"/>
      <c r="H22" s="453"/>
      <c r="I22" s="1503">
        <v>340789689</v>
      </c>
      <c r="J22" s="2006">
        <v>8364592</v>
      </c>
      <c r="K22" s="2006">
        <v>146993465</v>
      </c>
      <c r="L22" s="2006">
        <v>42510181</v>
      </c>
      <c r="M22" s="2006">
        <v>57871024</v>
      </c>
      <c r="N22" s="2011">
        <v>596528951</v>
      </c>
      <c r="AF22" s="453"/>
      <c r="AG22" s="453"/>
      <c r="AH22">
        <f>6000000*1.004</f>
        <v>6024000</v>
      </c>
    </row>
    <row r="23" spans="1:35">
      <c r="D23" s="406"/>
      <c r="G23" s="406"/>
      <c r="H23" s="406"/>
      <c r="I23" s="406"/>
      <c r="J23" s="453"/>
      <c r="K23" s="453"/>
      <c r="L23" s="453"/>
      <c r="M23" s="453"/>
      <c r="AF23" s="1907">
        <v>351516</v>
      </c>
      <c r="AG23" s="406"/>
    </row>
    <row r="24" spans="1:35">
      <c r="I24" s="663">
        <f>+I22-I20</f>
        <v>0</v>
      </c>
      <c r="J24" s="663">
        <f t="shared" ref="J24:M24" si="6">+J22-J20</f>
        <v>0</v>
      </c>
      <c r="K24" s="663">
        <f t="shared" si="6"/>
        <v>0</v>
      </c>
      <c r="L24" s="663">
        <f t="shared" si="6"/>
        <v>0</v>
      </c>
      <c r="M24" s="663">
        <f t="shared" si="6"/>
        <v>0</v>
      </c>
      <c r="N24" s="663">
        <f>+N22-N20</f>
        <v>0</v>
      </c>
      <c r="AF24" s="406"/>
      <c r="AG24" s="406"/>
    </row>
    <row r="25" spans="1:35">
      <c r="AF25" s="1910">
        <f>+AE20+AF23</f>
        <v>3351516</v>
      </c>
      <c r="AG25" s="406"/>
    </row>
    <row r="26" spans="1:35">
      <c r="AF26" s="406"/>
      <c r="AG26" s="406"/>
    </row>
    <row r="27" spans="1:35">
      <c r="I27" s="50"/>
      <c r="L27" s="663"/>
      <c r="AF27" s="1907">
        <f>+AF25*1.004</f>
        <v>3364922.0639999998</v>
      </c>
      <c r="AG27" s="406"/>
    </row>
    <row r="28" spans="1:35">
      <c r="J28">
        <v>238838230.06400001</v>
      </c>
      <c r="AF28" s="406">
        <v>3364922.0639999998</v>
      </c>
      <c r="AG28" s="406"/>
    </row>
    <row r="29" spans="1:35">
      <c r="AF29" s="406"/>
      <c r="AG29" s="406"/>
    </row>
    <row r="30" spans="1:35">
      <c r="B30" s="1905"/>
      <c r="AF30" s="406"/>
      <c r="AG30" s="406"/>
    </row>
    <row r="31" spans="1:35">
      <c r="AF31" s="406"/>
      <c r="AG31" s="406"/>
    </row>
    <row r="32" spans="1:35">
      <c r="AF32" s="406"/>
      <c r="AG32" s="406"/>
    </row>
    <row r="33" spans="32:33">
      <c r="AF33" s="406"/>
      <c r="AG33" s="406"/>
    </row>
  </sheetData>
  <mergeCells count="18">
    <mergeCell ref="A1:H1"/>
    <mergeCell ref="A2:H2"/>
    <mergeCell ref="A4:A6"/>
    <mergeCell ref="B4:B6"/>
    <mergeCell ref="C4:C6"/>
    <mergeCell ref="D4:D6"/>
    <mergeCell ref="E4:E6"/>
    <mergeCell ref="G4:G6"/>
    <mergeCell ref="H4:H6"/>
    <mergeCell ref="F4:F6"/>
    <mergeCell ref="M5:M6"/>
    <mergeCell ref="I4:M4"/>
    <mergeCell ref="A20:H20"/>
    <mergeCell ref="N4:N6"/>
    <mergeCell ref="I5:I6"/>
    <mergeCell ref="J5:J6"/>
    <mergeCell ref="K5:K6"/>
    <mergeCell ref="L5:L6"/>
  </mergeCells>
  <pageMargins left="0.7" right="0.7" top="0.75" bottom="0.75" header="0.3" footer="0.3"/>
  <pageSetup orientation="portrait" verticalDpi="597"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F19"/>
  <sheetViews>
    <sheetView workbookViewId="0"/>
  </sheetViews>
  <sheetFormatPr baseColWidth="10" defaultRowHeight="15"/>
  <cols>
    <col min="1" max="1" width="16.7109375" customWidth="1"/>
    <col min="2" max="2" width="22.42578125" customWidth="1"/>
    <col min="3" max="3" width="12" customWidth="1"/>
    <col min="4" max="4" width="33.42578125" customWidth="1"/>
    <col min="5" max="5" width="111.140625" customWidth="1"/>
    <col min="6" max="6" width="15.140625" customWidth="1"/>
  </cols>
  <sheetData>
    <row r="2" spans="1:6" ht="28.5" customHeight="1">
      <c r="A2" s="382" t="s">
        <v>254</v>
      </c>
      <c r="B2" s="383" t="s">
        <v>840</v>
      </c>
      <c r="C2" s="383" t="s">
        <v>852</v>
      </c>
      <c r="D2" s="383" t="s">
        <v>837</v>
      </c>
      <c r="E2" s="383"/>
    </row>
    <row r="3" spans="1:6" ht="102.75" customHeight="1">
      <c r="A3" s="386" t="s">
        <v>203</v>
      </c>
      <c r="B3" s="379">
        <v>2566665139.4273996</v>
      </c>
      <c r="C3" s="389">
        <f>+B3/B9</f>
        <v>9.1882271164607579E-2</v>
      </c>
      <c r="D3" s="384" t="s">
        <v>841</v>
      </c>
      <c r="E3" s="384" t="s">
        <v>842</v>
      </c>
    </row>
    <row r="4" spans="1:6" ht="63" customHeight="1">
      <c r="A4" s="386" t="s">
        <v>202</v>
      </c>
      <c r="B4" s="379">
        <v>10288508320.062</v>
      </c>
      <c r="C4" s="389">
        <f>+B4/B9</f>
        <v>0.36831119760100572</v>
      </c>
      <c r="D4" s="384" t="s">
        <v>844</v>
      </c>
      <c r="E4" s="384" t="s">
        <v>845</v>
      </c>
    </row>
    <row r="5" spans="1:6" ht="52.5" customHeight="1">
      <c r="A5" s="386" t="s">
        <v>385</v>
      </c>
      <c r="B5" s="379">
        <v>2823392602.5030003</v>
      </c>
      <c r="C5" s="389">
        <f>+B5/B9</f>
        <v>0.10107268015694561</v>
      </c>
      <c r="D5" s="384" t="s">
        <v>838</v>
      </c>
      <c r="E5" s="384" t="s">
        <v>839</v>
      </c>
    </row>
    <row r="6" spans="1:6" ht="24.95" customHeight="1">
      <c r="A6" s="386" t="s">
        <v>455</v>
      </c>
      <c r="B6" s="379">
        <v>415267292.66400003</v>
      </c>
      <c r="C6" s="389">
        <f>+B6/B9</f>
        <v>1.4865866763927883E-2</v>
      </c>
      <c r="D6" s="384" t="s">
        <v>849</v>
      </c>
      <c r="E6" s="384"/>
      <c r="F6" s="295"/>
    </row>
    <row r="7" spans="1:6" ht="71.25" customHeight="1">
      <c r="A7" s="387" t="s">
        <v>850</v>
      </c>
      <c r="B7" s="380">
        <v>10340626703.629166</v>
      </c>
      <c r="C7" s="389">
        <f>+B7/B9</f>
        <v>0.3701769475884184</v>
      </c>
      <c r="D7" s="384" t="s">
        <v>848</v>
      </c>
      <c r="E7" s="384" t="s">
        <v>843</v>
      </c>
    </row>
    <row r="8" spans="1:6" ht="39" customHeight="1">
      <c r="A8" s="386" t="s">
        <v>234</v>
      </c>
      <c r="B8" s="379">
        <v>1499820482.3990002</v>
      </c>
      <c r="C8" s="389">
        <f>+B8/B9</f>
        <v>5.3691036725094954E-2</v>
      </c>
      <c r="D8" s="384" t="s">
        <v>847</v>
      </c>
      <c r="E8" s="384" t="s">
        <v>846</v>
      </c>
    </row>
    <row r="9" spans="1:6" ht="50.25" customHeight="1">
      <c r="A9" s="387" t="s">
        <v>813</v>
      </c>
      <c r="B9" s="381">
        <v>27934280540.684563</v>
      </c>
      <c r="C9" s="388">
        <f>SUM(C3:C8)</f>
        <v>1</v>
      </c>
      <c r="D9" s="385"/>
      <c r="E9" s="385"/>
    </row>
    <row r="11" spans="1:6">
      <c r="B11" s="336"/>
      <c r="C11" s="336"/>
    </row>
    <row r="12" spans="1:6">
      <c r="D12" s="71"/>
    </row>
    <row r="13" spans="1:6">
      <c r="D13" s="71"/>
    </row>
    <row r="14" spans="1:6">
      <c r="D14" s="71"/>
    </row>
    <row r="15" spans="1:6">
      <c r="D15" s="71"/>
    </row>
    <row r="16" spans="1:6">
      <c r="D16" s="71"/>
    </row>
    <row r="17" spans="4:4">
      <c r="D17" s="71"/>
    </row>
    <row r="18" spans="4:4">
      <c r="D18" s="71"/>
    </row>
    <row r="19" spans="4:4">
      <c r="D19" s="71"/>
    </row>
  </sheetData>
  <pageMargins left="0.7" right="0.7" top="0.75" bottom="0.75" header="0.3" footer="0.3"/>
  <pageSetup orientation="portrait" verticalDpi="597"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0">
    <tabColor theme="7" tint="0.59999389629810485"/>
  </sheetPr>
  <dimension ref="A1:H22"/>
  <sheetViews>
    <sheetView workbookViewId="0">
      <selection activeCell="E28" sqref="E28"/>
    </sheetView>
  </sheetViews>
  <sheetFormatPr baseColWidth="10" defaultRowHeight="15"/>
  <cols>
    <col min="2" max="2" width="52.7109375" customWidth="1"/>
    <col min="3" max="4" width="11.42578125" customWidth="1"/>
    <col min="5" max="5" width="17" customWidth="1"/>
    <col min="6" max="6" width="20.42578125" customWidth="1"/>
    <col min="7" max="7" width="18.85546875" customWidth="1"/>
    <col min="8" max="8" width="15.28515625" customWidth="1"/>
  </cols>
  <sheetData>
    <row r="1" spans="1:8" s="1" customFormat="1" ht="12.75">
      <c r="A1" s="2409" t="s">
        <v>189</v>
      </c>
      <c r="B1" s="2409"/>
      <c r="C1" s="2409"/>
      <c r="D1" s="2409"/>
      <c r="E1" s="2409"/>
      <c r="F1" s="2409"/>
      <c r="G1" s="2409"/>
    </row>
    <row r="2" spans="1:8" s="1" customFormat="1" ht="15" customHeight="1">
      <c r="A2" s="2311" t="s">
        <v>190</v>
      </c>
      <c r="B2" s="2311"/>
      <c r="C2" s="2311"/>
      <c r="D2" s="2311"/>
      <c r="E2" s="2311"/>
      <c r="F2" s="2311"/>
      <c r="G2" s="2311"/>
    </row>
    <row r="3" spans="1:8" ht="15.75" thickBot="1"/>
    <row r="4" spans="1:8" ht="15.75" customHeight="1" thickBot="1">
      <c r="A4" s="2369" t="s">
        <v>394</v>
      </c>
      <c r="B4" s="2368" t="s">
        <v>198</v>
      </c>
      <c r="C4" s="2312">
        <v>2022</v>
      </c>
      <c r="D4" s="2312"/>
      <c r="E4" s="2312"/>
      <c r="F4" s="2312"/>
      <c r="G4" s="2312"/>
    </row>
    <row r="5" spans="1:8" ht="15.75" customHeight="1" thickBot="1">
      <c r="A5" s="2370"/>
      <c r="B5" s="2368"/>
      <c r="C5" s="2312" t="s">
        <v>448</v>
      </c>
      <c r="D5" s="2312" t="s">
        <v>201</v>
      </c>
      <c r="E5" s="2312" t="s">
        <v>254</v>
      </c>
      <c r="F5" s="2312"/>
      <c r="G5" s="2312" t="s">
        <v>205</v>
      </c>
    </row>
    <row r="6" spans="1:8" ht="15.75" thickBot="1">
      <c r="A6" s="2371"/>
      <c r="B6" s="2368"/>
      <c r="C6" s="2312"/>
      <c r="D6" s="2312"/>
      <c r="E6" s="1112" t="s">
        <v>202</v>
      </c>
      <c r="F6" s="1112" t="s">
        <v>204</v>
      </c>
      <c r="G6" s="2312"/>
    </row>
    <row r="7" spans="1:8" ht="26.25" thickBot="1">
      <c r="A7" s="450">
        <v>3205017</v>
      </c>
      <c r="B7" s="608" t="s">
        <v>318</v>
      </c>
      <c r="C7" s="609" t="s">
        <v>215</v>
      </c>
      <c r="D7" s="609">
        <v>100</v>
      </c>
      <c r="E7" s="610">
        <f>+E8+E9+E10+E11</f>
        <v>506064267</v>
      </c>
      <c r="F7" s="610">
        <f>SUM(F8:F12)</f>
        <v>229070802.17999998</v>
      </c>
      <c r="G7" s="611">
        <f>+'ACCIONES 320502'!H7</f>
        <v>735135069.17999995</v>
      </c>
      <c r="H7" s="32">
        <f>+(E7+F7)-G7</f>
        <v>0</v>
      </c>
    </row>
    <row r="8" spans="1:8" ht="25.5">
      <c r="B8" s="598" t="s">
        <v>319</v>
      </c>
      <c r="C8" s="545" t="s">
        <v>211</v>
      </c>
      <c r="D8" s="599">
        <v>2</v>
      </c>
      <c r="E8" s="600">
        <f>+'ACCIONES 320502'!F8</f>
        <v>445126124</v>
      </c>
      <c r="F8" s="600">
        <f>+'ACCIONES 320502'!G8</f>
        <v>0</v>
      </c>
      <c r="G8" s="601">
        <f>+'ACCIONES 320502'!H8</f>
        <v>445126124</v>
      </c>
      <c r="H8" s="32">
        <f t="shared" ref="H8:H18" si="0">+(E8+F8)-G8</f>
        <v>0</v>
      </c>
    </row>
    <row r="9" spans="1:8" ht="76.5">
      <c r="B9" s="57" t="s">
        <v>320</v>
      </c>
      <c r="C9" s="30" t="s">
        <v>211</v>
      </c>
      <c r="D9" s="30">
        <v>37</v>
      </c>
      <c r="E9" s="58">
        <f>+'ACCIONES 320502'!F10</f>
        <v>60938143</v>
      </c>
      <c r="F9" s="58">
        <f>+'ACCIONES 320502'!G10</f>
        <v>111461471.79999998</v>
      </c>
      <c r="G9" s="68">
        <f>+'ACCIONES 320502'!H10</f>
        <v>172399614.79999998</v>
      </c>
      <c r="H9" s="32">
        <f t="shared" si="0"/>
        <v>0</v>
      </c>
    </row>
    <row r="10" spans="1:8" ht="25.5">
      <c r="B10" s="57" t="s">
        <v>321</v>
      </c>
      <c r="C10" s="30" t="s">
        <v>211</v>
      </c>
      <c r="D10" s="30">
        <v>1</v>
      </c>
      <c r="E10" s="58">
        <f>+'ACCIONES 320502'!F20</f>
        <v>0</v>
      </c>
      <c r="F10" s="58">
        <f>+'ACCIONES 320502'!G20</f>
        <v>0</v>
      </c>
      <c r="G10" s="68">
        <f>+'ACCIONES 320502'!H20</f>
        <v>0</v>
      </c>
      <c r="H10" s="32">
        <f t="shared" si="0"/>
        <v>0</v>
      </c>
    </row>
    <row r="11" spans="1:8" ht="25.5">
      <c r="B11" s="57" t="s">
        <v>322</v>
      </c>
      <c r="C11" s="30" t="s">
        <v>211</v>
      </c>
      <c r="D11" s="30">
        <v>1</v>
      </c>
      <c r="E11" s="58">
        <f>+'ACCIONES 320502'!F23</f>
        <v>0</v>
      </c>
      <c r="F11" s="58">
        <f>+'ACCIONES 320502'!G23</f>
        <v>50199999.780000098</v>
      </c>
      <c r="G11" s="68">
        <f>+'ACCIONES 320502'!H23</f>
        <v>50199999.780000098</v>
      </c>
      <c r="H11" s="32">
        <f t="shared" si="0"/>
        <v>0</v>
      </c>
    </row>
    <row r="12" spans="1:8" ht="15.75" thickBot="1">
      <c r="B12" s="603" t="s">
        <v>323</v>
      </c>
      <c r="C12" s="537" t="s">
        <v>211</v>
      </c>
      <c r="D12" s="22"/>
      <c r="E12" s="22">
        <f>+'ACCIONES 320502'!F26</f>
        <v>0</v>
      </c>
      <c r="F12" s="604">
        <f>+'ACCIONES 320502'!G26</f>
        <v>67409330.599999905</v>
      </c>
      <c r="G12" s="691">
        <f>+'ACCIONES 320502'!H26</f>
        <v>67409330.599999905</v>
      </c>
      <c r="H12" s="32">
        <f t="shared" si="0"/>
        <v>0</v>
      </c>
    </row>
    <row r="13" spans="1:8" ht="15.75" thickBot="1">
      <c r="A13" s="450">
        <v>3205020</v>
      </c>
      <c r="B13" s="602" t="s">
        <v>324</v>
      </c>
      <c r="C13" s="522" t="s">
        <v>215</v>
      </c>
      <c r="D13" s="522">
        <v>100</v>
      </c>
      <c r="E13" s="606">
        <f>+E14+E15</f>
        <v>1882290502</v>
      </c>
      <c r="F13" s="606">
        <f>SUM(F14:F17)</f>
        <v>176459400.65999991</v>
      </c>
      <c r="G13" s="607">
        <f>+'ACCIONES 320502'!H28</f>
        <v>2058749902.6599998</v>
      </c>
      <c r="H13" s="32">
        <f t="shared" si="0"/>
        <v>0</v>
      </c>
    </row>
    <row r="14" spans="1:8" ht="25.5">
      <c r="B14" s="598" t="s">
        <v>325</v>
      </c>
      <c r="C14" s="25" t="s">
        <v>211</v>
      </c>
      <c r="D14" s="126">
        <v>2</v>
      </c>
      <c r="E14" s="605">
        <f>+'ACCIONES 320502'!F29</f>
        <v>1882290502</v>
      </c>
      <c r="F14" s="126">
        <f>+'ACCIONES 320502'!G29</f>
        <v>0</v>
      </c>
      <c r="G14" s="601">
        <f>+'ACCIONES 320502'!H29</f>
        <v>1882290502</v>
      </c>
      <c r="H14" s="32">
        <f t="shared" si="0"/>
        <v>0</v>
      </c>
    </row>
    <row r="15" spans="1:8" ht="51">
      <c r="B15" s="56" t="s">
        <v>326</v>
      </c>
      <c r="C15" s="11" t="s">
        <v>210</v>
      </c>
      <c r="D15" s="11">
        <v>1</v>
      </c>
      <c r="E15" s="11">
        <f>+'ACCIONES 320502'!F32</f>
        <v>0</v>
      </c>
      <c r="F15" s="53">
        <f>+'ACCIONES 320502'!G32</f>
        <v>136235900.13999999</v>
      </c>
      <c r="G15" s="68">
        <f>+'ACCIONES 320502'!H32</f>
        <v>136235900.13999999</v>
      </c>
      <c r="H15" s="32">
        <f t="shared" si="0"/>
        <v>0</v>
      </c>
    </row>
    <row r="16" spans="1:8">
      <c r="B16" s="56" t="s">
        <v>323</v>
      </c>
      <c r="C16" s="11"/>
      <c r="D16" s="11"/>
      <c r="E16" s="11">
        <f>+'ACCIONES 320502'!F45</f>
        <v>0</v>
      </c>
      <c r="F16" s="327">
        <f>+'ACCIONES 320502'!G45</f>
        <v>40223500.519999921</v>
      </c>
      <c r="G16" s="68">
        <f>+'ACCIONES 320502'!H45</f>
        <v>40223500.519999921</v>
      </c>
      <c r="H16" s="32">
        <f t="shared" si="0"/>
        <v>0</v>
      </c>
    </row>
    <row r="17" spans="2:8" ht="15.75" thickBot="1">
      <c r="B17" s="201"/>
      <c r="C17" s="196"/>
      <c r="D17" s="196"/>
      <c r="E17" s="196"/>
      <c r="F17" s="202"/>
      <c r="G17" s="203"/>
      <c r="H17" s="32">
        <f t="shared" si="0"/>
        <v>0</v>
      </c>
    </row>
    <row r="18" spans="2:8" ht="15.75" thickBot="1">
      <c r="B18" s="2308" t="s">
        <v>10</v>
      </c>
      <c r="C18" s="2309"/>
      <c r="D18" s="2457"/>
      <c r="E18" s="1467">
        <f>+E13+E7</f>
        <v>2388354769</v>
      </c>
      <c r="F18" s="1467">
        <f>+F13+F7</f>
        <v>405530202.83999991</v>
      </c>
      <c r="G18" s="1468">
        <f>+G13+G7</f>
        <v>2793884971.8399997</v>
      </c>
      <c r="H18" s="978">
        <f t="shared" si="0"/>
        <v>0</v>
      </c>
    </row>
    <row r="19" spans="2:8" ht="15.75" thickBot="1"/>
    <row r="20" spans="2:8" ht="15.75" thickBot="1">
      <c r="E20" s="748">
        <f>2999575946-194214323-776857-416229997</f>
        <v>2388354769</v>
      </c>
      <c r="F20" s="748">
        <f>223822680+194214323+776857-13283659</f>
        <v>405530201</v>
      </c>
      <c r="G20" s="748">
        <f>SUM(E20:F20)</f>
        <v>2793884970</v>
      </c>
    </row>
    <row r="22" spans="2:8">
      <c r="E22" s="32">
        <f>+E20-E18</f>
        <v>0</v>
      </c>
      <c r="F22" s="32">
        <f t="shared" ref="F22:G22" si="1">+F20-F18</f>
        <v>-1.8399999141693115</v>
      </c>
      <c r="G22" s="32">
        <f t="shared" si="1"/>
        <v>-1.8399996757507324</v>
      </c>
    </row>
  </sheetData>
  <mergeCells count="10">
    <mergeCell ref="B18:D18"/>
    <mergeCell ref="A1:G1"/>
    <mergeCell ref="A2:G2"/>
    <mergeCell ref="B4:B6"/>
    <mergeCell ref="C4:G4"/>
    <mergeCell ref="E5:F5"/>
    <mergeCell ref="C5:C6"/>
    <mergeCell ref="D5:D6"/>
    <mergeCell ref="G5:G6"/>
    <mergeCell ref="A4:A6"/>
  </mergeCells>
  <pageMargins left="0.7" right="0.7" top="0.75" bottom="0.75" header="0.3" footer="0.3"/>
  <pageSetup orientation="portrait" verticalDpi="597"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1">
    <tabColor theme="7" tint="0.59999389629810485"/>
  </sheetPr>
  <dimension ref="A1:L55"/>
  <sheetViews>
    <sheetView workbookViewId="0">
      <selection activeCell="K45" sqref="K45"/>
    </sheetView>
  </sheetViews>
  <sheetFormatPr baseColWidth="10" defaultRowHeight="15"/>
  <cols>
    <col min="1" max="1" width="62.28515625" customWidth="1"/>
    <col min="2" max="2" width="16.42578125" hidden="1" customWidth="1"/>
    <col min="3" max="3" width="13" hidden="1" customWidth="1"/>
    <col min="4" max="5" width="11.42578125" style="186" hidden="1" customWidth="1"/>
    <col min="6" max="6" width="16.140625" style="186" customWidth="1"/>
    <col min="7" max="7" width="15.42578125" style="186" customWidth="1"/>
    <col min="8" max="8" width="26.28515625" style="183" customWidth="1"/>
    <col min="9" max="9" width="13.85546875" customWidth="1"/>
  </cols>
  <sheetData>
    <row r="1" spans="1:12" s="1" customFormat="1" ht="12.75">
      <c r="A1" s="2409" t="s">
        <v>189</v>
      </c>
      <c r="B1" s="2409"/>
      <c r="C1" s="2409"/>
      <c r="D1" s="2409"/>
      <c r="E1" s="2409"/>
      <c r="F1" s="2409"/>
      <c r="G1" s="2409"/>
      <c r="H1" s="2409"/>
      <c r="I1" s="1663"/>
    </row>
    <row r="2" spans="1:12" s="1" customFormat="1" ht="15" customHeight="1">
      <c r="A2" s="2311" t="s">
        <v>190</v>
      </c>
      <c r="B2" s="2311"/>
      <c r="C2" s="2311"/>
      <c r="D2" s="2311"/>
      <c r="E2" s="2311"/>
      <c r="F2" s="2311"/>
      <c r="G2" s="2311"/>
      <c r="H2" s="2311"/>
      <c r="I2" s="1663"/>
    </row>
    <row r="3" spans="1:12" ht="15.75" thickBot="1">
      <c r="F3" s="747"/>
      <c r="H3" s="298"/>
      <c r="I3" s="1664"/>
      <c r="J3" s="418"/>
      <c r="K3" s="418"/>
      <c r="L3" s="418"/>
    </row>
    <row r="4" spans="1:12" ht="15.75" customHeight="1" thickBot="1">
      <c r="A4" s="2312" t="s">
        <v>446</v>
      </c>
      <c r="B4" s="2312" t="s">
        <v>447</v>
      </c>
      <c r="C4" s="2339" t="s">
        <v>876</v>
      </c>
      <c r="D4" s="2312" t="s">
        <v>448</v>
      </c>
      <c r="E4" s="2312" t="s">
        <v>201</v>
      </c>
      <c r="F4" s="2312" t="s">
        <v>199</v>
      </c>
      <c r="G4" s="2312"/>
      <c r="H4" s="2407" t="s">
        <v>352</v>
      </c>
      <c r="I4" s="1664"/>
      <c r="J4" s="418"/>
      <c r="K4" s="418"/>
      <c r="L4" s="418"/>
    </row>
    <row r="5" spans="1:12" ht="13.5" customHeight="1" thickBot="1">
      <c r="A5" s="2312"/>
      <c r="B5" s="2312"/>
      <c r="C5" s="2339"/>
      <c r="D5" s="2312"/>
      <c r="E5" s="2312"/>
      <c r="F5" s="2312" t="s">
        <v>202</v>
      </c>
      <c r="G5" s="2312" t="s">
        <v>233</v>
      </c>
      <c r="H5" s="2407"/>
      <c r="I5" s="1664"/>
      <c r="J5" s="418"/>
      <c r="K5" s="418"/>
      <c r="L5" s="418"/>
    </row>
    <row r="6" spans="1:12" ht="21.75" customHeight="1" thickBot="1">
      <c r="A6" s="2330"/>
      <c r="B6" s="2330"/>
      <c r="C6" s="2395"/>
      <c r="D6" s="2330"/>
      <c r="E6" s="2330"/>
      <c r="F6" s="2330"/>
      <c r="G6" s="2330"/>
      <c r="H6" s="2408"/>
      <c r="I6" s="1664"/>
      <c r="J6" s="418"/>
      <c r="K6" s="418"/>
      <c r="L6" s="418"/>
    </row>
    <row r="7" spans="1:12" ht="15.75" thickBot="1">
      <c r="A7" s="602" t="s">
        <v>318</v>
      </c>
      <c r="B7" s="1303"/>
      <c r="C7" s="1303"/>
      <c r="D7" s="522" t="s">
        <v>215</v>
      </c>
      <c r="E7" s="522">
        <v>100</v>
      </c>
      <c r="F7" s="1304">
        <f>+F8+F10+F20+F23+F26</f>
        <v>506064267</v>
      </c>
      <c r="G7" s="1304">
        <f>+G8+G10+G20+G23+G26</f>
        <v>229070802.17999998</v>
      </c>
      <c r="H7" s="1305">
        <f>+H8+H10+H20+H23+H26</f>
        <v>735135069.17999995</v>
      </c>
    </row>
    <row r="8" spans="1:12" ht="28.5" customHeight="1">
      <c r="A8" s="1088" t="s">
        <v>319</v>
      </c>
      <c r="B8" s="1071"/>
      <c r="C8" s="1071"/>
      <c r="D8" s="1090" t="s">
        <v>211</v>
      </c>
      <c r="E8" s="1090">
        <v>2</v>
      </c>
      <c r="F8" s="1255">
        <f>+F9</f>
        <v>445126124</v>
      </c>
      <c r="G8" s="1257">
        <f>+G9</f>
        <v>0</v>
      </c>
      <c r="H8" s="1224">
        <f>SUM(H9:H9)</f>
        <v>445126124</v>
      </c>
    </row>
    <row r="9" spans="1:12" s="1629" customFormat="1" ht="28.5" customHeight="1">
      <c r="A9" s="760" t="s">
        <v>723</v>
      </c>
      <c r="B9" s="20" t="s">
        <v>237</v>
      </c>
      <c r="C9" s="30" t="s">
        <v>878</v>
      </c>
      <c r="D9" s="1627" t="s">
        <v>703</v>
      </c>
      <c r="E9" s="1627"/>
      <c r="F9" s="300">
        <f>437785677+6285000+1055447</f>
        <v>445126124</v>
      </c>
      <c r="G9" s="315"/>
      <c r="H9" s="279">
        <f>SUM(F9:G9)</f>
        <v>445126124</v>
      </c>
      <c r="I9" s="1628"/>
    </row>
    <row r="10" spans="1:12" ht="76.5">
      <c r="A10" s="173" t="s">
        <v>320</v>
      </c>
      <c r="B10" s="175"/>
      <c r="C10" s="175"/>
      <c r="D10" s="178" t="s">
        <v>211</v>
      </c>
      <c r="E10" s="178">
        <v>37</v>
      </c>
      <c r="F10" s="765">
        <f>SUM(F11:F19)</f>
        <v>60938143</v>
      </c>
      <c r="G10" s="303">
        <f>SUM(G11:G19)</f>
        <v>111461471.79999998</v>
      </c>
      <c r="H10" s="277">
        <f>SUM(H11:H19)</f>
        <v>172399614.79999998</v>
      </c>
    </row>
    <row r="11" spans="1:12" s="1" customFormat="1" ht="12.75">
      <c r="A11" s="10" t="s">
        <v>724</v>
      </c>
      <c r="B11" s="20" t="s">
        <v>237</v>
      </c>
      <c r="C11" s="30" t="s">
        <v>878</v>
      </c>
      <c r="D11" s="17"/>
      <c r="E11" s="17">
        <v>11</v>
      </c>
      <c r="F11" s="315"/>
      <c r="G11" s="300">
        <v>45044279.280000001</v>
      </c>
      <c r="H11" s="296">
        <f>3900000*1.004*1.0458*E11</f>
        <v>45044279.280000001</v>
      </c>
    </row>
    <row r="12" spans="1:12" s="1" customFormat="1" ht="25.5">
      <c r="A12" s="10" t="s">
        <v>902</v>
      </c>
      <c r="B12" s="20" t="s">
        <v>237</v>
      </c>
      <c r="C12" s="30" t="s">
        <v>878</v>
      </c>
      <c r="D12" s="17"/>
      <c r="E12" s="17">
        <v>2</v>
      </c>
      <c r="F12" s="315"/>
      <c r="G12" s="300">
        <v>6929889.1200000001</v>
      </c>
      <c r="H12" s="296">
        <f>+F12+G12</f>
        <v>6929889.1200000001</v>
      </c>
    </row>
    <row r="13" spans="1:12" s="65" customFormat="1" ht="12.75">
      <c r="A13" s="760" t="s">
        <v>725</v>
      </c>
      <c r="B13" s="20" t="s">
        <v>237</v>
      </c>
      <c r="C13" s="30" t="s">
        <v>878</v>
      </c>
      <c r="D13" s="763"/>
      <c r="E13" s="763">
        <v>8</v>
      </c>
      <c r="F13" s="315"/>
      <c r="G13" s="300">
        <v>27719556.48</v>
      </c>
      <c r="H13" s="767">
        <f t="shared" ref="H13:H16" si="0">+F13+G13</f>
        <v>27719556.48</v>
      </c>
    </row>
    <row r="14" spans="1:12" s="1629" customFormat="1" ht="15.75" customHeight="1">
      <c r="A14" s="760" t="s">
        <v>726</v>
      </c>
      <c r="B14" s="20" t="s">
        <v>237</v>
      </c>
      <c r="C14" s="30" t="s">
        <v>878</v>
      </c>
      <c r="D14" s="1627"/>
      <c r="E14" s="1627">
        <v>4</v>
      </c>
      <c r="F14" s="315"/>
      <c r="G14" s="300">
        <v>13654400.24</v>
      </c>
      <c r="H14" s="767">
        <f t="shared" si="0"/>
        <v>13654400.24</v>
      </c>
      <c r="I14" s="1561"/>
    </row>
    <row r="15" spans="1:12" s="1628" customFormat="1" ht="18.75" customHeight="1">
      <c r="A15" s="1728" t="s">
        <v>998</v>
      </c>
      <c r="B15" s="20" t="s">
        <v>237</v>
      </c>
      <c r="C15" s="30" t="s">
        <v>878</v>
      </c>
      <c r="D15" s="1627"/>
      <c r="E15" s="1627">
        <v>3</v>
      </c>
      <c r="F15" s="315"/>
      <c r="G15" s="300">
        <v>4718800</v>
      </c>
      <c r="H15" s="767">
        <f t="shared" si="0"/>
        <v>4718800</v>
      </c>
    </row>
    <row r="16" spans="1:12" s="1628" customFormat="1" ht="12.75">
      <c r="A16" s="760" t="s">
        <v>727</v>
      </c>
      <c r="B16" s="20" t="s">
        <v>237</v>
      </c>
      <c r="C16" s="30" t="s">
        <v>878</v>
      </c>
      <c r="D16" s="1627"/>
      <c r="E16" s="1627">
        <v>3</v>
      </c>
      <c r="F16" s="315"/>
      <c r="G16" s="300">
        <v>10394833.68</v>
      </c>
      <c r="H16" s="767">
        <f t="shared" si="0"/>
        <v>10394833.68</v>
      </c>
    </row>
    <row r="17" spans="1:9" s="1628" customFormat="1" ht="12.75">
      <c r="A17" s="760" t="s">
        <v>885</v>
      </c>
      <c r="B17" s="20" t="s">
        <v>237</v>
      </c>
      <c r="C17" s="30" t="s">
        <v>878</v>
      </c>
      <c r="D17" s="1627"/>
      <c r="E17" s="1627">
        <v>2</v>
      </c>
      <c r="F17" s="315"/>
      <c r="G17" s="300">
        <v>2222856</v>
      </c>
      <c r="H17" s="767">
        <f>+F17+G17</f>
        <v>2222856</v>
      </c>
      <c r="I17" s="1561"/>
    </row>
    <row r="18" spans="1:9" s="1628" customFormat="1" ht="12.75">
      <c r="A18" s="760" t="s">
        <v>728</v>
      </c>
      <c r="B18" s="20" t="s">
        <v>237</v>
      </c>
      <c r="C18" s="30" t="s">
        <v>878</v>
      </c>
      <c r="D18" s="1627"/>
      <c r="E18" s="1627"/>
      <c r="F18" s="300"/>
      <c r="G18" s="300"/>
      <c r="H18" s="767">
        <f t="shared" ref="H18" si="1">+F18+G18</f>
        <v>0</v>
      </c>
      <c r="I18" s="764"/>
    </row>
    <row r="19" spans="1:9" s="71" customFormat="1">
      <c r="A19" s="760" t="s">
        <v>1000</v>
      </c>
      <c r="B19" s="20" t="s">
        <v>237</v>
      </c>
      <c r="C19" s="30" t="s">
        <v>878</v>
      </c>
      <c r="D19" s="763"/>
      <c r="E19" s="763"/>
      <c r="F19" s="300">
        <f>61715000-776857</f>
        <v>60938143</v>
      </c>
      <c r="G19" s="300">
        <v>776857</v>
      </c>
      <c r="H19" s="767">
        <f>+F19+G19</f>
        <v>61715000</v>
      </c>
      <c r="I19" s="65"/>
    </row>
    <row r="20" spans="1:9" s="1" customFormat="1" ht="25.5">
      <c r="A20" s="173" t="s">
        <v>321</v>
      </c>
      <c r="B20" s="175"/>
      <c r="C20" s="175"/>
      <c r="D20" s="178" t="s">
        <v>211</v>
      </c>
      <c r="E20" s="178">
        <v>1</v>
      </c>
      <c r="F20" s="299">
        <f>+F21+F22</f>
        <v>0</v>
      </c>
      <c r="G20" s="299"/>
      <c r="H20" s="277">
        <f>SUM(H21:H22)</f>
        <v>0</v>
      </c>
      <c r="I20"/>
    </row>
    <row r="21" spans="1:9" s="1" customFormat="1" ht="12.75">
      <c r="A21" s="10"/>
      <c r="B21" s="20" t="s">
        <v>237</v>
      </c>
      <c r="C21" s="30" t="s">
        <v>878</v>
      </c>
      <c r="D21" s="17"/>
      <c r="E21" s="17"/>
      <c r="F21" s="315"/>
      <c r="G21" s="315"/>
      <c r="H21" s="296"/>
    </row>
    <row r="22" spans="1:9" s="1" customFormat="1" ht="12.75">
      <c r="A22" s="10"/>
      <c r="B22" s="179"/>
      <c r="C22" s="179"/>
      <c r="D22" s="17"/>
      <c r="E22" s="17"/>
      <c r="F22" s="315"/>
      <c r="G22" s="315"/>
      <c r="H22" s="296"/>
    </row>
    <row r="23" spans="1:9" s="1" customFormat="1">
      <c r="A23" s="173" t="s">
        <v>322</v>
      </c>
      <c r="B23" s="175"/>
      <c r="C23" s="175"/>
      <c r="D23" s="178"/>
      <c r="E23" s="178">
        <v>1</v>
      </c>
      <c r="F23" s="765">
        <f>+F24+F25</f>
        <v>0</v>
      </c>
      <c r="G23" s="765">
        <f>+G24</f>
        <v>50199999.780000098</v>
      </c>
      <c r="H23" s="277">
        <f>+H24</f>
        <v>50199999.780000098</v>
      </c>
      <c r="I23"/>
    </row>
    <row r="24" spans="1:9" s="1628" customFormat="1" ht="12.75">
      <c r="A24" s="760" t="s">
        <v>729</v>
      </c>
      <c r="B24" s="20" t="s">
        <v>237</v>
      </c>
      <c r="C24" s="30" t="s">
        <v>878</v>
      </c>
      <c r="D24" s="1627" t="s">
        <v>730</v>
      </c>
      <c r="E24" s="1627">
        <v>1</v>
      </c>
      <c r="F24" s="300"/>
      <c r="G24" s="300">
        <f>51845130.7800001-1645131</f>
        <v>50199999.780000098</v>
      </c>
      <c r="H24" s="767">
        <f>+F24+G24</f>
        <v>50199999.780000098</v>
      </c>
      <c r="I24" s="642"/>
    </row>
    <row r="25" spans="1:9" s="1" customFormat="1" ht="12.75">
      <c r="A25" s="10"/>
      <c r="B25" s="179"/>
      <c r="C25" s="179"/>
      <c r="D25" s="17"/>
      <c r="E25" s="17"/>
      <c r="F25" s="315"/>
      <c r="G25" s="315"/>
      <c r="H25" s="296"/>
    </row>
    <row r="26" spans="1:9" s="1" customFormat="1" ht="12.75">
      <c r="A26" s="346" t="s">
        <v>814</v>
      </c>
      <c r="B26" s="347"/>
      <c r="C26" s="347"/>
      <c r="D26" s="174"/>
      <c r="E26" s="174"/>
      <c r="F26" s="451"/>
      <c r="G26" s="452">
        <f>+G27</f>
        <v>67409330.599999905</v>
      </c>
      <c r="H26" s="348">
        <f>SUM(H27)</f>
        <v>67409330.599999905</v>
      </c>
    </row>
    <row r="27" spans="1:9" s="1629" customFormat="1" ht="15.75" thickBot="1">
      <c r="A27" s="55" t="s">
        <v>323</v>
      </c>
      <c r="B27" s="637" t="s">
        <v>242</v>
      </c>
      <c r="C27" s="537">
        <v>64112</v>
      </c>
      <c r="D27" s="21"/>
      <c r="E27" s="21"/>
      <c r="F27" s="633"/>
      <c r="G27" s="1301">
        <f>71760275.5999999-4350945</f>
        <v>67409330.599999905</v>
      </c>
      <c r="H27" s="1868">
        <f>SUM(F27:G27)</f>
        <v>67409330.599999905</v>
      </c>
      <c r="I27" s="1561"/>
    </row>
    <row r="28" spans="1:9" ht="25.5" customHeight="1" thickBot="1">
      <c r="A28" s="602" t="s">
        <v>324</v>
      </c>
      <c r="B28" s="1303"/>
      <c r="C28" s="1303"/>
      <c r="D28" s="522" t="s">
        <v>215</v>
      </c>
      <c r="E28" s="522">
        <v>100</v>
      </c>
      <c r="F28" s="1304">
        <f>+F29+F32+F45</f>
        <v>1882290502</v>
      </c>
      <c r="G28" s="1304">
        <f>+G29+G32+G45</f>
        <v>176459400.65999991</v>
      </c>
      <c r="H28" s="1305">
        <f>+H29+H32+H45</f>
        <v>2058749902.6599998</v>
      </c>
    </row>
    <row r="29" spans="1:9" s="1" customFormat="1" ht="12.75" customHeight="1">
      <c r="A29" s="1088" t="s">
        <v>325</v>
      </c>
      <c r="B29" s="1071"/>
      <c r="C29" s="1071"/>
      <c r="D29" s="1090" t="s">
        <v>211</v>
      </c>
      <c r="E29" s="1090">
        <v>2</v>
      </c>
      <c r="F29" s="1255">
        <f>+F30</f>
        <v>1882290502</v>
      </c>
      <c r="G29" s="1257"/>
      <c r="H29" s="1224">
        <f>SUM(H30:H31)</f>
        <v>1882290502</v>
      </c>
      <c r="I29"/>
    </row>
    <row r="30" spans="1:9" s="1628" customFormat="1" ht="28.5" customHeight="1">
      <c r="A30" s="760" t="s">
        <v>731</v>
      </c>
      <c r="B30" s="20" t="s">
        <v>247</v>
      </c>
      <c r="C30" s="30" t="s">
        <v>901</v>
      </c>
      <c r="D30" s="1627" t="s">
        <v>732</v>
      </c>
      <c r="E30" s="1627">
        <v>2</v>
      </c>
      <c r="F30" s="300">
        <f>1699575946+600000000-1055447-416229997</f>
        <v>1882290502</v>
      </c>
      <c r="G30" s="315"/>
      <c r="H30" s="1932">
        <f>SUM(F30:G30)</f>
        <v>1882290502</v>
      </c>
    </row>
    <row r="31" spans="1:9" s="1" customFormat="1" ht="12.75">
      <c r="A31" s="10"/>
      <c r="B31" s="179"/>
      <c r="C31" s="179"/>
      <c r="D31" s="17"/>
      <c r="E31" s="17"/>
      <c r="F31" s="315"/>
      <c r="G31" s="315"/>
      <c r="H31" s="296"/>
    </row>
    <row r="32" spans="1:9" s="1" customFormat="1" ht="38.25">
      <c r="A32" s="173" t="s">
        <v>326</v>
      </c>
      <c r="B32" s="175"/>
      <c r="C32" s="175"/>
      <c r="D32" s="178" t="s">
        <v>210</v>
      </c>
      <c r="E32" s="178">
        <v>1</v>
      </c>
      <c r="F32" s="765">
        <f>SUM(F33:F43)</f>
        <v>0</v>
      </c>
      <c r="G32" s="765">
        <f>SUM(G33:G43)</f>
        <v>136235900.13999999</v>
      </c>
      <c r="H32" s="277">
        <f>SUM(H33:H43)</f>
        <v>136235900.13999999</v>
      </c>
      <c r="I32"/>
    </row>
    <row r="33" spans="1:9" s="1628" customFormat="1" ht="51">
      <c r="A33" s="20" t="s">
        <v>1131</v>
      </c>
      <c r="B33" s="20" t="s">
        <v>1130</v>
      </c>
      <c r="C33" s="30">
        <v>4219946</v>
      </c>
      <c r="D33" s="1627" t="s">
        <v>1119</v>
      </c>
      <c r="E33" s="1627">
        <v>70</v>
      </c>
      <c r="F33" s="445"/>
      <c r="G33" s="445">
        <f>10780000*1.004-2752254</f>
        <v>8070866</v>
      </c>
      <c r="H33" s="767">
        <f>+F33+G33</f>
        <v>8070866</v>
      </c>
      <c r="I33" s="1561"/>
    </row>
    <row r="34" spans="1:9" s="1628" customFormat="1" ht="89.25">
      <c r="A34" s="20" t="s">
        <v>1129</v>
      </c>
      <c r="B34" s="20" t="s">
        <v>287</v>
      </c>
      <c r="C34" s="30">
        <v>2823127</v>
      </c>
      <c r="D34" s="1627" t="s">
        <v>1119</v>
      </c>
      <c r="E34" s="1627">
        <v>140</v>
      </c>
      <c r="F34" s="445"/>
      <c r="G34" s="445">
        <f>22722000*1.004-5800615</f>
        <v>17012273</v>
      </c>
      <c r="H34" s="767">
        <f t="shared" ref="H34:H43" si="2">+F34+G34</f>
        <v>17012273</v>
      </c>
      <c r="I34" s="1561"/>
    </row>
    <row r="35" spans="1:9" s="1628" customFormat="1" ht="76.5">
      <c r="A35" s="20" t="s">
        <v>1128</v>
      </c>
      <c r="B35" s="20" t="s">
        <v>870</v>
      </c>
      <c r="C35" s="30">
        <v>31700</v>
      </c>
      <c r="D35" s="1627" t="s">
        <v>1119</v>
      </c>
      <c r="E35" s="1627">
        <v>70</v>
      </c>
      <c r="F35" s="445"/>
      <c r="G35" s="445">
        <f>3388000*1.004-868590</f>
        <v>2532962</v>
      </c>
      <c r="H35" s="767">
        <f t="shared" si="2"/>
        <v>2532962</v>
      </c>
      <c r="I35" s="1561"/>
    </row>
    <row r="36" spans="1:9" s="1628" customFormat="1" ht="12.75">
      <c r="A36" s="2029" t="s">
        <v>1127</v>
      </c>
      <c r="B36" s="20" t="s">
        <v>1087</v>
      </c>
      <c r="C36" s="30">
        <v>48150</v>
      </c>
      <c r="D36" s="1627" t="s">
        <v>1119</v>
      </c>
      <c r="E36" s="1627">
        <v>35</v>
      </c>
      <c r="F36" s="445"/>
      <c r="G36" s="445">
        <f>297250*1.004*35-208961</f>
        <v>10236404</v>
      </c>
      <c r="H36" s="767">
        <f t="shared" si="2"/>
        <v>10236404</v>
      </c>
      <c r="I36" s="1561"/>
    </row>
    <row r="37" spans="1:9" s="1628" customFormat="1" ht="12.75">
      <c r="A37" s="2030" t="s">
        <v>1126</v>
      </c>
      <c r="B37" s="20" t="s">
        <v>1087</v>
      </c>
      <c r="C37" s="30">
        <v>48150</v>
      </c>
      <c r="D37" s="1627" t="s">
        <v>1119</v>
      </c>
      <c r="E37" s="1627">
        <v>35</v>
      </c>
      <c r="F37" s="445"/>
      <c r="G37" s="445">
        <f>185350*1.004*35-130297</f>
        <v>6382902</v>
      </c>
      <c r="H37" s="767">
        <f t="shared" si="2"/>
        <v>6382902</v>
      </c>
      <c r="I37" s="1561"/>
    </row>
    <row r="38" spans="1:9" s="1628" customFormat="1" ht="12.75">
      <c r="A38" s="2029" t="s">
        <v>1125</v>
      </c>
      <c r="B38" s="20" t="s">
        <v>870</v>
      </c>
      <c r="C38" s="30">
        <v>3694005</v>
      </c>
      <c r="D38" s="1627" t="s">
        <v>1119</v>
      </c>
      <c r="E38" s="1627">
        <v>35</v>
      </c>
      <c r="F38" s="445"/>
      <c r="G38" s="445">
        <f>259501*1.004*35-182377</f>
        <v>8936488.1400000006</v>
      </c>
      <c r="H38" s="767">
        <f t="shared" si="2"/>
        <v>8936488.1400000006</v>
      </c>
      <c r="I38" s="1561"/>
    </row>
    <row r="39" spans="1:9" s="1628" customFormat="1" ht="12.75">
      <c r="A39" s="2031" t="s">
        <v>1124</v>
      </c>
      <c r="B39" s="20" t="s">
        <v>1087</v>
      </c>
      <c r="C39" s="30">
        <v>48150</v>
      </c>
      <c r="D39" s="1627" t="s">
        <v>1119</v>
      </c>
      <c r="E39" s="1627">
        <v>35</v>
      </c>
      <c r="F39" s="445"/>
      <c r="G39" s="445">
        <f>513000*1.004*35-360629</f>
        <v>17666191</v>
      </c>
      <c r="H39" s="767">
        <f t="shared" si="2"/>
        <v>17666191</v>
      </c>
      <c r="I39" s="1561"/>
    </row>
    <row r="40" spans="1:9" s="1628" customFormat="1" ht="25.5">
      <c r="A40" s="2032" t="s">
        <v>1123</v>
      </c>
      <c r="B40" s="20" t="s">
        <v>1087</v>
      </c>
      <c r="C40" s="30">
        <v>48150</v>
      </c>
      <c r="D40" s="1627" t="s">
        <v>1119</v>
      </c>
      <c r="E40" s="1627">
        <v>35</v>
      </c>
      <c r="F40" s="445"/>
      <c r="G40" s="445">
        <f>464750*1.004*35-326710</f>
        <v>16004605</v>
      </c>
      <c r="H40" s="767">
        <f t="shared" si="2"/>
        <v>16004605</v>
      </c>
      <c r="I40" s="1561"/>
    </row>
    <row r="41" spans="1:9" s="1628" customFormat="1" ht="12.75">
      <c r="A41" s="2031" t="s">
        <v>1122</v>
      </c>
      <c r="B41" s="20" t="s">
        <v>870</v>
      </c>
      <c r="C41" s="30">
        <v>36490</v>
      </c>
      <c r="D41" s="1627" t="s">
        <v>1119</v>
      </c>
      <c r="E41" s="1627">
        <v>35</v>
      </c>
      <c r="F41" s="445"/>
      <c r="G41" s="445">
        <f>464750*1.004*35-326626</f>
        <v>16004689</v>
      </c>
      <c r="H41" s="767">
        <f t="shared" si="2"/>
        <v>16004689</v>
      </c>
      <c r="I41" s="1561"/>
    </row>
    <row r="42" spans="1:9" s="1628" customFormat="1" ht="12.75">
      <c r="A42" s="2031" t="s">
        <v>1121</v>
      </c>
      <c r="B42" s="20" t="s">
        <v>870</v>
      </c>
      <c r="C42" s="30">
        <v>36490</v>
      </c>
      <c r="D42" s="1627" t="s">
        <v>1119</v>
      </c>
      <c r="E42" s="1627">
        <v>35</v>
      </c>
      <c r="F42" s="445"/>
      <c r="G42" s="445">
        <f>583750*1.004*35-410259</f>
        <v>20102716</v>
      </c>
      <c r="H42" s="767">
        <f t="shared" si="2"/>
        <v>20102716</v>
      </c>
      <c r="I42" s="1561"/>
    </row>
    <row r="43" spans="1:9" s="1628" customFormat="1" ht="12.75">
      <c r="A43" s="2031" t="s">
        <v>1120</v>
      </c>
      <c r="B43" s="20" t="s">
        <v>287</v>
      </c>
      <c r="C43" s="30">
        <v>28242</v>
      </c>
      <c r="D43" s="1627" t="s">
        <v>1119</v>
      </c>
      <c r="E43" s="1627">
        <v>35</v>
      </c>
      <c r="F43" s="445"/>
      <c r="G43" s="445">
        <f>385800*1.004*35-271208</f>
        <v>13285804</v>
      </c>
      <c r="H43" s="767">
        <f t="shared" si="2"/>
        <v>13285804</v>
      </c>
      <c r="I43" s="1561"/>
    </row>
    <row r="44" spans="1:9" s="1628" customFormat="1" ht="12.75">
      <c r="A44" s="760"/>
      <c r="B44" s="20"/>
      <c r="C44" s="30"/>
      <c r="D44" s="1627"/>
      <c r="E44" s="1627"/>
      <c r="F44" s="300"/>
      <c r="G44" s="300"/>
      <c r="H44" s="767"/>
    </row>
    <row r="45" spans="1:9" s="1" customFormat="1" ht="12.75">
      <c r="A45" s="346" t="s">
        <v>814</v>
      </c>
      <c r="B45" s="178" t="s">
        <v>242</v>
      </c>
      <c r="C45" s="178">
        <v>64112</v>
      </c>
      <c r="D45" s="174"/>
      <c r="E45" s="174"/>
      <c r="F45" s="451"/>
      <c r="G45" s="452">
        <f>SUM(G46:G47)</f>
        <v>40223500.519999921</v>
      </c>
      <c r="H45" s="1867">
        <f>SUM(H46:H47)</f>
        <v>40223500.519999921</v>
      </c>
    </row>
    <row r="46" spans="1:9" s="1629" customFormat="1">
      <c r="A46" s="55" t="s">
        <v>814</v>
      </c>
      <c r="B46" s="637" t="s">
        <v>242</v>
      </c>
      <c r="C46" s="537">
        <v>64112</v>
      </c>
      <c r="D46" s="21"/>
      <c r="E46" s="21"/>
      <c r="F46" s="633"/>
      <c r="G46" s="445">
        <f>30000000-1802749</f>
        <v>28197251</v>
      </c>
      <c r="H46" s="1868">
        <f>+G46</f>
        <v>28197251</v>
      </c>
      <c r="I46" s="1628">
        <f>+G46-'[1]ACCIONES 320502'!$G$46</f>
        <v>0</v>
      </c>
    </row>
    <row r="47" spans="1:9" s="1629" customFormat="1" ht="15.75" thickBot="1">
      <c r="A47" s="1869" t="s">
        <v>1160</v>
      </c>
      <c r="B47" s="637" t="s">
        <v>242</v>
      </c>
      <c r="C47" s="537">
        <v>64112</v>
      </c>
      <c r="D47" s="1864" t="s">
        <v>1119</v>
      </c>
      <c r="E47" s="1865">
        <v>1</v>
      </c>
      <c r="F47" s="1866"/>
      <c r="G47" s="445">
        <v>12026249.519999921</v>
      </c>
      <c r="H47" s="1870">
        <f>+G47</f>
        <v>12026249.519999921</v>
      </c>
      <c r="I47" s="1628"/>
    </row>
    <row r="48" spans="1:9" ht="15.75" thickBot="1">
      <c r="A48" s="2404" t="s">
        <v>10</v>
      </c>
      <c r="B48" s="2405"/>
      <c r="C48" s="2405"/>
      <c r="D48" s="2405"/>
      <c r="E48" s="2406"/>
      <c r="F48" s="1469">
        <f>+F28+F7</f>
        <v>2388354769</v>
      </c>
      <c r="G48" s="1469">
        <f>+G28+G7</f>
        <v>405530202.83999991</v>
      </c>
      <c r="H48" s="1470">
        <f>+H28+H7</f>
        <v>2793884971.8399997</v>
      </c>
    </row>
    <row r="49" spans="3:8" ht="15.75" thickBot="1">
      <c r="H49" s="298"/>
    </row>
    <row r="50" spans="3:8" ht="15.75" thickBot="1">
      <c r="F50" s="748">
        <f>2999575946-194214323-776857-416229997</f>
        <v>2388354769</v>
      </c>
      <c r="G50" s="748">
        <f>223822680+194214323+776857-13283659</f>
        <v>405530201</v>
      </c>
      <c r="H50" s="748">
        <f>SUM(F50:G50)</f>
        <v>2793884970</v>
      </c>
    </row>
    <row r="52" spans="3:8" s="1629" customFormat="1">
      <c r="C52" s="1523"/>
      <c r="D52" s="1772"/>
      <c r="E52" s="1772"/>
      <c r="F52" s="1773">
        <f t="shared" ref="F52:H52" si="3">+F50-F48</f>
        <v>0</v>
      </c>
      <c r="G52" s="1773">
        <f t="shared" si="3"/>
        <v>-1.8399999141693115</v>
      </c>
      <c r="H52" s="1773">
        <f t="shared" si="3"/>
        <v>-1.8399996757507324</v>
      </c>
    </row>
    <row r="54" spans="3:8">
      <c r="G54" s="1773"/>
    </row>
    <row r="55" spans="3:8">
      <c r="F55" s="747"/>
      <c r="G55" s="1773"/>
    </row>
  </sheetData>
  <mergeCells count="12">
    <mergeCell ref="A48:E48"/>
    <mergeCell ref="A1:H1"/>
    <mergeCell ref="A2:H2"/>
    <mergeCell ref="F5:F6"/>
    <mergeCell ref="G5:G6"/>
    <mergeCell ref="F4:G4"/>
    <mergeCell ref="H4:H6"/>
    <mergeCell ref="A4:A6"/>
    <mergeCell ref="B4:B6"/>
    <mergeCell ref="D4:D6"/>
    <mergeCell ref="E4:E6"/>
    <mergeCell ref="C4:C6"/>
  </mergeCell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2">
    <tabColor theme="7" tint="0.59999389629810485"/>
  </sheetPr>
  <dimension ref="A1:M16"/>
  <sheetViews>
    <sheetView topLeftCell="B1" zoomScale="77" zoomScaleNormal="77" workbookViewId="0">
      <selection activeCell="F36" sqref="F36"/>
    </sheetView>
  </sheetViews>
  <sheetFormatPr baseColWidth="10" defaultRowHeight="15"/>
  <cols>
    <col min="2" max="2" width="41.85546875" customWidth="1"/>
    <col min="3" max="4" width="15.7109375" customWidth="1"/>
    <col min="5" max="6" width="16.140625" customWidth="1"/>
    <col min="7" max="7" width="15.7109375" customWidth="1"/>
    <col min="8" max="8" width="6.140625" customWidth="1"/>
    <col min="9" max="9" width="16.7109375" customWidth="1"/>
    <col min="10" max="10" width="32.140625" customWidth="1"/>
    <col min="11" max="11" width="16.28515625" customWidth="1"/>
    <col min="12" max="12" width="11.42578125" style="828"/>
    <col min="13" max="13" width="14" customWidth="1"/>
  </cols>
  <sheetData>
    <row r="1" spans="1:13" s="1" customFormat="1" ht="15" customHeight="1">
      <c r="A1" s="2409" t="s">
        <v>189</v>
      </c>
      <c r="B1" s="2409"/>
      <c r="C1" s="2409"/>
      <c r="D1" s="2409"/>
      <c r="E1" s="2409"/>
      <c r="F1" s="2409"/>
      <c r="G1" s="2409"/>
      <c r="L1" s="807"/>
    </row>
    <row r="2" spans="1:13" s="1" customFormat="1" ht="12.75">
      <c r="A2" s="2311" t="s">
        <v>191</v>
      </c>
      <c r="B2" s="2311"/>
      <c r="C2" s="2311"/>
      <c r="D2" s="2311"/>
      <c r="E2" s="2311"/>
      <c r="F2" s="2311"/>
      <c r="G2" s="2311"/>
      <c r="L2" s="807"/>
    </row>
    <row r="4" spans="1:13" ht="15.75" thickBot="1"/>
    <row r="5" spans="1:13" s="14" customFormat="1" ht="15" customHeight="1" thickBot="1">
      <c r="A5" s="2312" t="s">
        <v>394</v>
      </c>
      <c r="B5" s="2339" t="s">
        <v>198</v>
      </c>
      <c r="C5" s="2339">
        <v>2022</v>
      </c>
      <c r="D5" s="2339"/>
      <c r="E5" s="2339"/>
      <c r="F5" s="2339"/>
      <c r="G5" s="2339"/>
      <c r="I5" s="2390" t="s">
        <v>1003</v>
      </c>
      <c r="J5" s="2390"/>
      <c r="K5" s="2364" t="s">
        <v>1005</v>
      </c>
      <c r="L5" s="829"/>
      <c r="M5" s="2364" t="s">
        <v>1006</v>
      </c>
    </row>
    <row r="6" spans="1:13" s="14" customFormat="1" ht="15.75" thickBot="1">
      <c r="A6" s="2312"/>
      <c r="B6" s="2339"/>
      <c r="C6" s="2339" t="s">
        <v>200</v>
      </c>
      <c r="D6" s="2339" t="s">
        <v>201</v>
      </c>
      <c r="E6" s="2339" t="s">
        <v>199</v>
      </c>
      <c r="F6" s="2339"/>
      <c r="G6" s="2347" t="s">
        <v>205</v>
      </c>
      <c r="I6" s="2339" t="s">
        <v>233</v>
      </c>
      <c r="J6" s="2339" t="s">
        <v>385</v>
      </c>
      <c r="K6" s="2365"/>
      <c r="L6" s="829"/>
      <c r="M6" s="2365"/>
    </row>
    <row r="7" spans="1:13" s="14" customFormat="1" ht="15.75" thickBot="1">
      <c r="A7" s="2312"/>
      <c r="B7" s="2339"/>
      <c r="C7" s="2339"/>
      <c r="D7" s="2339"/>
      <c r="E7" s="1059" t="s">
        <v>233</v>
      </c>
      <c r="F7" s="1059" t="s">
        <v>202</v>
      </c>
      <c r="G7" s="2347"/>
      <c r="I7" s="2339"/>
      <c r="J7" s="2339"/>
      <c r="K7" s="2365"/>
      <c r="L7" s="829"/>
      <c r="M7" s="2365"/>
    </row>
    <row r="8" spans="1:13" s="14" customFormat="1" ht="26.25" thickBot="1">
      <c r="A8" s="194">
        <v>3205022</v>
      </c>
      <c r="B8" s="454" t="s">
        <v>4</v>
      </c>
      <c r="C8" s="612" t="s">
        <v>211</v>
      </c>
      <c r="D8" s="612">
        <v>5</v>
      </c>
      <c r="E8" s="613">
        <f>+E9</f>
        <v>154502988.59999999</v>
      </c>
      <c r="F8" s="613">
        <f>+F9</f>
        <v>15060000</v>
      </c>
      <c r="G8" s="614">
        <f>+'ACCIONES 320503'!H7</f>
        <v>169562988.87599999</v>
      </c>
      <c r="H8" s="353"/>
      <c r="I8" s="907">
        <f>+'ACCIONES 320503'!J7</f>
        <v>139500000</v>
      </c>
      <c r="J8" s="613">
        <f>+'ACCIONES 320503'!K7</f>
        <v>0</v>
      </c>
      <c r="K8" s="614">
        <f>+'ACCIONES 320503'!L7</f>
        <v>139500000</v>
      </c>
      <c r="L8" s="904"/>
      <c r="M8" s="614">
        <f>+'ACCIONES 320503'!N7</f>
        <v>309062988.87599999</v>
      </c>
    </row>
    <row r="9" spans="1:13" s="14" customFormat="1" ht="24.75" thickBot="1">
      <c r="B9" s="615" t="s">
        <v>328</v>
      </c>
      <c r="C9" s="616" t="s">
        <v>211</v>
      </c>
      <c r="D9" s="616">
        <v>5</v>
      </c>
      <c r="E9" s="617">
        <v>154502988.59999999</v>
      </c>
      <c r="F9" s="618">
        <v>15060000</v>
      </c>
      <c r="G9" s="619">
        <f>+'ACCIONES 320503'!H8</f>
        <v>169562988.87599999</v>
      </c>
      <c r="H9" s="353"/>
      <c r="I9" s="901">
        <f>+'ACCIONES 320503'!J8</f>
        <v>139500000</v>
      </c>
      <c r="J9" s="901">
        <f>+'ACCIONES 320503'!K8</f>
        <v>0</v>
      </c>
      <c r="K9" s="906">
        <f>+'ACCIONES 320503'!L8</f>
        <v>139500000</v>
      </c>
      <c r="L9" s="904"/>
      <c r="M9" s="906">
        <f>+'ACCIONES 320503'!N8</f>
        <v>309062988.87599999</v>
      </c>
    </row>
    <row r="10" spans="1:13" s="485" customFormat="1" ht="24.75" thickBot="1">
      <c r="A10" s="190">
        <v>3205022</v>
      </c>
      <c r="B10" s="407" t="s">
        <v>0</v>
      </c>
      <c r="C10" s="612" t="s">
        <v>210</v>
      </c>
      <c r="D10" s="612">
        <v>1</v>
      </c>
      <c r="E10" s="625">
        <f>+E11</f>
        <v>116484900</v>
      </c>
      <c r="F10" s="625">
        <f>+F11</f>
        <v>0</v>
      </c>
      <c r="G10" s="614">
        <f>+'ACCIONES 320503'!H19</f>
        <v>116484900</v>
      </c>
      <c r="H10" s="484"/>
      <c r="I10" s="907">
        <f>+'ACCIONES 320503'!J19</f>
        <v>0</v>
      </c>
      <c r="J10" s="613">
        <f>+'ACCIONES 320503'!K19</f>
        <v>0</v>
      </c>
      <c r="K10" s="614">
        <f>+'ACCIONES 320503'!L19</f>
        <v>0</v>
      </c>
      <c r="L10" s="904"/>
      <c r="M10" s="614">
        <f>+'ACCIONES 320503'!N19</f>
        <v>116484900</v>
      </c>
    </row>
    <row r="11" spans="1:13" s="14" customFormat="1" ht="15.75" thickBot="1">
      <c r="B11" s="620" t="s">
        <v>228</v>
      </c>
      <c r="C11" s="621" t="s">
        <v>210</v>
      </c>
      <c r="D11" s="621">
        <v>1</v>
      </c>
      <c r="E11" s="622">
        <v>116484900</v>
      </c>
      <c r="F11" s="623"/>
      <c r="G11" s="624">
        <f>+'ACCIONES 320503'!H20</f>
        <v>116484900</v>
      </c>
      <c r="H11" s="353"/>
      <c r="I11" s="901">
        <f>+'ACCIONES 320503'!J20</f>
        <v>0</v>
      </c>
      <c r="J11" s="901">
        <f>+'ACCIONES 320503'!K20</f>
        <v>0</v>
      </c>
      <c r="K11" s="906">
        <f>+'ACCIONES 320503'!L20</f>
        <v>0</v>
      </c>
      <c r="L11" s="904"/>
      <c r="M11" s="906">
        <f>+'ACCIONES 320503'!N20</f>
        <v>116484900</v>
      </c>
    </row>
    <row r="12" spans="1:13" s="59" customFormat="1" ht="15.75" thickBot="1">
      <c r="B12" s="2458" t="s">
        <v>229</v>
      </c>
      <c r="C12" s="2459"/>
      <c r="D12" s="2460"/>
      <c r="E12" s="1471">
        <f>+E10+E8</f>
        <v>270987888.60000002</v>
      </c>
      <c r="F12" s="1471">
        <f>+F10+F8</f>
        <v>15060000</v>
      </c>
      <c r="G12" s="1472">
        <f>+G10+G8</f>
        <v>286047888.87599999</v>
      </c>
      <c r="H12" s="353"/>
      <c r="I12" s="1473">
        <f>+'ACCIONES 320503'!J21</f>
        <v>139500000</v>
      </c>
      <c r="J12" s="1473">
        <f>+'ACCIONES 320503'!K21</f>
        <v>0</v>
      </c>
      <c r="K12" s="1474">
        <f>+'ACCIONES 320503'!L21</f>
        <v>139500000</v>
      </c>
      <c r="L12" s="904"/>
      <c r="M12" s="1474">
        <f>+'ACCIONES 320503'!N21</f>
        <v>425547888.87599999</v>
      </c>
    </row>
    <row r="13" spans="1:13" ht="15.75" thickBot="1"/>
    <row r="14" spans="1:13" ht="15.75" thickBot="1">
      <c r="E14" s="749">
        <v>270987888.60000002</v>
      </c>
      <c r="F14" s="749">
        <v>15060000</v>
      </c>
      <c r="G14" s="749">
        <v>286047888.60000002</v>
      </c>
      <c r="I14" s="749">
        <v>139500000</v>
      </c>
      <c r="J14" s="749">
        <f>62500000-62500000</f>
        <v>0</v>
      </c>
      <c r="K14" s="902">
        <f>+I14</f>
        <v>139500000</v>
      </c>
      <c r="M14" s="903">
        <f>+SUM(G14,K14)</f>
        <v>425547888.60000002</v>
      </c>
    </row>
    <row r="16" spans="1:13">
      <c r="E16" s="32">
        <f>+E14-E12</f>
        <v>0</v>
      </c>
      <c r="F16" s="32">
        <f t="shared" ref="F16:M16" si="0">+F14-F12</f>
        <v>0</v>
      </c>
      <c r="G16" s="32">
        <f t="shared" si="0"/>
        <v>-0.27599996328353882</v>
      </c>
      <c r="H16" s="32"/>
      <c r="I16" s="32">
        <f t="shared" si="0"/>
        <v>0</v>
      </c>
      <c r="J16" s="32">
        <f t="shared" si="0"/>
        <v>0</v>
      </c>
      <c r="K16" s="32">
        <f t="shared" si="0"/>
        <v>0</v>
      </c>
      <c r="L16" s="905"/>
      <c r="M16" s="32">
        <f t="shared" si="0"/>
        <v>-0.27599996328353882</v>
      </c>
    </row>
  </sheetData>
  <mergeCells count="15">
    <mergeCell ref="M5:M7"/>
    <mergeCell ref="J6:J7"/>
    <mergeCell ref="I6:I7"/>
    <mergeCell ref="I5:J5"/>
    <mergeCell ref="K5:K7"/>
    <mergeCell ref="B12:D12"/>
    <mergeCell ref="A1:G1"/>
    <mergeCell ref="A2:G2"/>
    <mergeCell ref="B5:B7"/>
    <mergeCell ref="C5:G5"/>
    <mergeCell ref="C6:C7"/>
    <mergeCell ref="D6:D7"/>
    <mergeCell ref="G6:G7"/>
    <mergeCell ref="E6:F6"/>
    <mergeCell ref="A5:A7"/>
  </mergeCell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3">
    <tabColor theme="7" tint="0.59999389629810485"/>
  </sheetPr>
  <dimension ref="A1:R42"/>
  <sheetViews>
    <sheetView workbookViewId="0">
      <selection activeCell="B33" sqref="B33"/>
    </sheetView>
  </sheetViews>
  <sheetFormatPr baseColWidth="10" defaultRowHeight="15"/>
  <cols>
    <col min="1" max="1" width="41.85546875" customWidth="1"/>
    <col min="2" max="2" width="16.42578125" customWidth="1"/>
    <col min="3" max="3" width="14.7109375" customWidth="1"/>
    <col min="4" max="4" width="8.140625" style="453" hidden="1" customWidth="1"/>
    <col min="5" max="5" width="10.7109375" style="453" hidden="1" customWidth="1"/>
    <col min="6" max="7" width="15.7109375" style="453" customWidth="1"/>
    <col min="8" max="8" width="16.85546875" style="183" customWidth="1"/>
    <col min="9" max="9" width="3.42578125" customWidth="1"/>
    <col min="10" max="10" width="17.5703125" customWidth="1"/>
    <col min="11" max="11" width="14.85546875" customWidth="1"/>
    <col min="12" max="12" width="16.28515625" customWidth="1"/>
    <col min="13" max="13" width="2.5703125" customWidth="1"/>
    <col min="14" max="14" width="18.5703125" customWidth="1"/>
    <col min="15" max="15" width="13.140625" bestFit="1" customWidth="1"/>
  </cols>
  <sheetData>
    <row r="1" spans="1:18" s="1" customFormat="1" ht="15" customHeight="1">
      <c r="A1" s="2409" t="s">
        <v>189</v>
      </c>
      <c r="B1" s="2409"/>
      <c r="C1" s="2409"/>
      <c r="D1" s="2409"/>
      <c r="E1" s="2409"/>
      <c r="F1" s="2409"/>
      <c r="G1" s="2409"/>
      <c r="H1" s="2409"/>
      <c r="I1" s="2409"/>
      <c r="J1" s="2409"/>
      <c r="K1" s="2409"/>
      <c r="O1" s="1663"/>
    </row>
    <row r="2" spans="1:18" s="1" customFormat="1" ht="12.75">
      <c r="A2" s="2311" t="s">
        <v>191</v>
      </c>
      <c r="B2" s="2311"/>
      <c r="C2" s="2311"/>
      <c r="D2" s="2311"/>
      <c r="E2" s="2311"/>
      <c r="F2" s="2311"/>
      <c r="G2" s="2311"/>
      <c r="H2" s="2311"/>
      <c r="I2" s="2311"/>
      <c r="J2" s="2311"/>
      <c r="K2" s="2311"/>
      <c r="O2" s="1663"/>
    </row>
    <row r="3" spans="1:18" ht="15.75" thickBot="1">
      <c r="A3" s="490"/>
      <c r="B3" s="490"/>
      <c r="C3" s="490"/>
      <c r="D3" s="490"/>
      <c r="E3" s="490"/>
      <c r="F3" s="490"/>
      <c r="G3" s="490"/>
      <c r="H3" s="490"/>
      <c r="O3" s="1664"/>
      <c r="P3" s="418"/>
      <c r="Q3" s="418"/>
      <c r="R3" s="418"/>
    </row>
    <row r="4" spans="1:18" ht="15" customHeight="1" thickBot="1">
      <c r="A4" s="2312" t="s">
        <v>446</v>
      </c>
      <c r="B4" s="2312" t="s">
        <v>447</v>
      </c>
      <c r="C4" s="2312" t="s">
        <v>865</v>
      </c>
      <c r="D4" s="2312" t="s">
        <v>448</v>
      </c>
      <c r="E4" s="2312" t="s">
        <v>201</v>
      </c>
      <c r="F4" s="2312" t="s">
        <v>199</v>
      </c>
      <c r="G4" s="2312"/>
      <c r="H4" s="2312" t="s">
        <v>352</v>
      </c>
      <c r="J4" s="2390" t="s">
        <v>1003</v>
      </c>
      <c r="K4" s="2390"/>
      <c r="L4" s="2364" t="s">
        <v>1005</v>
      </c>
      <c r="M4" s="418"/>
      <c r="N4" s="2364" t="s">
        <v>1006</v>
      </c>
      <c r="O4" s="1664"/>
      <c r="P4" s="418"/>
      <c r="Q4" s="418"/>
      <c r="R4" s="418"/>
    </row>
    <row r="5" spans="1:18" ht="15.75" thickBot="1">
      <c r="A5" s="2312"/>
      <c r="B5" s="2312"/>
      <c r="C5" s="2312"/>
      <c r="D5" s="2312"/>
      <c r="E5" s="2312"/>
      <c r="F5" s="2339" t="s">
        <v>233</v>
      </c>
      <c r="G5" s="2339" t="s">
        <v>202</v>
      </c>
      <c r="H5" s="2312"/>
      <c r="J5" s="2339" t="s">
        <v>233</v>
      </c>
      <c r="K5" s="2339" t="s">
        <v>385</v>
      </c>
      <c r="L5" s="2365"/>
      <c r="M5" s="418"/>
      <c r="N5" s="2365"/>
      <c r="O5" s="1664"/>
      <c r="P5" s="418"/>
      <c r="Q5" s="418"/>
      <c r="R5" s="418"/>
    </row>
    <row r="6" spans="1:18" ht="15.75" thickBot="1">
      <c r="A6" s="2330"/>
      <c r="B6" s="2330"/>
      <c r="C6" s="2330"/>
      <c r="D6" s="2330"/>
      <c r="E6" s="2330"/>
      <c r="F6" s="2395"/>
      <c r="G6" s="2395"/>
      <c r="H6" s="2330"/>
      <c r="J6" s="2395"/>
      <c r="K6" s="2395"/>
      <c r="L6" s="2391"/>
      <c r="M6" s="418"/>
      <c r="N6" s="2391"/>
      <c r="O6" s="1664"/>
      <c r="P6" s="418"/>
      <c r="Q6" s="418"/>
      <c r="R6" s="418"/>
    </row>
    <row r="7" spans="1:18" ht="26.25" thickBot="1">
      <c r="A7" s="454" t="s">
        <v>4</v>
      </c>
      <c r="B7" s="1100"/>
      <c r="C7" s="1100"/>
      <c r="D7" s="1100" t="s">
        <v>211</v>
      </c>
      <c r="E7" s="1100">
        <v>5</v>
      </c>
      <c r="F7" s="1284">
        <f>F8</f>
        <v>154502988.87599999</v>
      </c>
      <c r="G7" s="1284">
        <f>G8</f>
        <v>15060000</v>
      </c>
      <c r="H7" s="1285">
        <f>+H8</f>
        <v>169562988.87599999</v>
      </c>
      <c r="I7" s="63"/>
      <c r="J7" s="1283">
        <f>J8</f>
        <v>139500000</v>
      </c>
      <c r="K7" s="1284">
        <f>K8</f>
        <v>0</v>
      </c>
      <c r="L7" s="1285">
        <f>+L8</f>
        <v>139500000</v>
      </c>
      <c r="N7" s="1282">
        <f>+H7+L7</f>
        <v>309062988.87599999</v>
      </c>
    </row>
    <row r="8" spans="1:18" ht="25.5">
      <c r="A8" s="1088" t="s">
        <v>328</v>
      </c>
      <c r="B8" s="1090"/>
      <c r="C8" s="1090"/>
      <c r="D8" s="1090" t="s">
        <v>211</v>
      </c>
      <c r="E8" s="1090">
        <v>5</v>
      </c>
      <c r="F8" s="1232">
        <f>SUM(F9:F18)</f>
        <v>154502988.87599999</v>
      </c>
      <c r="G8" s="1306">
        <f>SUM(G9:G18)</f>
        <v>15060000</v>
      </c>
      <c r="H8" s="1278">
        <f>SUM(H9:I18)</f>
        <v>169562988.87599999</v>
      </c>
      <c r="I8" s="63"/>
      <c r="J8" s="1307">
        <f>SUM(J9:J18)</f>
        <v>139500000</v>
      </c>
      <c r="K8" s="1307">
        <f>SUM(K9:K18)</f>
        <v>0</v>
      </c>
      <c r="L8" s="1278">
        <f>SUM(L9:L18)</f>
        <v>139500000</v>
      </c>
      <c r="N8" s="1302">
        <f t="shared" ref="N8:N20" si="0">+H8+L8</f>
        <v>309062988.87599999</v>
      </c>
    </row>
    <row r="9" spans="1:18" s="1628" customFormat="1" ht="26.25" customHeight="1">
      <c r="A9" s="760" t="s">
        <v>1018</v>
      </c>
      <c r="B9" s="34" t="s">
        <v>251</v>
      </c>
      <c r="C9" s="34">
        <v>43410</v>
      </c>
      <c r="D9" s="1627" t="s">
        <v>211</v>
      </c>
      <c r="E9" s="1627">
        <v>5</v>
      </c>
      <c r="F9" s="766">
        <v>29367000</v>
      </c>
      <c r="G9" s="766"/>
      <c r="H9" s="321">
        <f>SUM(F9:G9)</f>
        <v>29367000</v>
      </c>
      <c r="I9" s="1511"/>
      <c r="J9" s="1677"/>
      <c r="K9" s="766"/>
      <c r="L9" s="321">
        <f>SUM(J9:K9)</f>
        <v>0</v>
      </c>
      <c r="N9" s="1581">
        <f t="shared" si="0"/>
        <v>29367000</v>
      </c>
    </row>
    <row r="10" spans="1:18" s="1628" customFormat="1" ht="26.25" customHeight="1">
      <c r="A10" s="760" t="s">
        <v>733</v>
      </c>
      <c r="B10" s="1626" t="s">
        <v>251</v>
      </c>
      <c r="C10" s="1626">
        <v>43410</v>
      </c>
      <c r="D10" s="1627" t="s">
        <v>211</v>
      </c>
      <c r="E10" s="1627">
        <v>19</v>
      </c>
      <c r="F10" s="766">
        <v>40398656.824000001</v>
      </c>
      <c r="G10" s="766"/>
      <c r="H10" s="321">
        <f t="shared" ref="H10:H18" si="1">SUM(F10:G10)</f>
        <v>40398656.824000001</v>
      </c>
      <c r="I10" s="1511"/>
      <c r="J10" s="1677"/>
      <c r="K10" s="766"/>
      <c r="L10" s="321">
        <f t="shared" ref="L10:L16" si="2">SUM(J10:K10)</f>
        <v>0</v>
      </c>
      <c r="N10" s="1581">
        <f t="shared" si="0"/>
        <v>40398656.824000001</v>
      </c>
    </row>
    <row r="11" spans="1:18" s="1628" customFormat="1" ht="26.25" customHeight="1">
      <c r="A11" s="760" t="s">
        <v>734</v>
      </c>
      <c r="B11" s="1626" t="s">
        <v>237</v>
      </c>
      <c r="C11" s="1626">
        <v>82990</v>
      </c>
      <c r="D11" s="1627" t="s">
        <v>210</v>
      </c>
      <c r="E11" s="1627">
        <v>19</v>
      </c>
      <c r="F11" s="766">
        <v>4039858.0520000001</v>
      </c>
      <c r="G11" s="766"/>
      <c r="H11" s="321">
        <f t="shared" si="1"/>
        <v>4039858.0520000001</v>
      </c>
      <c r="I11" s="1511"/>
      <c r="J11" s="1677"/>
      <c r="K11" s="766"/>
      <c r="L11" s="321">
        <f t="shared" si="2"/>
        <v>0</v>
      </c>
      <c r="N11" s="1581">
        <f t="shared" si="0"/>
        <v>4039858.0520000001</v>
      </c>
    </row>
    <row r="12" spans="1:18" s="1629" customFormat="1" ht="26.25" customHeight="1">
      <c r="A12" s="760" t="s">
        <v>735</v>
      </c>
      <c r="B12" s="34" t="s">
        <v>888</v>
      </c>
      <c r="C12" s="34">
        <v>54342</v>
      </c>
      <c r="D12" s="1627" t="s">
        <v>211</v>
      </c>
      <c r="E12" s="1627">
        <v>5</v>
      </c>
      <c r="F12" s="766">
        <f>23637324-12141517-11495807</f>
        <v>0</v>
      </c>
      <c r="G12" s="766">
        <f>15060000-15060000</f>
        <v>0</v>
      </c>
      <c r="H12" s="321">
        <f t="shared" si="1"/>
        <v>0</v>
      </c>
      <c r="I12" s="1511"/>
      <c r="J12" s="1677"/>
      <c r="K12" s="766">
        <f>50810150+11689850-62500000</f>
        <v>0</v>
      </c>
      <c r="L12" s="321">
        <f>SUM(J12:K12)</f>
        <v>0</v>
      </c>
      <c r="N12" s="1581">
        <f t="shared" si="0"/>
        <v>0</v>
      </c>
      <c r="O12" s="1523"/>
    </row>
    <row r="13" spans="1:18" s="1628" customFormat="1" ht="26.25" customHeight="1">
      <c r="A13" s="760" t="s">
        <v>736</v>
      </c>
      <c r="B13" s="1626" t="s">
        <v>237</v>
      </c>
      <c r="C13" s="1626">
        <v>82990</v>
      </c>
      <c r="D13" s="1627" t="s">
        <v>210</v>
      </c>
      <c r="E13" s="1627">
        <v>5</v>
      </c>
      <c r="F13" s="766">
        <f>7560150+1641517-9201667</f>
        <v>0</v>
      </c>
      <c r="G13" s="766"/>
      <c r="H13" s="321">
        <f t="shared" si="1"/>
        <v>0</v>
      </c>
      <c r="I13" s="1511"/>
      <c r="J13" s="1677"/>
      <c r="K13" s="1677"/>
      <c r="L13" s="321">
        <f t="shared" si="2"/>
        <v>0</v>
      </c>
      <c r="N13" s="1581">
        <f t="shared" si="0"/>
        <v>0</v>
      </c>
    </row>
    <row r="14" spans="1:18" s="1628" customFormat="1" ht="26.25" customHeight="1">
      <c r="A14" s="760" t="s">
        <v>1174</v>
      </c>
      <c r="B14" s="34" t="s">
        <v>237</v>
      </c>
      <c r="C14" s="34">
        <v>83990</v>
      </c>
      <c r="D14" s="1627" t="s">
        <v>210</v>
      </c>
      <c r="E14" s="1627">
        <v>1</v>
      </c>
      <c r="F14" s="766"/>
      <c r="G14" s="766"/>
      <c r="H14" s="321">
        <f t="shared" si="1"/>
        <v>0</v>
      </c>
      <c r="I14" s="1511"/>
      <c r="J14" s="1677">
        <v>70000000</v>
      </c>
      <c r="L14" s="321">
        <v>70000000</v>
      </c>
      <c r="N14" s="1581">
        <f>+L14+H14</f>
        <v>70000000</v>
      </c>
    </row>
    <row r="15" spans="1:18" s="1628" customFormat="1" ht="26.25" customHeight="1">
      <c r="A15" s="760" t="s">
        <v>1086</v>
      </c>
      <c r="B15" s="34" t="s">
        <v>237</v>
      </c>
      <c r="C15" s="34">
        <v>83990</v>
      </c>
      <c r="D15" s="1627" t="s">
        <v>210</v>
      </c>
      <c r="E15" s="1627">
        <v>1</v>
      </c>
      <c r="F15" s="766">
        <v>10500000</v>
      </c>
      <c r="G15" s="766"/>
      <c r="H15" s="321">
        <f t="shared" si="1"/>
        <v>10500000</v>
      </c>
      <c r="I15" s="1511"/>
      <c r="J15" s="1677">
        <v>69500000</v>
      </c>
      <c r="K15" s="766"/>
      <c r="L15" s="321">
        <f t="shared" si="2"/>
        <v>69500000</v>
      </c>
      <c r="N15" s="1581">
        <f t="shared" si="0"/>
        <v>80000000</v>
      </c>
    </row>
    <row r="16" spans="1:18" s="1628" customFormat="1" ht="48" customHeight="1">
      <c r="A16" s="55" t="s">
        <v>737</v>
      </c>
      <c r="B16" s="552" t="s">
        <v>237</v>
      </c>
      <c r="C16" s="22">
        <v>83990</v>
      </c>
      <c r="D16" s="21" t="s">
        <v>211</v>
      </c>
      <c r="E16" s="1627">
        <v>11</v>
      </c>
      <c r="F16" s="766">
        <v>49500000</v>
      </c>
      <c r="G16" s="766"/>
      <c r="H16" s="1277">
        <f t="shared" si="1"/>
        <v>49500000</v>
      </c>
      <c r="I16" s="1511"/>
      <c r="J16" s="2013"/>
      <c r="K16" s="1492"/>
      <c r="L16" s="1277">
        <f t="shared" si="2"/>
        <v>0</v>
      </c>
      <c r="N16" s="1582">
        <f t="shared" si="0"/>
        <v>49500000</v>
      </c>
    </row>
    <row r="17" spans="1:14" s="1628" customFormat="1" ht="79.5" customHeight="1">
      <c r="A17" s="20" t="s">
        <v>1189</v>
      </c>
      <c r="B17" s="552" t="s">
        <v>870</v>
      </c>
      <c r="C17" s="22">
        <v>83990</v>
      </c>
      <c r="D17" s="21" t="s">
        <v>211</v>
      </c>
      <c r="E17" s="1627">
        <v>1</v>
      </c>
      <c r="F17" s="766">
        <v>20697474</v>
      </c>
      <c r="G17" s="766"/>
      <c r="H17" s="1277">
        <f t="shared" si="1"/>
        <v>20697474</v>
      </c>
      <c r="I17" s="1511"/>
      <c r="J17" s="1916"/>
      <c r="K17" s="1915"/>
      <c r="L17" s="1636"/>
      <c r="N17" s="1582">
        <f t="shared" si="0"/>
        <v>20697474</v>
      </c>
    </row>
    <row r="18" spans="1:14" s="1628" customFormat="1" ht="26.25" customHeight="1" thickBot="1">
      <c r="A18" s="458" t="s">
        <v>1175</v>
      </c>
      <c r="B18" s="552" t="s">
        <v>237</v>
      </c>
      <c r="C18" s="22">
        <v>83990</v>
      </c>
      <c r="D18" s="21" t="s">
        <v>211</v>
      </c>
      <c r="E18" s="518">
        <v>1</v>
      </c>
      <c r="F18" s="1915"/>
      <c r="G18" s="1915">
        <v>15060000</v>
      </c>
      <c r="H18" s="1277">
        <f t="shared" si="1"/>
        <v>15060000</v>
      </c>
      <c r="I18" s="1511"/>
      <c r="J18" s="1916"/>
      <c r="K18" s="1915"/>
      <c r="L18" s="1636"/>
      <c r="N18" s="1582">
        <f t="shared" si="0"/>
        <v>15060000</v>
      </c>
    </row>
    <row r="19" spans="1:14" s="1" customFormat="1" ht="24.75" thickBot="1">
      <c r="A19" s="1318" t="s">
        <v>0</v>
      </c>
      <c r="B19" s="1319"/>
      <c r="C19" s="1319"/>
      <c r="D19" s="1320" t="s">
        <v>210</v>
      </c>
      <c r="E19" s="1320">
        <v>1</v>
      </c>
      <c r="F19" s="1316">
        <f>SUM(F20)</f>
        <v>116484900</v>
      </c>
      <c r="G19" s="1316"/>
      <c r="H19" s="1317">
        <f>+H20</f>
        <v>116484900</v>
      </c>
      <c r="I19" s="63"/>
      <c r="J19" s="1315">
        <f>SUM(J20)</f>
        <v>0</v>
      </c>
      <c r="K19" s="1316"/>
      <c r="L19" s="1317">
        <f>+L20</f>
        <v>0</v>
      </c>
      <c r="N19" s="1314">
        <f t="shared" si="0"/>
        <v>116484900</v>
      </c>
    </row>
    <row r="20" spans="1:14" ht="15.75" thickBot="1">
      <c r="A20" s="620" t="s">
        <v>228</v>
      </c>
      <c r="B20" s="1312" t="s">
        <v>871</v>
      </c>
      <c r="C20" s="1312"/>
      <c r="D20" s="621" t="s">
        <v>210</v>
      </c>
      <c r="E20" s="621">
        <v>1</v>
      </c>
      <c r="F20" s="1313">
        <v>116484900</v>
      </c>
      <c r="G20" s="1310"/>
      <c r="H20" s="1311">
        <v>116484900</v>
      </c>
      <c r="I20" s="292"/>
      <c r="J20" s="1309"/>
      <c r="K20" s="1310"/>
      <c r="L20" s="1311"/>
      <c r="N20" s="1308">
        <f t="shared" si="0"/>
        <v>116484900</v>
      </c>
    </row>
    <row r="21" spans="1:14" ht="15.75" thickBot="1">
      <c r="A21" s="2392" t="s">
        <v>10</v>
      </c>
      <c r="B21" s="2393"/>
      <c r="C21" s="2393"/>
      <c r="D21" s="2393"/>
      <c r="E21" s="2426"/>
      <c r="F21" s="1475">
        <f>F7+F19</f>
        <v>270987888.87599999</v>
      </c>
      <c r="G21" s="1475">
        <f>G7+G19</f>
        <v>15060000</v>
      </c>
      <c r="H21" s="1476">
        <f>+H7+H19</f>
        <v>286047888.87599999</v>
      </c>
      <c r="I21" s="62"/>
      <c r="J21" s="1477">
        <f>J7+J19</f>
        <v>139500000</v>
      </c>
      <c r="K21" s="1475">
        <f>K7+K19</f>
        <v>0</v>
      </c>
      <c r="L21" s="1476">
        <f>+L7+L19</f>
        <v>139500000</v>
      </c>
      <c r="N21" s="1478">
        <f>+H21+L21</f>
        <v>425547888.87599999</v>
      </c>
    </row>
    <row r="22" spans="1:14" ht="15.75" thickBot="1"/>
    <row r="23" spans="1:14" ht="15.75" thickBot="1">
      <c r="F23" s="750">
        <v>270987888.60000002</v>
      </c>
      <c r="G23" s="750">
        <v>15060000</v>
      </c>
      <c r="H23" s="750">
        <v>286047888.60000002</v>
      </c>
      <c r="J23" s="896">
        <v>139500000</v>
      </c>
      <c r="K23" s="750">
        <f>62500000-62500000</f>
        <v>0</v>
      </c>
      <c r="L23" s="897">
        <f>+SUM(J23:K23)</f>
        <v>139500000</v>
      </c>
      <c r="N23" s="898">
        <f>488047888.6-62500000</f>
        <v>425547888.60000002</v>
      </c>
    </row>
    <row r="25" spans="1:14">
      <c r="F25" s="307">
        <f>+F23-F21</f>
        <v>-0.27599996328353882</v>
      </c>
      <c r="G25" s="307">
        <f t="shared" ref="G25:N25" si="3">+G23-G21</f>
        <v>0</v>
      </c>
      <c r="H25" s="307">
        <f t="shared" si="3"/>
        <v>-0.27599996328353882</v>
      </c>
      <c r="I25" s="307"/>
      <c r="J25" s="307">
        <f>+J23-J21</f>
        <v>0</v>
      </c>
      <c r="K25" s="307">
        <f t="shared" si="3"/>
        <v>0</v>
      </c>
      <c r="L25" s="307">
        <f t="shared" si="3"/>
        <v>0</v>
      </c>
      <c r="M25" s="307"/>
      <c r="N25" s="307">
        <f t="shared" si="3"/>
        <v>-0.27599996328353882</v>
      </c>
    </row>
    <row r="26" spans="1:14">
      <c r="D26"/>
      <c r="E26"/>
      <c r="F26"/>
      <c r="G26"/>
      <c r="H26"/>
    </row>
    <row r="27" spans="1:14" ht="18.75">
      <c r="D27"/>
      <c r="E27"/>
      <c r="F27"/>
      <c r="G27"/>
      <c r="H27"/>
      <c r="J27" s="1917"/>
      <c r="K27" s="1918"/>
    </row>
    <row r="28" spans="1:14">
      <c r="D28"/>
      <c r="E28"/>
      <c r="F28"/>
      <c r="G28"/>
      <c r="H28"/>
    </row>
    <row r="29" spans="1:14">
      <c r="D29"/>
      <c r="E29"/>
      <c r="F29"/>
      <c r="G29"/>
      <c r="H29"/>
    </row>
    <row r="30" spans="1:14">
      <c r="D30"/>
      <c r="E30"/>
      <c r="F30"/>
      <c r="G30"/>
      <c r="H30"/>
    </row>
    <row r="31" spans="1:14">
      <c r="D31"/>
      <c r="E31"/>
      <c r="F31"/>
      <c r="G31"/>
      <c r="H31"/>
    </row>
    <row r="32" spans="1:14">
      <c r="D32"/>
      <c r="E32"/>
      <c r="F32"/>
      <c r="G32"/>
      <c r="H32"/>
    </row>
    <row r="33" customFormat="1"/>
    <row r="34" customFormat="1"/>
    <row r="35" customFormat="1"/>
    <row r="36" customFormat="1"/>
    <row r="37" customFormat="1"/>
    <row r="38" customFormat="1"/>
    <row r="39" customFormat="1"/>
    <row r="40" customFormat="1"/>
    <row r="41" customFormat="1"/>
    <row r="42" customFormat="1"/>
  </sheetData>
  <mergeCells count="17">
    <mergeCell ref="L4:L6"/>
    <mergeCell ref="N4:N6"/>
    <mergeCell ref="J5:J6"/>
    <mergeCell ref="K5:K6"/>
    <mergeCell ref="F4:G4"/>
    <mergeCell ref="H4:H6"/>
    <mergeCell ref="A21:E21"/>
    <mergeCell ref="A1:K1"/>
    <mergeCell ref="A2:K2"/>
    <mergeCell ref="F5:F6"/>
    <mergeCell ref="G5:G6"/>
    <mergeCell ref="E4:E6"/>
    <mergeCell ref="J4:K4"/>
    <mergeCell ref="A4:A6"/>
    <mergeCell ref="B4:B6"/>
    <mergeCell ref="C4:C6"/>
    <mergeCell ref="D4:D6"/>
  </mergeCells>
  <pageMargins left="0.70866141732283472" right="0.70866141732283472" top="0.74803149606299213" bottom="0.74803149606299213" header="0.31496062992125984" footer="0.31496062992125984"/>
  <pageSetup paperSize="9" scale="75" orientation="landscape" verticalDpi="597" r:id="rId1"/>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7" tint="0.59999389629810485"/>
  </sheetPr>
  <dimension ref="A1:G11"/>
  <sheetViews>
    <sheetView workbookViewId="0">
      <selection activeCell="C18" sqref="C18"/>
    </sheetView>
  </sheetViews>
  <sheetFormatPr baseColWidth="10" defaultRowHeight="15"/>
  <cols>
    <col min="1" max="1" width="52.7109375" customWidth="1"/>
    <col min="2" max="2" width="17.85546875" customWidth="1"/>
    <col min="3" max="3" width="14.28515625" customWidth="1"/>
    <col min="4" max="4" width="14.5703125" customWidth="1"/>
    <col min="5" max="5" width="18.85546875" customWidth="1"/>
    <col min="6" max="6" width="17.85546875" customWidth="1"/>
  </cols>
  <sheetData>
    <row r="1" spans="1:7" ht="15.75">
      <c r="A1" s="9" t="s">
        <v>189</v>
      </c>
    </row>
    <row r="3" spans="1:7" ht="21">
      <c r="A3" s="8" t="s">
        <v>389</v>
      </c>
      <c r="B3" s="138"/>
    </row>
    <row r="4" spans="1:7" ht="15.75" thickBot="1"/>
    <row r="5" spans="1:7" ht="15" customHeight="1" thickBot="1">
      <c r="A5" s="2465" t="s">
        <v>198</v>
      </c>
      <c r="B5" s="2467">
        <v>2022</v>
      </c>
      <c r="C5" s="2468"/>
      <c r="D5" s="2468"/>
      <c r="E5" s="2469"/>
      <c r="F5" s="2330" t="s">
        <v>205</v>
      </c>
      <c r="G5" s="2461"/>
    </row>
    <row r="6" spans="1:7" ht="25.5" customHeight="1" thickBot="1">
      <c r="A6" s="2466"/>
      <c r="B6" s="226" t="s">
        <v>230</v>
      </c>
      <c r="C6" s="225" t="s">
        <v>231</v>
      </c>
      <c r="D6" s="230" t="s">
        <v>448</v>
      </c>
      <c r="E6" s="228" t="s">
        <v>201</v>
      </c>
      <c r="F6" s="2331"/>
      <c r="G6" s="2461"/>
    </row>
    <row r="7" spans="1:7" ht="25.5">
      <c r="A7" s="140" t="s">
        <v>391</v>
      </c>
      <c r="B7" s="224"/>
      <c r="C7" s="224"/>
      <c r="D7" s="229" t="s">
        <v>215</v>
      </c>
      <c r="E7" s="229">
        <v>100</v>
      </c>
      <c r="F7" s="143"/>
      <c r="G7" s="139"/>
    </row>
    <row r="8" spans="1:7" ht="45.75" thickBot="1">
      <c r="A8" s="141" t="s">
        <v>388</v>
      </c>
      <c r="B8" s="136"/>
      <c r="C8" s="136"/>
      <c r="D8" s="1567" t="s">
        <v>390</v>
      </c>
      <c r="E8" s="1567">
        <v>1</v>
      </c>
      <c r="F8" s="1568">
        <v>2436712259</v>
      </c>
    </row>
    <row r="9" spans="1:7" ht="15.75">
      <c r="A9" s="2462" t="s">
        <v>10</v>
      </c>
      <c r="B9" s="2463"/>
      <c r="C9" s="2463"/>
      <c r="D9" s="2463"/>
      <c r="E9" s="2464"/>
      <c r="F9" s="142">
        <f>+F8</f>
        <v>2436712259</v>
      </c>
    </row>
    <row r="11" spans="1:7" ht="15.75">
      <c r="A11" s="7" t="s">
        <v>392</v>
      </c>
    </row>
  </sheetData>
  <mergeCells count="5">
    <mergeCell ref="F5:F6"/>
    <mergeCell ref="G5:G6"/>
    <mergeCell ref="A9:E9"/>
    <mergeCell ref="A5:A6"/>
    <mergeCell ref="B5:E5"/>
  </mergeCells>
  <pageMargins left="0.7" right="0.7" top="0.75" bottom="0.75" header="0.3" footer="0.3"/>
  <pageSetup orientation="portrait" verticalDpi="597"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5">
    <tabColor theme="7" tint="0.59999389629810485"/>
  </sheetPr>
  <dimension ref="A1:I16"/>
  <sheetViews>
    <sheetView workbookViewId="0">
      <selection activeCell="I20" sqref="I20"/>
    </sheetView>
  </sheetViews>
  <sheetFormatPr baseColWidth="10" defaultRowHeight="15"/>
  <cols>
    <col min="1" max="1" width="12.7109375" customWidth="1"/>
    <col min="2" max="2" width="43" customWidth="1"/>
    <col min="3" max="3" width="13.140625" customWidth="1"/>
    <col min="4" max="4" width="14.85546875" customWidth="1"/>
    <col min="5" max="5" width="15.7109375" customWidth="1"/>
    <col min="6" max="6" width="15.28515625" customWidth="1"/>
    <col min="7" max="7" width="19.85546875" customWidth="1"/>
  </cols>
  <sheetData>
    <row r="1" spans="1:9" s="1" customFormat="1" ht="12.75">
      <c r="A1" s="2409" t="s">
        <v>192</v>
      </c>
      <c r="B1" s="2409"/>
      <c r="C1" s="2409"/>
      <c r="D1" s="2409"/>
      <c r="E1" s="2409"/>
      <c r="F1" s="2409"/>
      <c r="G1" s="2409"/>
    </row>
    <row r="2" spans="1:9" s="1" customFormat="1" ht="12.75">
      <c r="A2" s="2311" t="s">
        <v>193</v>
      </c>
      <c r="B2" s="2311"/>
      <c r="C2" s="2311"/>
      <c r="D2" s="2311"/>
      <c r="E2" s="2311"/>
      <c r="F2" s="2311"/>
      <c r="G2" s="2311"/>
    </row>
    <row r="3" spans="1:9" ht="15.75" thickBot="1"/>
    <row r="4" spans="1:9" ht="15" customHeight="1" thickBot="1">
      <c r="A4" s="2312" t="s">
        <v>394</v>
      </c>
      <c r="B4" s="2346" t="s">
        <v>198</v>
      </c>
      <c r="C4" s="2346">
        <v>2022</v>
      </c>
      <c r="D4" s="2346"/>
      <c r="E4" s="2346"/>
      <c r="F4" s="2346"/>
      <c r="G4" s="2346"/>
    </row>
    <row r="5" spans="1:9" ht="15" customHeight="1" thickBot="1">
      <c r="A5" s="2312"/>
      <c r="B5" s="2346"/>
      <c r="C5" s="2339" t="s">
        <v>200</v>
      </c>
      <c r="D5" s="2339" t="s">
        <v>201</v>
      </c>
      <c r="E5" s="2339" t="s">
        <v>199</v>
      </c>
      <c r="F5" s="2339"/>
      <c r="G5" s="2347" t="s">
        <v>205</v>
      </c>
    </row>
    <row r="6" spans="1:9" s="33" customFormat="1" ht="15.75" thickBot="1">
      <c r="A6" s="2312"/>
      <c r="B6" s="2346"/>
      <c r="C6" s="2339"/>
      <c r="D6" s="2339"/>
      <c r="E6" s="1059" t="s">
        <v>233</v>
      </c>
      <c r="F6" s="1059" t="s">
        <v>202</v>
      </c>
      <c r="G6" s="2347"/>
    </row>
    <row r="7" spans="1:9" s="33" customFormat="1" ht="64.5" thickBot="1">
      <c r="A7" s="199">
        <v>3206016</v>
      </c>
      <c r="B7" s="468" t="s">
        <v>2</v>
      </c>
      <c r="C7" s="455" t="s">
        <v>215</v>
      </c>
      <c r="D7" s="455">
        <v>100</v>
      </c>
      <c r="E7" s="456">
        <f>+E8</f>
        <v>57750000</v>
      </c>
      <c r="F7" s="456">
        <f>+F8</f>
        <v>0</v>
      </c>
      <c r="G7" s="457">
        <f>+'ACCIONES 320601'!I7</f>
        <v>57750000</v>
      </c>
      <c r="I7" s="664">
        <f>+(E7+F7)-G7</f>
        <v>0</v>
      </c>
    </row>
    <row r="8" spans="1:9" ht="26.25" thickBot="1">
      <c r="A8" s="33"/>
      <c r="B8" s="469" t="s">
        <v>329</v>
      </c>
      <c r="C8" s="459" t="s">
        <v>210</v>
      </c>
      <c r="D8" s="459">
        <v>1</v>
      </c>
      <c r="E8" s="470">
        <f>+'ACCIONES 320601'!G8</f>
        <v>57750000</v>
      </c>
      <c r="F8" s="471">
        <f>+'ACCIONES 320601'!H8</f>
        <v>0</v>
      </c>
      <c r="G8" s="461">
        <f>+'ACCIONES 320601'!I8</f>
        <v>57750000</v>
      </c>
      <c r="I8" s="664">
        <f t="shared" ref="I8:I12" si="0">+(E8+F8)-G8</f>
        <v>0</v>
      </c>
    </row>
    <row r="9" spans="1:9" ht="51.75" thickBot="1">
      <c r="A9" s="200">
        <v>3206003</v>
      </c>
      <c r="B9" s="472" t="s">
        <v>12</v>
      </c>
      <c r="C9" s="473" t="s">
        <v>215</v>
      </c>
      <c r="D9" s="473">
        <v>100</v>
      </c>
      <c r="E9" s="474">
        <f>+E10+E11</f>
        <v>0</v>
      </c>
      <c r="F9" s="475">
        <f>SUM(F10:F11)</f>
        <v>220000000</v>
      </c>
      <c r="G9" s="476">
        <f>+'ACCIONES 320601'!I10</f>
        <v>220000000</v>
      </c>
      <c r="I9" s="664">
        <f t="shared" si="0"/>
        <v>0</v>
      </c>
    </row>
    <row r="10" spans="1:9" ht="25.5">
      <c r="B10" s="51" t="s">
        <v>250</v>
      </c>
      <c r="C10" s="126" t="s">
        <v>210</v>
      </c>
      <c r="D10" s="126">
        <v>1</v>
      </c>
      <c r="E10" s="477">
        <f>+'ACCIONES 320601'!G11</f>
        <v>0</v>
      </c>
      <c r="F10" s="477">
        <f>+'ACCIONES 320601'!H11</f>
        <v>178032800</v>
      </c>
      <c r="G10" s="127">
        <f>+'ACCIONES 320601'!I11</f>
        <v>178032800</v>
      </c>
      <c r="I10" s="664">
        <f t="shared" si="0"/>
        <v>0</v>
      </c>
    </row>
    <row r="11" spans="1:9" ht="15.75" thickBot="1">
      <c r="B11" s="54" t="s">
        <v>252</v>
      </c>
      <c r="C11" s="196" t="s">
        <v>210</v>
      </c>
      <c r="D11" s="196">
        <v>1</v>
      </c>
      <c r="E11" s="197">
        <f>+'ACCIONES 320601'!G16</f>
        <v>0</v>
      </c>
      <c r="F11" s="197">
        <f>+'ACCIONES 320601'!H16</f>
        <v>41967200</v>
      </c>
      <c r="G11" s="198">
        <f>+'ACCIONES 320601'!I16</f>
        <v>41967200</v>
      </c>
      <c r="I11" s="664">
        <f t="shared" si="0"/>
        <v>0</v>
      </c>
    </row>
    <row r="12" spans="1:9" ht="15.75" thickBot="1">
      <c r="B12" s="2470" t="s">
        <v>278</v>
      </c>
      <c r="C12" s="2471"/>
      <c r="D12" s="2471"/>
      <c r="E12" s="1464">
        <f>+E9+E7</f>
        <v>57750000</v>
      </c>
      <c r="F12" s="1464">
        <f>+F9+F7</f>
        <v>220000000</v>
      </c>
      <c r="G12" s="1465">
        <f>+G9+G7</f>
        <v>277750000</v>
      </c>
      <c r="I12" s="664">
        <f t="shared" si="0"/>
        <v>0</v>
      </c>
    </row>
    <row r="13" spans="1:9" ht="15.75" thickBot="1"/>
    <row r="14" spans="1:9" ht="15.75" thickBot="1">
      <c r="E14" s="746">
        <v>57750000</v>
      </c>
      <c r="F14" s="746">
        <v>220000000</v>
      </c>
      <c r="G14" s="746">
        <v>277750000</v>
      </c>
    </row>
    <row r="15" spans="1:9">
      <c r="F15" s="189"/>
      <c r="G15" s="189"/>
    </row>
    <row r="16" spans="1:9">
      <c r="E16" s="134">
        <f>+E14-E12</f>
        <v>0</v>
      </c>
      <c r="F16" s="134">
        <f t="shared" ref="F16:G16" si="1">+F14-F12</f>
        <v>0</v>
      </c>
      <c r="G16" s="134">
        <f t="shared" si="1"/>
        <v>0</v>
      </c>
    </row>
  </sheetData>
  <mergeCells count="10">
    <mergeCell ref="B12:D12"/>
    <mergeCell ref="A1:G1"/>
    <mergeCell ref="A2:G2"/>
    <mergeCell ref="B4:B6"/>
    <mergeCell ref="C4:G4"/>
    <mergeCell ref="C5:C6"/>
    <mergeCell ref="D5:D6"/>
    <mergeCell ref="G5:G6"/>
    <mergeCell ref="E5:F5"/>
    <mergeCell ref="A4:A6"/>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6">
    <tabColor theme="7" tint="0.59999389629810485"/>
  </sheetPr>
  <dimension ref="A1:M24"/>
  <sheetViews>
    <sheetView zoomScale="89" zoomScaleNormal="89" workbookViewId="0">
      <selection activeCell="G42" sqref="G42"/>
    </sheetView>
  </sheetViews>
  <sheetFormatPr baseColWidth="10" defaultRowHeight="15"/>
  <cols>
    <col min="1" max="1" width="43" customWidth="1"/>
    <col min="2" max="3" width="23.28515625" customWidth="1"/>
    <col min="4" max="4" width="13.140625" style="406" customWidth="1"/>
    <col min="5" max="5" width="14.85546875" style="406" customWidth="1"/>
    <col min="6" max="8" width="14.85546875" style="183" customWidth="1"/>
    <col min="9" max="9" width="16.85546875" customWidth="1"/>
    <col min="10" max="10" width="16.42578125" customWidth="1"/>
    <col min="11" max="12" width="16" bestFit="1" customWidth="1"/>
  </cols>
  <sheetData>
    <row r="1" spans="1:13" s="1" customFormat="1" ht="12.75">
      <c r="A1" s="2409" t="s">
        <v>192</v>
      </c>
      <c r="B1" s="2409"/>
      <c r="C1" s="2409"/>
      <c r="D1" s="2409"/>
      <c r="E1" s="2409"/>
      <c r="F1" s="2409"/>
      <c r="G1" s="2409"/>
      <c r="H1" s="2409"/>
      <c r="I1" s="2409"/>
      <c r="J1" s="1663"/>
    </row>
    <row r="2" spans="1:13" s="1" customFormat="1" ht="12.75">
      <c r="A2" s="2311" t="s">
        <v>193</v>
      </c>
      <c r="B2" s="2311"/>
      <c r="C2" s="2311"/>
      <c r="D2" s="2311"/>
      <c r="E2" s="2311"/>
      <c r="F2" s="2311"/>
      <c r="G2" s="2311"/>
      <c r="H2" s="2311"/>
      <c r="I2" s="2311"/>
      <c r="J2" s="1663"/>
    </row>
    <row r="3" spans="1:13" ht="15.75" thickBot="1">
      <c r="F3" s="406"/>
      <c r="G3" s="406"/>
      <c r="H3" s="406"/>
      <c r="I3" s="318"/>
      <c r="J3" s="1664"/>
      <c r="K3" s="418"/>
      <c r="L3" s="418"/>
      <c r="M3" s="418"/>
    </row>
    <row r="4" spans="1:13" ht="15" customHeight="1" thickBot="1">
      <c r="A4" s="2312" t="s">
        <v>446</v>
      </c>
      <c r="B4" s="2312" t="s">
        <v>447</v>
      </c>
      <c r="C4" s="2312" t="s">
        <v>865</v>
      </c>
      <c r="D4" s="2312" t="s">
        <v>448</v>
      </c>
      <c r="E4" s="2312" t="s">
        <v>201</v>
      </c>
      <c r="F4" s="2312" t="s">
        <v>738</v>
      </c>
      <c r="G4" s="2312" t="s">
        <v>199</v>
      </c>
      <c r="H4" s="2312"/>
      <c r="I4" s="2472" t="s">
        <v>352</v>
      </c>
      <c r="J4" s="1664"/>
      <c r="K4" s="418"/>
      <c r="L4" s="418"/>
      <c r="M4" s="418"/>
    </row>
    <row r="5" spans="1:13" ht="15" customHeight="1" thickBot="1">
      <c r="A5" s="2312"/>
      <c r="B5" s="2312"/>
      <c r="C5" s="2312"/>
      <c r="D5" s="2312"/>
      <c r="E5" s="2312"/>
      <c r="F5" s="2312"/>
      <c r="G5" s="2312" t="s">
        <v>233</v>
      </c>
      <c r="H5" s="2312" t="s">
        <v>202</v>
      </c>
      <c r="I5" s="2472"/>
      <c r="J5" s="1664"/>
      <c r="K5" s="418"/>
      <c r="L5" s="418"/>
      <c r="M5" s="418"/>
    </row>
    <row r="6" spans="1:13" ht="15.75" thickBot="1">
      <c r="A6" s="2330"/>
      <c r="B6" s="2330"/>
      <c r="C6" s="2330"/>
      <c r="D6" s="2330"/>
      <c r="E6" s="2330"/>
      <c r="F6" s="2330"/>
      <c r="G6" s="2330"/>
      <c r="H6" s="2330"/>
      <c r="I6" s="2473"/>
      <c r="J6" s="1664"/>
      <c r="K6" s="418"/>
      <c r="L6" s="418"/>
      <c r="M6" s="418"/>
    </row>
    <row r="7" spans="1:13" ht="64.5" thickBot="1">
      <c r="A7" s="468" t="s">
        <v>2</v>
      </c>
      <c r="B7" s="1325"/>
      <c r="C7" s="1325"/>
      <c r="D7" s="562" t="s">
        <v>215</v>
      </c>
      <c r="E7" s="562">
        <v>100</v>
      </c>
      <c r="F7" s="1326"/>
      <c r="G7" s="1327">
        <f>+G8</f>
        <v>57750000</v>
      </c>
      <c r="H7" s="1326"/>
      <c r="I7" s="1328">
        <f>+I8</f>
        <v>57750000</v>
      </c>
      <c r="J7" s="189"/>
    </row>
    <row r="8" spans="1:13" ht="25.5">
      <c r="A8" s="1088" t="s">
        <v>329</v>
      </c>
      <c r="B8" s="1071"/>
      <c r="C8" s="1071"/>
      <c r="D8" s="1090" t="s">
        <v>210</v>
      </c>
      <c r="E8" s="1090">
        <v>1</v>
      </c>
      <c r="F8" s="1322"/>
      <c r="G8" s="1322">
        <f>+G9</f>
        <v>57750000</v>
      </c>
      <c r="H8" s="1257"/>
      <c r="I8" s="1323">
        <f>SUM(I9:I9)</f>
        <v>57750000</v>
      </c>
      <c r="J8" s="189"/>
    </row>
    <row r="9" spans="1:13" ht="15.75" thickBot="1">
      <c r="A9" s="55" t="s">
        <v>739</v>
      </c>
      <c r="B9" s="22" t="s">
        <v>237</v>
      </c>
      <c r="C9" s="22">
        <v>83990</v>
      </c>
      <c r="D9" s="21" t="s">
        <v>717</v>
      </c>
      <c r="E9" s="21">
        <v>11</v>
      </c>
      <c r="F9" s="391">
        <f>5000000*1.05</f>
        <v>5250000</v>
      </c>
      <c r="G9" s="391">
        <v>57750000</v>
      </c>
      <c r="H9" s="391"/>
      <c r="I9" s="1321">
        <f>+F9*E9</f>
        <v>57750000</v>
      </c>
      <c r="J9" s="638"/>
    </row>
    <row r="10" spans="1:13" s="1" customFormat="1" ht="51.75" thickBot="1">
      <c r="A10" s="472" t="s">
        <v>12</v>
      </c>
      <c r="B10" s="1329"/>
      <c r="C10" s="1329"/>
      <c r="D10" s="534" t="s">
        <v>215</v>
      </c>
      <c r="E10" s="534">
        <v>100</v>
      </c>
      <c r="F10" s="1330"/>
      <c r="G10" s="1330"/>
      <c r="H10" s="1331">
        <f>+H11+H16</f>
        <v>220000000</v>
      </c>
      <c r="I10" s="1332">
        <f>+I11+I16</f>
        <v>220000000</v>
      </c>
      <c r="J10" s="189"/>
    </row>
    <row r="11" spans="1:13" s="1" customFormat="1" ht="25.5">
      <c r="A11" s="1088" t="s">
        <v>250</v>
      </c>
      <c r="B11" s="1071"/>
      <c r="C11" s="1071"/>
      <c r="D11" s="1090" t="s">
        <v>210</v>
      </c>
      <c r="E11" s="1090">
        <v>1</v>
      </c>
      <c r="F11" s="1257"/>
      <c r="G11" s="1257"/>
      <c r="H11" s="1324">
        <f>SUM(H12:H15)</f>
        <v>178032800</v>
      </c>
      <c r="I11" s="1324">
        <f>SUM(I12:I15)</f>
        <v>178032800</v>
      </c>
      <c r="J11" s="189"/>
      <c r="K11" s="317"/>
      <c r="L11" s="317"/>
    </row>
    <row r="12" spans="1:13" s="1628" customFormat="1" ht="12.75">
      <c r="A12" s="760" t="s">
        <v>740</v>
      </c>
      <c r="B12" s="1626" t="s">
        <v>251</v>
      </c>
      <c r="C12" s="1626">
        <v>43410</v>
      </c>
      <c r="D12" s="1627" t="s">
        <v>484</v>
      </c>
      <c r="E12" s="1627">
        <v>120</v>
      </c>
      <c r="F12" s="315"/>
      <c r="G12" s="315"/>
      <c r="H12" s="753">
        <f>138032800+23815228-19399898</f>
        <v>142448130</v>
      </c>
      <c r="I12" s="771">
        <f>+H12</f>
        <v>142448130</v>
      </c>
      <c r="J12" s="754"/>
      <c r="K12" s="1511"/>
      <c r="L12" s="1511"/>
    </row>
    <row r="13" spans="1:13" s="1629" customFormat="1">
      <c r="A13" s="760" t="s">
        <v>653</v>
      </c>
      <c r="B13" s="1626" t="s">
        <v>237</v>
      </c>
      <c r="C13" s="1626">
        <v>83990</v>
      </c>
      <c r="D13" s="1627"/>
      <c r="E13" s="1627">
        <v>120</v>
      </c>
      <c r="F13" s="315"/>
      <c r="G13" s="315"/>
      <c r="H13" s="753">
        <f>20000000-3815228-1938957</f>
        <v>14245815</v>
      </c>
      <c r="I13" s="771">
        <f t="shared" ref="I13:I15" si="0">+H13</f>
        <v>14245815</v>
      </c>
      <c r="J13" s="754"/>
      <c r="K13" s="1973"/>
      <c r="L13" s="1973"/>
    </row>
    <row r="14" spans="1:13" s="1629" customFormat="1">
      <c r="A14" s="760" t="s">
        <v>1187</v>
      </c>
      <c r="B14" s="1626" t="s">
        <v>237</v>
      </c>
      <c r="C14" s="1626">
        <v>83990</v>
      </c>
      <c r="D14" s="1627"/>
      <c r="E14" s="1627"/>
      <c r="F14" s="315"/>
      <c r="G14" s="315"/>
      <c r="H14" s="753">
        <v>21338855</v>
      </c>
      <c r="I14" s="771">
        <f t="shared" si="0"/>
        <v>21338855</v>
      </c>
      <c r="J14" s="754"/>
      <c r="K14" s="1973"/>
      <c r="L14" s="1973"/>
    </row>
    <row r="15" spans="1:13" s="71" customFormat="1">
      <c r="A15" s="760" t="s">
        <v>741</v>
      </c>
      <c r="B15" s="11" t="s">
        <v>237</v>
      </c>
      <c r="C15" s="11">
        <v>83990</v>
      </c>
      <c r="D15" s="763"/>
      <c r="E15" s="763">
        <v>1</v>
      </c>
      <c r="F15" s="315"/>
      <c r="G15" s="315"/>
      <c r="H15" s="753">
        <f>20000000-20000000</f>
        <v>0</v>
      </c>
      <c r="I15" s="771">
        <f t="shared" si="0"/>
        <v>0</v>
      </c>
      <c r="J15" s="754"/>
      <c r="K15" s="1973"/>
      <c r="L15" s="1973"/>
    </row>
    <row r="16" spans="1:13" s="1" customFormat="1">
      <c r="A16" s="173" t="s">
        <v>252</v>
      </c>
      <c r="B16" s="175"/>
      <c r="C16" s="175"/>
      <c r="D16" s="178" t="s">
        <v>210</v>
      </c>
      <c r="E16" s="178">
        <v>1</v>
      </c>
      <c r="F16" s="299"/>
      <c r="G16" s="299"/>
      <c r="H16" s="478">
        <f>+H17</f>
        <v>41967200</v>
      </c>
      <c r="I16" s="422">
        <f>SUM(I17:I17)</f>
        <v>41967200</v>
      </c>
      <c r="J16" s="639"/>
      <c r="K16" s="317"/>
      <c r="L16" s="317"/>
    </row>
    <row r="17" spans="1:12" s="65" customFormat="1" ht="13.5" thickBot="1">
      <c r="A17" s="54" t="s">
        <v>742</v>
      </c>
      <c r="B17" s="196" t="s">
        <v>237</v>
      </c>
      <c r="C17" s="196">
        <v>83990</v>
      </c>
      <c r="D17" s="131" t="s">
        <v>717</v>
      </c>
      <c r="E17" s="131">
        <v>6</v>
      </c>
      <c r="F17" s="755"/>
      <c r="G17" s="755"/>
      <c r="H17" s="753">
        <v>41967200</v>
      </c>
      <c r="I17" s="756">
        <f>+H17</f>
        <v>41967200</v>
      </c>
      <c r="J17" s="754"/>
      <c r="K17" s="1511"/>
      <c r="L17" s="1511"/>
    </row>
    <row r="18" spans="1:12" s="275" customFormat="1" ht="15.75" thickBot="1">
      <c r="A18" s="2404" t="s">
        <v>10</v>
      </c>
      <c r="B18" s="2405"/>
      <c r="C18" s="2405"/>
      <c r="D18" s="2405"/>
      <c r="E18" s="2405"/>
      <c r="F18" s="2406"/>
      <c r="G18" s="1479">
        <f>+G10+G7</f>
        <v>57750000</v>
      </c>
      <c r="H18" s="1479">
        <f>+H10+H7</f>
        <v>220000000</v>
      </c>
      <c r="I18" s="1480">
        <f>+I10+I7</f>
        <v>277750000</v>
      </c>
      <c r="J18" s="640"/>
      <c r="K18" s="1974"/>
      <c r="L18" s="1974"/>
    </row>
    <row r="19" spans="1:12" ht="15.75" thickBot="1"/>
    <row r="20" spans="1:12" ht="15.75" thickBot="1">
      <c r="G20" s="740">
        <v>57750000</v>
      </c>
      <c r="H20" s="740">
        <v>220000000</v>
      </c>
      <c r="I20" s="740">
        <v>277750000</v>
      </c>
    </row>
    <row r="22" spans="1:12">
      <c r="G22" s="707">
        <f>+G20-G18</f>
        <v>0</v>
      </c>
      <c r="H22" s="707">
        <f t="shared" ref="H22:I22" si="1">+H20-H18</f>
        <v>0</v>
      </c>
      <c r="I22" s="707">
        <f t="shared" si="1"/>
        <v>0</v>
      </c>
    </row>
    <row r="24" spans="1:12">
      <c r="H24" s="707"/>
    </row>
  </sheetData>
  <mergeCells count="13">
    <mergeCell ref="A1:I1"/>
    <mergeCell ref="A2:I2"/>
    <mergeCell ref="A18:F18"/>
    <mergeCell ref="F4:F6"/>
    <mergeCell ref="I4:I6"/>
    <mergeCell ref="A4:A6"/>
    <mergeCell ref="B4:B6"/>
    <mergeCell ref="C4:C6"/>
    <mergeCell ref="D4:D6"/>
    <mergeCell ref="E4:E6"/>
    <mergeCell ref="G4:H4"/>
    <mergeCell ref="G5:G6"/>
    <mergeCell ref="H5:H6"/>
  </mergeCells>
  <pageMargins left="0.7" right="0.7" top="0.75" bottom="0.75" header="0.3" footer="0.3"/>
  <drawing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7">
    <tabColor theme="7" tint="0.59999389629810485"/>
  </sheetPr>
  <dimension ref="A1:R29"/>
  <sheetViews>
    <sheetView workbookViewId="0">
      <selection activeCell="E9" sqref="E9"/>
    </sheetView>
  </sheetViews>
  <sheetFormatPr baseColWidth="10" defaultRowHeight="15"/>
  <cols>
    <col min="2" max="2" width="30" customWidth="1"/>
    <col min="3" max="3" width="12" customWidth="1"/>
    <col min="4" max="4" width="10.7109375" customWidth="1"/>
    <col min="5" max="6" width="16.7109375" customWidth="1"/>
    <col min="7" max="7" width="9.28515625" customWidth="1"/>
    <col min="8" max="8" width="13.85546875" customWidth="1"/>
    <col min="9" max="9" width="13.7109375" customWidth="1"/>
    <col min="10" max="10" width="14.140625" bestFit="1" customWidth="1"/>
    <col min="11" max="11" width="6.140625" customWidth="1"/>
    <col min="12" max="12" width="14.140625" bestFit="1" customWidth="1"/>
    <col min="13" max="13" width="6.140625" customWidth="1"/>
    <col min="14" max="14" width="14.140625" bestFit="1" customWidth="1"/>
    <col min="17" max="17" width="14.140625" bestFit="1" customWidth="1"/>
  </cols>
  <sheetData>
    <row r="1" spans="1:18" s="1" customFormat="1" ht="15" customHeight="1">
      <c r="A1" s="2311" t="s">
        <v>194</v>
      </c>
      <c r="B1" s="2311"/>
      <c r="C1" s="2311"/>
      <c r="D1" s="2311"/>
      <c r="E1" s="2311"/>
      <c r="F1" s="2311"/>
      <c r="O1" s="1663"/>
    </row>
    <row r="2" spans="1:18" s="1" customFormat="1" ht="12.75">
      <c r="A2" s="2311" t="s">
        <v>195</v>
      </c>
      <c r="B2" s="2311"/>
      <c r="C2" s="2311"/>
      <c r="D2" s="2311"/>
      <c r="E2" s="2311"/>
      <c r="F2" s="2311"/>
      <c r="O2" s="1663"/>
    </row>
    <row r="3" spans="1:18" ht="15.75" thickBot="1">
      <c r="O3" s="1664"/>
      <c r="P3" s="418"/>
      <c r="Q3" s="418"/>
      <c r="R3" s="418"/>
    </row>
    <row r="4" spans="1:18" ht="15" customHeight="1" thickBot="1">
      <c r="A4" s="2312" t="s">
        <v>394</v>
      </c>
      <c r="B4" s="2346" t="s">
        <v>198</v>
      </c>
      <c r="C4" s="2346">
        <v>2022</v>
      </c>
      <c r="D4" s="2346"/>
      <c r="E4" s="2346"/>
      <c r="F4" s="2346"/>
      <c r="H4" s="2390" t="s">
        <v>1003</v>
      </c>
      <c r="I4" s="2390"/>
      <c r="J4" s="2364" t="s">
        <v>1005</v>
      </c>
      <c r="K4" s="418"/>
      <c r="L4" s="1570" t="s">
        <v>254</v>
      </c>
      <c r="M4" s="418"/>
      <c r="N4" s="2364" t="s">
        <v>1006</v>
      </c>
      <c r="O4" s="1664"/>
      <c r="P4" s="418"/>
      <c r="Q4" s="418"/>
      <c r="R4" s="418"/>
    </row>
    <row r="5" spans="1:18" ht="18.75" customHeight="1" thickBot="1">
      <c r="A5" s="2312"/>
      <c r="B5" s="2346"/>
      <c r="C5" s="2339" t="s">
        <v>200</v>
      </c>
      <c r="D5" s="2339" t="s">
        <v>201</v>
      </c>
      <c r="E5" s="1059" t="s">
        <v>254</v>
      </c>
      <c r="F5" s="2347" t="s">
        <v>205</v>
      </c>
      <c r="H5" s="2339" t="s">
        <v>233</v>
      </c>
      <c r="I5" s="2339" t="s">
        <v>202</v>
      </c>
      <c r="J5" s="2365"/>
      <c r="K5" s="418"/>
      <c r="L5" s="2323" t="s">
        <v>1055</v>
      </c>
      <c r="M5" s="418"/>
      <c r="N5" s="2365"/>
      <c r="O5" s="1664"/>
      <c r="P5" s="418"/>
      <c r="Q5" s="418"/>
      <c r="R5" s="418"/>
    </row>
    <row r="6" spans="1:18" ht="15.75" thickBot="1">
      <c r="A6" s="2312"/>
      <c r="B6" s="2346"/>
      <c r="C6" s="2339"/>
      <c r="D6" s="2339"/>
      <c r="E6" s="1059" t="s">
        <v>233</v>
      </c>
      <c r="F6" s="2347"/>
      <c r="H6" s="2339"/>
      <c r="I6" s="2339"/>
      <c r="J6" s="2365"/>
      <c r="K6" s="418"/>
      <c r="L6" s="2324"/>
      <c r="M6" s="418"/>
      <c r="N6" s="2365"/>
      <c r="O6" s="1664"/>
      <c r="P6" s="418"/>
      <c r="Q6" s="418"/>
      <c r="R6" s="418"/>
    </row>
    <row r="7" spans="1:18" ht="26.25" thickBot="1">
      <c r="A7" s="194">
        <v>3208006</v>
      </c>
      <c r="B7" s="1590" t="s">
        <v>330</v>
      </c>
      <c r="C7" s="1591" t="s">
        <v>215</v>
      </c>
      <c r="D7" s="1591">
        <v>100</v>
      </c>
      <c r="E7" s="1592">
        <f>+E8+E9+E10+E11</f>
        <v>686501375.32879996</v>
      </c>
      <c r="F7" s="1593">
        <f>+'ACCIONES 320801'!G7</f>
        <v>686501375.32879996</v>
      </c>
      <c r="G7" s="134">
        <f>+E7-F7</f>
        <v>0</v>
      </c>
      <c r="H7" s="1602">
        <f>+'ACCIONES 320801'!I7</f>
        <v>250000000</v>
      </c>
      <c r="I7" s="1593">
        <f>+'ACCIONES 320801'!J7</f>
        <v>79302526</v>
      </c>
      <c r="J7" s="1593">
        <f>+'ACCIONES 320801'!K7</f>
        <v>329302526</v>
      </c>
      <c r="K7" s="910"/>
      <c r="L7" s="912">
        <f>+'ACCIONES 320801'!M7</f>
        <v>293474194</v>
      </c>
      <c r="M7" s="910"/>
      <c r="N7" s="912">
        <f>+'ACCIONES 320801'!O7</f>
        <v>1309278095.3288</v>
      </c>
    </row>
    <row r="8" spans="1:18" ht="24">
      <c r="B8" s="1598" t="s">
        <v>331</v>
      </c>
      <c r="C8" s="718" t="s">
        <v>210</v>
      </c>
      <c r="D8" s="718">
        <v>1</v>
      </c>
      <c r="E8" s="1599">
        <f>+'ACCIONES 320801'!F8</f>
        <v>408381059</v>
      </c>
      <c r="F8" s="1600">
        <f>+'ACCIONES 320801'!G8</f>
        <v>408381059</v>
      </c>
      <c r="G8" s="134">
        <f t="shared" ref="G8:G16" si="0">+E8-F8</f>
        <v>0</v>
      </c>
      <c r="H8" s="1604">
        <f>+'ACCIONES 320801'!I8</f>
        <v>0</v>
      </c>
      <c r="I8" s="1605">
        <f>+'ACCIONES 320801'!J8</f>
        <v>0</v>
      </c>
      <c r="J8" s="1600">
        <f>+'ACCIONES 320801'!K8</f>
        <v>0</v>
      </c>
      <c r="K8" s="910"/>
      <c r="L8" s="913">
        <f>+'ACCIONES 320801'!M8</f>
        <v>0</v>
      </c>
      <c r="M8" s="910"/>
      <c r="N8" s="913">
        <f>+'ACCIONES 320801'!O8</f>
        <v>408381059</v>
      </c>
    </row>
    <row r="9" spans="1:18">
      <c r="B9" s="231" t="s">
        <v>332</v>
      </c>
      <c r="C9" s="11" t="s">
        <v>210</v>
      </c>
      <c r="D9" s="11">
        <v>1</v>
      </c>
      <c r="E9" s="479">
        <f>+'ACCIONES 320801'!F21</f>
        <v>100058220</v>
      </c>
      <c r="F9" s="1601">
        <f>+'ACCIONES 320801'!G21</f>
        <v>100058220</v>
      </c>
      <c r="G9" s="134">
        <f t="shared" si="0"/>
        <v>0</v>
      </c>
      <c r="H9" s="1606">
        <f>+'ACCIONES 320801'!I21</f>
        <v>209220896</v>
      </c>
      <c r="I9" s="1597">
        <f>+'ACCIONES 320801'!J21</f>
        <v>79302526</v>
      </c>
      <c r="J9" s="1601">
        <f>+'ACCIONES 320801'!K21</f>
        <v>288523422</v>
      </c>
      <c r="K9" s="910"/>
      <c r="L9" s="914">
        <f>+'ACCIONES 320801'!M21</f>
        <v>0</v>
      </c>
      <c r="M9" s="910"/>
      <c r="N9" s="914">
        <f>+'ACCIONES 320801'!O21</f>
        <v>388581642</v>
      </c>
    </row>
    <row r="10" spans="1:18" ht="48">
      <c r="B10" s="232" t="s">
        <v>333</v>
      </c>
      <c r="C10" s="11" t="s">
        <v>210</v>
      </c>
      <c r="D10" s="11">
        <v>1</v>
      </c>
      <c r="E10" s="479">
        <f>+'ACCIONES 320801'!F43</f>
        <v>66276097</v>
      </c>
      <c r="F10" s="1601">
        <f>+'ACCIONES 320801'!G43</f>
        <v>66276097</v>
      </c>
      <c r="G10" s="134">
        <f t="shared" si="0"/>
        <v>0</v>
      </c>
      <c r="H10" s="1606">
        <f>+'ACCIONES 320801'!I43</f>
        <v>1603638</v>
      </c>
      <c r="I10" s="1597">
        <f>+'ACCIONES 320801'!J43</f>
        <v>0</v>
      </c>
      <c r="J10" s="1601">
        <f>+'ACCIONES 320801'!K43</f>
        <v>1603638</v>
      </c>
      <c r="K10" s="910"/>
      <c r="L10" s="914">
        <f>+'ACCIONES 320801'!M43</f>
        <v>0</v>
      </c>
      <c r="M10" s="910"/>
      <c r="N10" s="914">
        <f>+'ACCIONES 320801'!O43</f>
        <v>67879735</v>
      </c>
    </row>
    <row r="11" spans="1:18" ht="24">
      <c r="B11" s="232" t="s">
        <v>334</v>
      </c>
      <c r="C11" s="11" t="s">
        <v>210</v>
      </c>
      <c r="D11" s="11">
        <v>1</v>
      </c>
      <c r="E11" s="479">
        <f>+'ACCIONES 320801'!F46</f>
        <v>111785999.32879996</v>
      </c>
      <c r="F11" s="1601">
        <f>+'ACCIONES 320801'!G46</f>
        <v>111785999.32879996</v>
      </c>
      <c r="G11" s="134">
        <f t="shared" si="0"/>
        <v>0</v>
      </c>
      <c r="H11" s="1606">
        <f>+'ACCIONES 320801'!I46</f>
        <v>39175466</v>
      </c>
      <c r="I11" s="1597">
        <f>+'ACCIONES 320801'!J46</f>
        <v>0</v>
      </c>
      <c r="J11" s="1601">
        <f>+'ACCIONES 320801'!K46</f>
        <v>39175466</v>
      </c>
      <c r="K11" s="910"/>
      <c r="L11" s="914">
        <f>+'ACCIONES 320801'!M46</f>
        <v>0</v>
      </c>
      <c r="M11" s="910"/>
      <c r="N11" s="914">
        <f>+'ACCIONES 320801'!O46</f>
        <v>150961465.32879996</v>
      </c>
    </row>
    <row r="12" spans="1:18" s="1629" customFormat="1" ht="24.75" thickBot="1">
      <c r="B12" s="1898" t="s">
        <v>1169</v>
      </c>
      <c r="C12" s="196" t="s">
        <v>210</v>
      </c>
      <c r="D12" s="196">
        <v>1</v>
      </c>
      <c r="E12" s="1899"/>
      <c r="F12" s="1900"/>
      <c r="G12" s="1856"/>
      <c r="H12" s="1901"/>
      <c r="I12" s="1902"/>
      <c r="J12" s="1900"/>
      <c r="K12" s="910"/>
      <c r="L12" s="913">
        <f>+'ACCIONES 320801'!M51</f>
        <v>293474194</v>
      </c>
      <c r="M12" s="910"/>
      <c r="N12" s="913"/>
    </row>
    <row r="13" spans="1:18" ht="36.75" thickBot="1">
      <c r="A13" s="195">
        <v>3208007</v>
      </c>
      <c r="B13" s="1584" t="s">
        <v>0</v>
      </c>
      <c r="C13" s="1594" t="s">
        <v>210</v>
      </c>
      <c r="D13" s="1594">
        <v>1</v>
      </c>
      <c r="E13" s="1595">
        <f>+E14+E15</f>
        <v>98069898</v>
      </c>
      <c r="F13" s="1596">
        <f>+'ACCIONES 320801'!G54</f>
        <v>98069898</v>
      </c>
      <c r="G13" s="134">
        <f t="shared" si="0"/>
        <v>0</v>
      </c>
      <c r="H13" s="1603">
        <f>+'ACCIONES 320801'!I54</f>
        <v>0</v>
      </c>
      <c r="I13" s="1596">
        <f>+'ACCIONES 320801'!J54</f>
        <v>0</v>
      </c>
      <c r="J13" s="1596">
        <f>+'ACCIONES 320801'!K54</f>
        <v>0</v>
      </c>
      <c r="K13" s="910"/>
      <c r="L13" s="915">
        <f>+'ACCIONES 320801'!M54</f>
        <v>0</v>
      </c>
      <c r="M13" s="910"/>
      <c r="N13" s="915">
        <f>+'ACCIONES 320801'!O54</f>
        <v>98069898</v>
      </c>
      <c r="Q13" s="32"/>
    </row>
    <row r="14" spans="1:18" s="71" customFormat="1" ht="60">
      <c r="A14"/>
      <c r="B14" s="627" t="s">
        <v>335</v>
      </c>
      <c r="C14" s="126" t="s">
        <v>210</v>
      </c>
      <c r="D14" s="126">
        <v>1</v>
      </c>
      <c r="E14" s="628">
        <f>+'ACCIONES 320801'!F55</f>
        <v>14098625</v>
      </c>
      <c r="F14" s="626">
        <f>+'ACCIONES 320801'!G55</f>
        <v>14098625</v>
      </c>
      <c r="G14" s="134">
        <f t="shared" si="0"/>
        <v>0</v>
      </c>
      <c r="H14" s="913">
        <f>+'ACCIONES 320801'!I55</f>
        <v>0</v>
      </c>
      <c r="I14" s="626">
        <f>+'ACCIONES 320801'!J55</f>
        <v>0</v>
      </c>
      <c r="J14" s="626">
        <f>+'ACCIONES 320801'!K55</f>
        <v>0</v>
      </c>
      <c r="K14" s="910"/>
      <c r="L14" s="913">
        <f>+'ACCIONES 320801'!M55</f>
        <v>0</v>
      </c>
      <c r="M14" s="910"/>
      <c r="N14" s="913">
        <f>+'ACCIONES 320801'!O55</f>
        <v>14098625</v>
      </c>
    </row>
    <row r="15" spans="1:18" ht="15.75" thickBot="1">
      <c r="A15" s="71"/>
      <c r="B15" s="286" t="s">
        <v>228</v>
      </c>
      <c r="C15" s="338" t="s">
        <v>210</v>
      </c>
      <c r="D15" s="338">
        <v>1</v>
      </c>
      <c r="E15" s="344">
        <f>+'ACCIONES 320801'!F56</f>
        <v>83971273</v>
      </c>
      <c r="F15" s="345">
        <f>+'ACCIONES 320801'!G56</f>
        <v>83971273</v>
      </c>
      <c r="G15" s="134">
        <f t="shared" si="0"/>
        <v>0</v>
      </c>
      <c r="H15" s="344">
        <f>+'ACCIONES 320801'!I56</f>
        <v>0</v>
      </c>
      <c r="I15" s="344">
        <f>+'ACCIONES 320801'!J56</f>
        <v>0</v>
      </c>
      <c r="J15" s="344">
        <f>+'ACCIONES 320801'!K56</f>
        <v>0</v>
      </c>
      <c r="K15" s="910"/>
      <c r="L15" s="916">
        <f>+'ACCIONES 320801'!M56</f>
        <v>0</v>
      </c>
      <c r="M15" s="910"/>
      <c r="N15" s="916">
        <f>+'ACCIONES 320801'!O57</f>
        <v>1407347993.3288</v>
      </c>
    </row>
    <row r="16" spans="1:18" ht="15.75" thickBot="1">
      <c r="B16" s="2341" t="s">
        <v>229</v>
      </c>
      <c r="C16" s="2342"/>
      <c r="D16" s="2343"/>
      <c r="E16" s="1412">
        <f>+E8+E9+E10+E11+E13</f>
        <v>784571273.32879996</v>
      </c>
      <c r="F16" s="1413">
        <f>+F8+F9+F10+F11+F13</f>
        <v>784571273.32879996</v>
      </c>
      <c r="G16" s="134">
        <f t="shared" si="0"/>
        <v>0</v>
      </c>
      <c r="H16" s="1415">
        <f>+'ACCIONES 320801'!I57</f>
        <v>250000000</v>
      </c>
      <c r="I16" s="1413">
        <f>+'ACCIONES 320801'!J57</f>
        <v>79302526</v>
      </c>
      <c r="J16" s="1413">
        <f>+'ACCIONES 320801'!K57</f>
        <v>329302526</v>
      </c>
      <c r="K16" s="911"/>
      <c r="L16" s="1415">
        <f>+'ACCIONES 320801'!M57</f>
        <v>293474194</v>
      </c>
      <c r="M16" s="911"/>
      <c r="N16" s="1415">
        <f>+'ACCIONES 320801'!O57</f>
        <v>1407347993.3288</v>
      </c>
    </row>
    <row r="17" spans="5:18" ht="15.75" thickBot="1">
      <c r="G17" s="134"/>
    </row>
    <row r="18" spans="5:18" ht="15.75" thickBot="1">
      <c r="E18" s="751">
        <v>784571273</v>
      </c>
      <c r="F18" s="751">
        <v>784571273.10009992</v>
      </c>
      <c r="G18" s="1629"/>
      <c r="H18" s="896">
        <v>250000000</v>
      </c>
      <c r="I18" s="750">
        <f>100000000-20697474</f>
        <v>79302526</v>
      </c>
      <c r="J18" s="897">
        <f>+I18+H18</f>
        <v>329302526</v>
      </c>
      <c r="K18" s="1629"/>
      <c r="L18" s="898">
        <v>1815020178.98</v>
      </c>
      <c r="N18" s="898">
        <f>+J18+F18+L18</f>
        <v>2928893978.0801001</v>
      </c>
    </row>
    <row r="20" spans="5:18">
      <c r="E20" s="32">
        <f>+E18-E16</f>
        <v>-0.32879996299743652</v>
      </c>
      <c r="F20" s="32">
        <f>+F18-F16</f>
        <v>-0.22870004177093506</v>
      </c>
      <c r="G20" s="32"/>
      <c r="H20" s="32">
        <f t="shared" ref="H20:J20" si="1">+H18-H16</f>
        <v>0</v>
      </c>
      <c r="I20" s="32">
        <f t="shared" si="1"/>
        <v>0</v>
      </c>
      <c r="J20" s="32">
        <f t="shared" si="1"/>
        <v>0</v>
      </c>
      <c r="K20" s="32"/>
      <c r="L20" s="32"/>
      <c r="M20" s="32"/>
      <c r="N20" s="32">
        <f>+N18-N16</f>
        <v>1521545984.7513001</v>
      </c>
    </row>
    <row r="26" spans="5:18">
      <c r="J26" s="32">
        <v>1113873799.3288</v>
      </c>
    </row>
    <row r="29" spans="5:18">
      <c r="R29">
        <v>2928893978.3088002</v>
      </c>
    </row>
  </sheetData>
  <mergeCells count="15">
    <mergeCell ref="H4:I4"/>
    <mergeCell ref="J4:J6"/>
    <mergeCell ref="N4:N6"/>
    <mergeCell ref="H5:H6"/>
    <mergeCell ref="I5:I6"/>
    <mergeCell ref="L5:L6"/>
    <mergeCell ref="B16:D16"/>
    <mergeCell ref="A1:F1"/>
    <mergeCell ref="A2:F2"/>
    <mergeCell ref="B4:B6"/>
    <mergeCell ref="C4:F4"/>
    <mergeCell ref="C5:C6"/>
    <mergeCell ref="D5:D6"/>
    <mergeCell ref="F5:F6"/>
    <mergeCell ref="A4:A6"/>
  </mergeCells>
  <pageMargins left="0.7" right="0.7" top="0.75" bottom="0.75" header="0.3" footer="0.3"/>
  <drawing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8">
    <tabColor theme="7" tint="0.59999389629810485"/>
  </sheetPr>
  <dimension ref="A1:AW61"/>
  <sheetViews>
    <sheetView zoomScale="86" zoomScaleNormal="86" workbookViewId="0">
      <pane xSplit="1" ySplit="6" topLeftCell="B25" activePane="bottomRight" state="frozen"/>
      <selection pane="topRight" activeCell="B1" sqref="B1"/>
      <selection pane="bottomLeft" activeCell="A7" sqref="A7"/>
      <selection pane="bottomRight" activeCell="K67" sqref="K67"/>
    </sheetView>
  </sheetViews>
  <sheetFormatPr baseColWidth="10" defaultRowHeight="15"/>
  <cols>
    <col min="1" max="1" width="39.7109375" customWidth="1"/>
    <col min="2" max="3" width="22" customWidth="1"/>
    <col min="4" max="4" width="14.85546875" style="453" customWidth="1"/>
    <col min="5" max="5" width="10.7109375" style="453" customWidth="1"/>
    <col min="6" max="6" width="17.5703125" style="453" customWidth="1"/>
    <col min="7" max="7" width="16.85546875" customWidth="1"/>
    <col min="8" max="8" width="0.5703125" style="71" customWidth="1"/>
    <col min="9" max="9" width="21" customWidth="1"/>
    <col min="10" max="10" width="16.7109375" customWidth="1"/>
    <col min="11" max="11" width="24.7109375" customWidth="1"/>
    <col min="12" max="12" width="2.140625" style="71" customWidth="1"/>
    <col min="13" max="13" width="22.7109375" customWidth="1"/>
    <col min="14" max="14" width="5.140625" hidden="1" customWidth="1"/>
    <col min="15" max="15" width="15.7109375" customWidth="1"/>
    <col min="16" max="16" width="17" customWidth="1"/>
    <col min="17" max="17" width="14.140625" bestFit="1" customWidth="1"/>
    <col min="18" max="20" width="12.42578125" bestFit="1" customWidth="1"/>
  </cols>
  <sheetData>
    <row r="1" spans="1:19" s="1" customFormat="1" ht="15" customHeight="1">
      <c r="A1" s="2311" t="s">
        <v>194</v>
      </c>
      <c r="B1" s="2311"/>
      <c r="C1" s="2311"/>
      <c r="D1" s="2311"/>
      <c r="E1" s="2311"/>
      <c r="F1" s="2311"/>
      <c r="H1" s="65"/>
      <c r="L1" s="65"/>
      <c r="P1" s="1663"/>
    </row>
    <row r="2" spans="1:19" s="1" customFormat="1" ht="12.75">
      <c r="A2" s="2311" t="s">
        <v>195</v>
      </c>
      <c r="B2" s="2311"/>
      <c r="C2" s="2311"/>
      <c r="D2" s="2311"/>
      <c r="E2" s="2311"/>
      <c r="F2" s="2311"/>
      <c r="H2" s="65"/>
      <c r="L2" s="65"/>
      <c r="P2" s="1663"/>
    </row>
    <row r="3" spans="1:19" ht="15.75" thickBot="1">
      <c r="G3" s="319"/>
      <c r="P3" s="1664"/>
      <c r="Q3" s="418"/>
      <c r="R3" s="418"/>
      <c r="S3" s="418"/>
    </row>
    <row r="4" spans="1:19" ht="15" customHeight="1" thickBot="1">
      <c r="A4" s="2312" t="s">
        <v>446</v>
      </c>
      <c r="B4" s="2312" t="s">
        <v>447</v>
      </c>
      <c r="C4" s="2312" t="s">
        <v>904</v>
      </c>
      <c r="D4" s="2312" t="s">
        <v>448</v>
      </c>
      <c r="E4" s="2312" t="s">
        <v>201</v>
      </c>
      <c r="F4" s="1112" t="s">
        <v>199</v>
      </c>
      <c r="G4" s="2474" t="s">
        <v>352</v>
      </c>
      <c r="I4" s="2390" t="s">
        <v>1003</v>
      </c>
      <c r="J4" s="2390"/>
      <c r="K4" s="2364" t="s">
        <v>1005</v>
      </c>
      <c r="L4" s="679"/>
      <c r="M4" s="1809" t="s">
        <v>254</v>
      </c>
      <c r="N4" s="418"/>
      <c r="O4" s="2364" t="s">
        <v>1006</v>
      </c>
      <c r="P4" s="1664"/>
      <c r="Q4" s="418"/>
      <c r="R4" s="418"/>
      <c r="S4" s="418"/>
    </row>
    <row r="5" spans="1:19" ht="15.75" thickBot="1">
      <c r="A5" s="2312"/>
      <c r="B5" s="2312"/>
      <c r="C5" s="2312"/>
      <c r="D5" s="2312"/>
      <c r="E5" s="2312"/>
      <c r="F5" s="2312" t="s">
        <v>905</v>
      </c>
      <c r="G5" s="2474"/>
      <c r="I5" s="2339" t="s">
        <v>233</v>
      </c>
      <c r="J5" s="2339" t="s">
        <v>202</v>
      </c>
      <c r="K5" s="2365"/>
      <c r="L5" s="679"/>
      <c r="M5" s="2323" t="s">
        <v>1055</v>
      </c>
      <c r="N5" s="418"/>
      <c r="O5" s="2365"/>
      <c r="P5" s="1664"/>
      <c r="Q5" s="418"/>
      <c r="R5" s="418"/>
      <c r="S5" s="418"/>
    </row>
    <row r="6" spans="1:19" ht="15.75" thickBot="1">
      <c r="A6" s="2330"/>
      <c r="B6" s="2330"/>
      <c r="C6" s="2330"/>
      <c r="D6" s="2330"/>
      <c r="E6" s="2330"/>
      <c r="F6" s="2330"/>
      <c r="G6" s="2475"/>
      <c r="I6" s="2395"/>
      <c r="J6" s="2395"/>
      <c r="K6" s="2391"/>
      <c r="L6" s="679"/>
      <c r="M6" s="2324"/>
      <c r="N6" s="418"/>
      <c r="O6" s="2391"/>
      <c r="P6" s="1664"/>
      <c r="Q6" s="418"/>
      <c r="R6" s="418"/>
      <c r="S6" s="418"/>
    </row>
    <row r="7" spans="1:19" ht="26.25" thickBot="1">
      <c r="A7" s="454" t="s">
        <v>330</v>
      </c>
      <c r="B7" s="1074"/>
      <c r="C7" s="1074"/>
      <c r="D7" s="1100" t="s">
        <v>215</v>
      </c>
      <c r="E7" s="1100">
        <v>100</v>
      </c>
      <c r="F7" s="1334">
        <f>F8+F21+F43+F46</f>
        <v>686501375.32879996</v>
      </c>
      <c r="G7" s="1285">
        <f>+G8+G21+G43+G46+G51</f>
        <v>686501375.32879996</v>
      </c>
      <c r="I7" s="1282">
        <f>+I8+I21+I43+I46+I51</f>
        <v>250000000</v>
      </c>
      <c r="J7" s="1285">
        <f>+J8+J21+J43+J46+J51</f>
        <v>79302526</v>
      </c>
      <c r="K7" s="1285">
        <f>+K8+K21+K43+K46+K51</f>
        <v>329302526</v>
      </c>
      <c r="M7" s="1282">
        <f>+M8+M21+M43+M46+M51</f>
        <v>293474194</v>
      </c>
      <c r="O7" s="1282">
        <f>+G7+K7+M7</f>
        <v>1309278095.3288</v>
      </c>
      <c r="P7" s="50">
        <f>+K7+G7</f>
        <v>1015803901.3288</v>
      </c>
    </row>
    <row r="8" spans="1:19" ht="25.5">
      <c r="A8" s="1585" t="s">
        <v>743</v>
      </c>
      <c r="B8" s="1586"/>
      <c r="C8" s="1586"/>
      <c r="D8" s="1586" t="s">
        <v>210</v>
      </c>
      <c r="E8" s="1586">
        <v>1</v>
      </c>
      <c r="F8" s="1587">
        <f>SUM(F9:F20)</f>
        <v>408381059</v>
      </c>
      <c r="G8" s="1588">
        <f>SUM(G9:G20)</f>
        <v>408381059</v>
      </c>
      <c r="I8" s="1333">
        <f>SUM(I9:I20)</f>
        <v>0</v>
      </c>
      <c r="J8" s="1333">
        <f>SUM(J9:J20)</f>
        <v>0</v>
      </c>
      <c r="K8" s="1333">
        <f>SUM(K9:K20)</f>
        <v>0</v>
      </c>
      <c r="M8" s="1579">
        <f>SUM(M9:M20)</f>
        <v>0</v>
      </c>
      <c r="O8" s="1579">
        <f>+G8+K8+M8</f>
        <v>408381059</v>
      </c>
    </row>
    <row r="9" spans="1:19" s="1" customFormat="1" ht="13.5" customHeight="1">
      <c r="A9" s="760" t="s">
        <v>744</v>
      </c>
      <c r="B9" s="266" t="s">
        <v>237</v>
      </c>
      <c r="C9" s="266">
        <v>83990</v>
      </c>
      <c r="D9" s="763" t="s">
        <v>705</v>
      </c>
      <c r="E9" s="763">
        <v>11</v>
      </c>
      <c r="F9" s="899">
        <v>47489200</v>
      </c>
      <c r="G9" s="1488">
        <f>+F9</f>
        <v>47489200</v>
      </c>
      <c r="H9" s="65"/>
      <c r="I9" s="316"/>
      <c r="J9" s="316"/>
      <c r="K9" s="316">
        <f>SUM(I9:J9)</f>
        <v>0</v>
      </c>
      <c r="L9" s="65"/>
      <c r="M9" s="900"/>
      <c r="O9" s="900">
        <f>+G9+K9+M9</f>
        <v>47489200</v>
      </c>
    </row>
    <row r="10" spans="1:19" s="1" customFormat="1" ht="12.75">
      <c r="A10" s="760" t="s">
        <v>745</v>
      </c>
      <c r="B10" s="266" t="s">
        <v>237</v>
      </c>
      <c r="C10" s="266">
        <v>83990</v>
      </c>
      <c r="D10" s="763" t="s">
        <v>705</v>
      </c>
      <c r="E10" s="763">
        <v>11</v>
      </c>
      <c r="F10" s="899">
        <v>47489200</v>
      </c>
      <c r="G10" s="1488">
        <f t="shared" ref="G10:G20" si="0">+F10</f>
        <v>47489200</v>
      </c>
      <c r="H10" s="65"/>
      <c r="I10" s="316"/>
      <c r="J10" s="316"/>
      <c r="K10" s="316">
        <f t="shared" ref="K10:K20" si="1">SUM(I10:J10)</f>
        <v>0</v>
      </c>
      <c r="L10" s="65"/>
      <c r="M10" s="900"/>
      <c r="O10" s="900">
        <f t="shared" ref="O10:O19" si="2">+G10+K10+M10</f>
        <v>47489200</v>
      </c>
    </row>
    <row r="11" spans="1:19" s="1" customFormat="1" ht="12.75">
      <c r="A11" s="760" t="s">
        <v>746</v>
      </c>
      <c r="B11" s="266" t="s">
        <v>237</v>
      </c>
      <c r="C11" s="266">
        <v>83990</v>
      </c>
      <c r="D11" s="763" t="s">
        <v>705</v>
      </c>
      <c r="E11" s="763">
        <v>11</v>
      </c>
      <c r="F11" s="899">
        <v>39758400</v>
      </c>
      <c r="G11" s="1488">
        <f t="shared" si="0"/>
        <v>39758400</v>
      </c>
      <c r="H11" s="65"/>
      <c r="I11" s="316"/>
      <c r="J11" s="316"/>
      <c r="K11" s="316">
        <f t="shared" si="1"/>
        <v>0</v>
      </c>
      <c r="L11" s="65"/>
      <c r="M11" s="900"/>
      <c r="O11" s="900">
        <f t="shared" si="2"/>
        <v>39758400</v>
      </c>
    </row>
    <row r="12" spans="1:19" s="1629" customFormat="1">
      <c r="A12" s="760" t="s">
        <v>747</v>
      </c>
      <c r="B12" s="1626" t="s">
        <v>237</v>
      </c>
      <c r="C12" s="1626">
        <v>83990</v>
      </c>
      <c r="D12" s="1627" t="s">
        <v>705</v>
      </c>
      <c r="E12" s="1627">
        <v>11</v>
      </c>
      <c r="F12" s="766">
        <v>45099279</v>
      </c>
      <c r="G12" s="1489">
        <f t="shared" si="0"/>
        <v>45099279</v>
      </c>
      <c r="H12" s="1628"/>
      <c r="I12" s="321"/>
      <c r="J12" s="321"/>
      <c r="K12" s="321">
        <f t="shared" si="1"/>
        <v>0</v>
      </c>
      <c r="M12" s="1581"/>
      <c r="O12" s="1581">
        <f t="shared" si="2"/>
        <v>45099279</v>
      </c>
      <c r="P12" s="1523"/>
    </row>
    <row r="13" spans="1:19" s="1628" customFormat="1" ht="25.5">
      <c r="A13" s="760" t="s">
        <v>748</v>
      </c>
      <c r="B13" s="1626" t="s">
        <v>237</v>
      </c>
      <c r="C13" s="1626">
        <v>83990</v>
      </c>
      <c r="D13" s="1627" t="s">
        <v>705</v>
      </c>
      <c r="E13" s="1627">
        <v>11</v>
      </c>
      <c r="F13" s="766">
        <v>43999296</v>
      </c>
      <c r="G13" s="1489">
        <f t="shared" si="0"/>
        <v>43999296</v>
      </c>
      <c r="I13" s="321"/>
      <c r="J13" s="321"/>
      <c r="K13" s="321">
        <f t="shared" si="1"/>
        <v>0</v>
      </c>
      <c r="M13" s="1581"/>
      <c r="O13" s="1581">
        <f t="shared" si="2"/>
        <v>43999296</v>
      </c>
    </row>
    <row r="14" spans="1:19" s="1628" customFormat="1" ht="12.75">
      <c r="A14" s="760" t="s">
        <v>749</v>
      </c>
      <c r="B14" s="1626" t="s">
        <v>237</v>
      </c>
      <c r="C14" s="1626">
        <v>83990</v>
      </c>
      <c r="D14" s="1627" t="s">
        <v>705</v>
      </c>
      <c r="E14" s="1627">
        <v>11</v>
      </c>
      <c r="F14" s="766">
        <v>19799994</v>
      </c>
      <c r="G14" s="1489">
        <f t="shared" si="0"/>
        <v>19799994</v>
      </c>
      <c r="I14" s="321"/>
      <c r="J14" s="321"/>
      <c r="K14" s="321">
        <f t="shared" si="1"/>
        <v>0</v>
      </c>
      <c r="M14" s="1581"/>
      <c r="O14" s="1581">
        <f t="shared" si="2"/>
        <v>19799994</v>
      </c>
      <c r="P14" s="1561"/>
    </row>
    <row r="15" spans="1:19" s="1628" customFormat="1" ht="25.5">
      <c r="A15" s="760" t="s">
        <v>750</v>
      </c>
      <c r="B15" s="1626" t="s">
        <v>237</v>
      </c>
      <c r="C15" s="1626">
        <v>83990</v>
      </c>
      <c r="D15" s="1627" t="s">
        <v>705</v>
      </c>
      <c r="E15" s="1627">
        <v>8</v>
      </c>
      <c r="F15" s="766">
        <v>27295748</v>
      </c>
      <c r="G15" s="1489">
        <f t="shared" si="0"/>
        <v>27295748</v>
      </c>
      <c r="I15" s="321"/>
      <c r="J15" s="321"/>
      <c r="K15" s="321">
        <f t="shared" si="1"/>
        <v>0</v>
      </c>
      <c r="M15" s="1581"/>
      <c r="O15" s="1581">
        <f t="shared" si="2"/>
        <v>27295748</v>
      </c>
      <c r="P15" s="1561"/>
    </row>
    <row r="16" spans="1:19" s="1628" customFormat="1" ht="15.75" customHeight="1">
      <c r="A16" s="760" t="s">
        <v>960</v>
      </c>
      <c r="B16" s="1626" t="s">
        <v>237</v>
      </c>
      <c r="C16" s="1626">
        <v>83990</v>
      </c>
      <c r="D16" s="1627" t="s">
        <v>705</v>
      </c>
      <c r="E16" s="1627"/>
      <c r="F16" s="766">
        <v>2522609</v>
      </c>
      <c r="G16" s="1489">
        <f t="shared" si="0"/>
        <v>2522609</v>
      </c>
      <c r="I16" s="321"/>
      <c r="J16" s="321"/>
      <c r="K16" s="321">
        <f t="shared" si="1"/>
        <v>0</v>
      </c>
      <c r="M16" s="1581"/>
      <c r="O16" s="1581">
        <f t="shared" si="2"/>
        <v>2522609</v>
      </c>
      <c r="P16" s="1561"/>
    </row>
    <row r="17" spans="1:20" s="1629" customFormat="1" ht="25.5">
      <c r="A17" s="760" t="s">
        <v>751</v>
      </c>
      <c r="B17" s="1626" t="s">
        <v>237</v>
      </c>
      <c r="C17" s="1626">
        <v>83990</v>
      </c>
      <c r="D17" s="1627" t="s">
        <v>705</v>
      </c>
      <c r="E17" s="1627">
        <v>11</v>
      </c>
      <c r="F17" s="766">
        <v>56976349</v>
      </c>
      <c r="G17" s="1489">
        <f t="shared" si="0"/>
        <v>56976349</v>
      </c>
      <c r="H17" s="1628"/>
      <c r="I17" s="321"/>
      <c r="J17" s="321"/>
      <c r="K17" s="321">
        <f t="shared" si="1"/>
        <v>0</v>
      </c>
      <c r="M17" s="1581"/>
      <c r="O17" s="1581">
        <f t="shared" si="2"/>
        <v>56976349</v>
      </c>
    </row>
    <row r="18" spans="1:20" s="1629" customFormat="1" ht="38.25">
      <c r="A18" s="760" t="s">
        <v>945</v>
      </c>
      <c r="B18" s="1626" t="s">
        <v>237</v>
      </c>
      <c r="C18" s="1626">
        <v>83990</v>
      </c>
      <c r="D18" s="1627" t="s">
        <v>705</v>
      </c>
      <c r="E18" s="1627">
        <v>11.5</v>
      </c>
      <c r="F18" s="766">
        <v>51038985</v>
      </c>
      <c r="G18" s="1489">
        <f t="shared" si="0"/>
        <v>51038985</v>
      </c>
      <c r="H18" s="1617"/>
      <c r="I18" s="321"/>
      <c r="J18" s="321"/>
      <c r="K18" s="321">
        <f t="shared" si="1"/>
        <v>0</v>
      </c>
      <c r="M18" s="1581"/>
      <c r="O18" s="1581">
        <f t="shared" si="2"/>
        <v>51038985</v>
      </c>
      <c r="P18" s="1523"/>
    </row>
    <row r="19" spans="1:20" s="1629" customFormat="1">
      <c r="A19" s="760" t="s">
        <v>946</v>
      </c>
      <c r="B19" s="1626" t="s">
        <v>237</v>
      </c>
      <c r="C19" s="1626">
        <v>83990</v>
      </c>
      <c r="D19" s="1627" t="s">
        <v>210</v>
      </c>
      <c r="E19" s="1627"/>
      <c r="F19" s="766">
        <v>42168</v>
      </c>
      <c r="G19" s="1489">
        <f t="shared" si="0"/>
        <v>42168</v>
      </c>
      <c r="H19" s="1617"/>
      <c r="I19" s="321"/>
      <c r="J19" s="321"/>
      <c r="K19" s="321">
        <f t="shared" si="1"/>
        <v>0</v>
      </c>
      <c r="M19" s="1581"/>
      <c r="O19" s="1581">
        <f t="shared" si="2"/>
        <v>42168</v>
      </c>
      <c r="P19" s="1523"/>
    </row>
    <row r="20" spans="1:20" s="1628" customFormat="1" ht="25.5">
      <c r="A20" s="760" t="s">
        <v>752</v>
      </c>
      <c r="B20" s="1626" t="s">
        <v>237</v>
      </c>
      <c r="C20" s="1626">
        <v>83990</v>
      </c>
      <c r="D20" s="1627" t="s">
        <v>705</v>
      </c>
      <c r="E20" s="1627">
        <v>11</v>
      </c>
      <c r="F20" s="766">
        <v>26869831</v>
      </c>
      <c r="G20" s="1489">
        <f t="shared" si="0"/>
        <v>26869831</v>
      </c>
      <c r="I20" s="321"/>
      <c r="J20" s="321"/>
      <c r="K20" s="321">
        <f t="shared" si="1"/>
        <v>0</v>
      </c>
      <c r="M20" s="1581"/>
      <c r="O20" s="1581">
        <f>+G20+K20+M20</f>
        <v>26869831</v>
      </c>
      <c r="P20" s="1561"/>
    </row>
    <row r="21" spans="1:20" s="1" customFormat="1">
      <c r="A21" s="173" t="s">
        <v>753</v>
      </c>
      <c r="B21" s="175"/>
      <c r="C21" s="175"/>
      <c r="D21" s="178" t="s">
        <v>210</v>
      </c>
      <c r="E21" s="178">
        <v>1</v>
      </c>
      <c r="F21" s="444">
        <f>SUM(F22:F42)</f>
        <v>100058220</v>
      </c>
      <c r="G21" s="1490">
        <f>SUM(G22:G42)</f>
        <v>100058220</v>
      </c>
      <c r="H21" s="71"/>
      <c r="I21" s="320">
        <f>SUM(I22:I42)</f>
        <v>209220896</v>
      </c>
      <c r="J21" s="320">
        <f>SUM(J22:J42)</f>
        <v>79302526</v>
      </c>
      <c r="K21" s="320">
        <f t="shared" ref="K21:O21" si="3">SUM(K22:K42)</f>
        <v>288523422</v>
      </c>
      <c r="L21" s="320"/>
      <c r="M21" s="320">
        <f t="shared" si="3"/>
        <v>0</v>
      </c>
      <c r="N21" s="320">
        <f t="shared" si="3"/>
        <v>0</v>
      </c>
      <c r="O21" s="320">
        <f t="shared" si="3"/>
        <v>388581642</v>
      </c>
    </row>
    <row r="22" spans="1:20" s="1628" customFormat="1" ht="25.5">
      <c r="A22" s="760" t="s">
        <v>754</v>
      </c>
      <c r="B22" s="1627" t="s">
        <v>906</v>
      </c>
      <c r="C22" s="1626">
        <v>196103</v>
      </c>
      <c r="D22" s="1627" t="s">
        <v>210</v>
      </c>
      <c r="E22" s="1627">
        <v>1</v>
      </c>
      <c r="F22" s="766">
        <f>27888590-5000</f>
        <v>27883590</v>
      </c>
      <c r="G22" s="1489">
        <f>+F22</f>
        <v>27883590</v>
      </c>
      <c r="I22" s="321"/>
      <c r="J22" s="321"/>
      <c r="K22" s="321">
        <f>SUM(I22:J22)</f>
        <v>0</v>
      </c>
      <c r="M22" s="1581"/>
      <c r="O22" s="1581">
        <f>+G22+K22+M22</f>
        <v>27883590</v>
      </c>
      <c r="P22" s="1561"/>
    </row>
    <row r="23" spans="1:20" s="1629" customFormat="1" ht="25.5" customHeight="1">
      <c r="A23" s="2479" t="s">
        <v>1145</v>
      </c>
      <c r="B23" s="2482" t="s">
        <v>242</v>
      </c>
      <c r="C23" s="30">
        <v>63391</v>
      </c>
      <c r="D23" s="1814" t="s">
        <v>210</v>
      </c>
      <c r="E23" s="1815">
        <v>1</v>
      </c>
      <c r="F23" s="766"/>
      <c r="G23" s="1489">
        <f t="shared" ref="G23:G41" si="4">+F23</f>
        <v>0</v>
      </c>
      <c r="H23" s="1628"/>
      <c r="I23" s="321">
        <v>21000000</v>
      </c>
      <c r="J23" s="321"/>
      <c r="K23" s="321">
        <f t="shared" ref="K23:K41" si="5">SUM(I23:J23)</f>
        <v>21000000</v>
      </c>
      <c r="M23" s="1581"/>
      <c r="O23" s="1581">
        <f>+G23+K23+M23</f>
        <v>21000000</v>
      </c>
      <c r="P23" s="1523"/>
    </row>
    <row r="24" spans="1:20" s="1629" customFormat="1" ht="25.5" customHeight="1">
      <c r="A24" s="2480"/>
      <c r="B24" s="2483"/>
      <c r="C24" s="30">
        <v>64221</v>
      </c>
      <c r="D24" s="1814" t="s">
        <v>210</v>
      </c>
      <c r="E24" s="1815">
        <v>1</v>
      </c>
      <c r="F24" s="766"/>
      <c r="G24" s="1489">
        <f t="shared" si="4"/>
        <v>0</v>
      </c>
      <c r="H24" s="1628"/>
      <c r="I24" s="321">
        <v>7000000</v>
      </c>
      <c r="J24" s="321"/>
      <c r="K24" s="321">
        <f t="shared" si="5"/>
        <v>7000000</v>
      </c>
      <c r="M24" s="1581"/>
      <c r="O24" s="1581">
        <f>+G24+K24+M24</f>
        <v>7000000</v>
      </c>
      <c r="P24" s="1523"/>
    </row>
    <row r="25" spans="1:20" s="1629" customFormat="1" ht="25.5" customHeight="1">
      <c r="A25" s="2480"/>
      <c r="B25" s="2483"/>
      <c r="C25" s="30">
        <v>64222</v>
      </c>
      <c r="D25" s="1814" t="s">
        <v>210</v>
      </c>
      <c r="E25" s="1815">
        <v>1</v>
      </c>
      <c r="F25" s="766"/>
      <c r="G25" s="1489">
        <f t="shared" si="4"/>
        <v>0</v>
      </c>
      <c r="H25" s="1628"/>
      <c r="I25" s="321">
        <v>7000000</v>
      </c>
      <c r="J25" s="321"/>
      <c r="K25" s="321">
        <f t="shared" si="5"/>
        <v>7000000</v>
      </c>
      <c r="M25" s="1581"/>
      <c r="O25" s="1581">
        <f t="shared" ref="O25:O41" si="6">+G25+K25+M25</f>
        <v>7000000</v>
      </c>
      <c r="P25" s="1523"/>
    </row>
    <row r="26" spans="1:20" s="1629" customFormat="1" ht="25.5" customHeight="1">
      <c r="A26" s="2480"/>
      <c r="B26" s="2483"/>
      <c r="C26" s="30">
        <v>64223</v>
      </c>
      <c r="D26" s="1814" t="s">
        <v>210</v>
      </c>
      <c r="E26" s="1815">
        <v>1</v>
      </c>
      <c r="F26" s="766"/>
      <c r="G26" s="1489">
        <f t="shared" si="4"/>
        <v>0</v>
      </c>
      <c r="H26" s="1628"/>
      <c r="I26" s="321">
        <v>3500000</v>
      </c>
      <c r="J26" s="321"/>
      <c r="K26" s="321">
        <f t="shared" si="5"/>
        <v>3500000</v>
      </c>
      <c r="M26" s="1581"/>
      <c r="O26" s="1581">
        <f t="shared" si="6"/>
        <v>3500000</v>
      </c>
      <c r="P26" s="1523"/>
    </row>
    <row r="27" spans="1:20" s="1629" customFormat="1" ht="25.5" customHeight="1">
      <c r="A27" s="2480"/>
      <c r="B27" s="2483"/>
      <c r="C27" s="30">
        <v>64224</v>
      </c>
      <c r="D27" s="1814" t="s">
        <v>210</v>
      </c>
      <c r="E27" s="1815">
        <v>1</v>
      </c>
      <c r="F27" s="766"/>
      <c r="G27" s="1489">
        <f t="shared" si="4"/>
        <v>0</v>
      </c>
      <c r="H27" s="1628"/>
      <c r="I27" s="321">
        <v>3500000</v>
      </c>
      <c r="J27" s="321"/>
      <c r="K27" s="321">
        <f t="shared" si="5"/>
        <v>3500000</v>
      </c>
      <c r="M27" s="1581"/>
      <c r="O27" s="1581">
        <f t="shared" si="6"/>
        <v>3500000</v>
      </c>
      <c r="P27" s="1523"/>
    </row>
    <row r="28" spans="1:20" s="1629" customFormat="1" ht="25.5" customHeight="1">
      <c r="A28" s="2480"/>
      <c r="B28" s="2484"/>
      <c r="C28" s="30">
        <v>63290</v>
      </c>
      <c r="D28" s="1814" t="s">
        <v>210</v>
      </c>
      <c r="E28" s="1815">
        <v>1</v>
      </c>
      <c r="F28" s="766"/>
      <c r="G28" s="1489">
        <f t="shared" si="4"/>
        <v>0</v>
      </c>
      <c r="H28" s="1628"/>
      <c r="I28" s="321">
        <v>21000000</v>
      </c>
      <c r="J28" s="321"/>
      <c r="K28" s="321">
        <f t="shared" si="5"/>
        <v>21000000</v>
      </c>
      <c r="M28" s="1581"/>
      <c r="O28" s="1581">
        <f t="shared" si="6"/>
        <v>21000000</v>
      </c>
      <c r="P28" s="1523"/>
    </row>
    <row r="29" spans="1:20" s="1629" customFormat="1" ht="25.5" customHeight="1">
      <c r="A29" s="2480"/>
      <c r="B29" s="2482" t="s">
        <v>1146</v>
      </c>
      <c r="C29" s="1816">
        <v>2823218</v>
      </c>
      <c r="D29" s="1814" t="s">
        <v>210</v>
      </c>
      <c r="E29" s="1815">
        <v>1</v>
      </c>
      <c r="F29" s="766"/>
      <c r="G29" s="1489">
        <f t="shared" si="4"/>
        <v>0</v>
      </c>
      <c r="H29" s="1628"/>
      <c r="I29" s="321">
        <v>3500000</v>
      </c>
      <c r="J29" s="321"/>
      <c r="K29" s="321">
        <f t="shared" si="5"/>
        <v>3500000</v>
      </c>
      <c r="M29" s="1581"/>
      <c r="O29" s="1581">
        <f t="shared" si="6"/>
        <v>3500000</v>
      </c>
      <c r="P29" s="1523"/>
    </row>
    <row r="30" spans="1:20" s="1629" customFormat="1" ht="23.25" customHeight="1">
      <c r="A30" s="2481"/>
      <c r="B30" s="2484"/>
      <c r="C30" s="1814">
        <v>2826207</v>
      </c>
      <c r="D30" s="1814" t="s">
        <v>210</v>
      </c>
      <c r="E30" s="1815">
        <v>1</v>
      </c>
      <c r="F30" s="445"/>
      <c r="G30" s="1489">
        <f t="shared" si="4"/>
        <v>0</v>
      </c>
      <c r="H30" s="1628"/>
      <c r="I30" s="321">
        <v>3500000</v>
      </c>
      <c r="J30" s="321"/>
      <c r="K30" s="321">
        <f t="shared" si="5"/>
        <v>3500000</v>
      </c>
      <c r="M30" s="1581"/>
      <c r="O30" s="1581">
        <f t="shared" si="6"/>
        <v>3500000</v>
      </c>
      <c r="P30" s="1523"/>
    </row>
    <row r="31" spans="1:20" s="1628" customFormat="1" ht="25.5">
      <c r="A31" s="67" t="s">
        <v>1019</v>
      </c>
      <c r="B31" s="1626" t="s">
        <v>870</v>
      </c>
      <c r="C31" s="1626" t="s">
        <v>907</v>
      </c>
      <c r="D31" s="1627" t="s">
        <v>210</v>
      </c>
      <c r="E31" s="1627">
        <v>1</v>
      </c>
      <c r="F31" s="766">
        <v>27516</v>
      </c>
      <c r="G31" s="1489">
        <f t="shared" si="4"/>
        <v>27516</v>
      </c>
      <c r="I31" s="321"/>
      <c r="J31" s="321">
        <f>100000000-20697474</f>
        <v>79302526</v>
      </c>
      <c r="K31" s="321">
        <f t="shared" si="5"/>
        <v>79302526</v>
      </c>
      <c r="M31" s="1581"/>
      <c r="O31" s="1581">
        <f t="shared" si="6"/>
        <v>79330042</v>
      </c>
      <c r="R31" s="1561"/>
      <c r="T31" s="1561"/>
    </row>
    <row r="32" spans="1:20" s="1628" customFormat="1" ht="12.75">
      <c r="A32" s="2424" t="s">
        <v>755</v>
      </c>
      <c r="B32" s="2486" t="s">
        <v>1147</v>
      </c>
      <c r="C32" s="1817">
        <v>47330</v>
      </c>
      <c r="D32" s="1814" t="s">
        <v>210</v>
      </c>
      <c r="E32" s="1814">
        <v>1</v>
      </c>
      <c r="F32" s="1627"/>
      <c r="G32" s="1489">
        <f t="shared" si="4"/>
        <v>0</v>
      </c>
      <c r="I32" s="1818">
        <v>7849272</v>
      </c>
      <c r="J32" s="321"/>
      <c r="K32" s="321">
        <f t="shared" si="5"/>
        <v>7849272</v>
      </c>
      <c r="M32" s="1581"/>
      <c r="O32" s="1581">
        <f t="shared" si="6"/>
        <v>7849272</v>
      </c>
    </row>
    <row r="33" spans="1:49" s="1628" customFormat="1" ht="12.75">
      <c r="A33" s="2485"/>
      <c r="B33" s="2487"/>
      <c r="C33" s="1817">
        <v>45221</v>
      </c>
      <c r="D33" s="1814" t="s">
        <v>210</v>
      </c>
      <c r="E33" s="1814">
        <v>1</v>
      </c>
      <c r="F33" s="1627"/>
      <c r="G33" s="1489">
        <f t="shared" si="4"/>
        <v>0</v>
      </c>
      <c r="I33" s="1818">
        <v>7583212</v>
      </c>
      <c r="J33" s="321"/>
      <c r="K33" s="321">
        <f t="shared" si="5"/>
        <v>7583212</v>
      </c>
      <c r="M33" s="1581"/>
      <c r="O33" s="1581">
        <f t="shared" si="6"/>
        <v>7583212</v>
      </c>
    </row>
    <row r="34" spans="1:49" s="1628" customFormat="1" ht="12.75">
      <c r="A34" s="2485"/>
      <c r="B34" s="2488"/>
      <c r="C34" s="1817">
        <v>45269</v>
      </c>
      <c r="D34" s="1814" t="s">
        <v>210</v>
      </c>
      <c r="E34" s="1814">
        <v>1</v>
      </c>
      <c r="F34" s="1627"/>
      <c r="G34" s="1489">
        <f t="shared" si="4"/>
        <v>0</v>
      </c>
      <c r="I34" s="1818">
        <v>6566160</v>
      </c>
      <c r="J34" s="321"/>
      <c r="K34" s="321">
        <f t="shared" si="5"/>
        <v>6566160</v>
      </c>
      <c r="M34" s="1581"/>
      <c r="O34" s="1581">
        <f t="shared" si="6"/>
        <v>6566160</v>
      </c>
      <c r="S34" s="1561"/>
    </row>
    <row r="35" spans="1:49" s="1628" customFormat="1">
      <c r="A35" s="2425"/>
      <c r="B35" s="1814" t="s">
        <v>1141</v>
      </c>
      <c r="C35" s="1814">
        <v>46410</v>
      </c>
      <c r="D35" s="1814" t="s">
        <v>210</v>
      </c>
      <c r="E35" s="1814">
        <v>1</v>
      </c>
      <c r="F35" s="1627"/>
      <c r="G35" s="1489">
        <f t="shared" si="4"/>
        <v>0</v>
      </c>
      <c r="I35" s="2026">
        <f>7750858-16566</f>
        <v>7734292</v>
      </c>
      <c r="J35" s="321"/>
      <c r="K35" s="321">
        <f t="shared" si="5"/>
        <v>7734292</v>
      </c>
      <c r="M35" s="1581"/>
      <c r="O35" s="1581">
        <f t="shared" si="6"/>
        <v>7734292</v>
      </c>
    </row>
    <row r="36" spans="1:49" s="1628" customFormat="1" ht="12.75">
      <c r="A36" s="2424" t="s">
        <v>756</v>
      </c>
      <c r="B36" s="1814" t="s">
        <v>1087</v>
      </c>
      <c r="C36" s="1814">
        <v>42921.4126301</v>
      </c>
      <c r="D36" s="1814" t="s">
        <v>210</v>
      </c>
      <c r="E36" s="1814">
        <v>1</v>
      </c>
      <c r="F36" s="1818">
        <f>1114373+5692226-154689-265626</f>
        <v>6386284</v>
      </c>
      <c r="G36" s="1489">
        <f t="shared" si="4"/>
        <v>6386284</v>
      </c>
      <c r="I36" s="321"/>
      <c r="J36" s="321"/>
      <c r="K36" s="321">
        <f t="shared" si="5"/>
        <v>0</v>
      </c>
      <c r="M36" s="1581"/>
      <c r="O36" s="1581">
        <f>+G36+K36+M36</f>
        <v>6386284</v>
      </c>
    </row>
    <row r="37" spans="1:49" s="1628" customFormat="1" ht="12.75">
      <c r="A37" s="2485"/>
      <c r="B37" s="1814" t="s">
        <v>914</v>
      </c>
      <c r="C37" s="1814"/>
      <c r="D37" s="1814" t="s">
        <v>210</v>
      </c>
      <c r="E37" s="1814">
        <v>1</v>
      </c>
      <c r="F37" s="1818">
        <f>23047905-5327882</f>
        <v>17720023</v>
      </c>
      <c r="G37" s="1489">
        <f t="shared" si="4"/>
        <v>17720023</v>
      </c>
      <c r="I37" s="321"/>
      <c r="J37" s="321"/>
      <c r="K37" s="321">
        <f t="shared" si="5"/>
        <v>0</v>
      </c>
      <c r="M37" s="1581"/>
      <c r="O37" s="1581">
        <f t="shared" ref="O37" si="7">+G37+K37+M37</f>
        <v>17720023</v>
      </c>
    </row>
    <row r="38" spans="1:49" s="1628" customFormat="1" ht="12.75">
      <c r="A38" s="2485"/>
      <c r="B38" s="2482" t="s">
        <v>1147</v>
      </c>
      <c r="C38" s="1814">
        <v>47215</v>
      </c>
      <c r="D38" s="1814" t="s">
        <v>210</v>
      </c>
      <c r="E38" s="1814">
        <v>1</v>
      </c>
      <c r="F38" s="1818">
        <v>45270288</v>
      </c>
      <c r="G38" s="1489">
        <f t="shared" si="4"/>
        <v>45270288</v>
      </c>
      <c r="I38" s="321"/>
      <c r="J38" s="321"/>
      <c r="K38" s="321">
        <f t="shared" si="5"/>
        <v>0</v>
      </c>
      <c r="M38" s="1581"/>
      <c r="O38" s="1581">
        <f t="shared" si="6"/>
        <v>45270288</v>
      </c>
      <c r="P38" s="2014"/>
    </row>
    <row r="39" spans="1:49" s="1628" customFormat="1" ht="12.75">
      <c r="A39" s="2485"/>
      <c r="B39" s="2484"/>
      <c r="C39" s="1814">
        <v>47215</v>
      </c>
      <c r="D39" s="1814" t="s">
        <v>210</v>
      </c>
      <c r="E39" s="1814">
        <v>1</v>
      </c>
      <c r="F39" s="1818"/>
      <c r="G39" s="1489">
        <f t="shared" si="4"/>
        <v>0</v>
      </c>
      <c r="I39" s="1818">
        <v>17159960</v>
      </c>
      <c r="J39" s="321"/>
      <c r="K39" s="321">
        <f t="shared" si="5"/>
        <v>17159960</v>
      </c>
      <c r="M39" s="1581"/>
      <c r="O39" s="1581">
        <f t="shared" si="6"/>
        <v>17159960</v>
      </c>
    </row>
    <row r="40" spans="1:49" s="1628" customFormat="1" ht="12.75">
      <c r="A40" s="2425"/>
      <c r="B40" s="1814" t="s">
        <v>1153</v>
      </c>
      <c r="C40" s="1814">
        <v>45269</v>
      </c>
      <c r="D40" s="1814" t="s">
        <v>210</v>
      </c>
      <c r="E40" s="1814">
        <v>1</v>
      </c>
      <c r="F40" s="1906"/>
      <c r="G40" s="1489">
        <f t="shared" si="4"/>
        <v>0</v>
      </c>
      <c r="I40" s="1906">
        <f>82840040-512040</f>
        <v>82328000</v>
      </c>
      <c r="J40" s="321"/>
      <c r="K40" s="321">
        <f t="shared" si="5"/>
        <v>82328000</v>
      </c>
      <c r="M40" s="1581"/>
      <c r="O40" s="1581">
        <f t="shared" si="6"/>
        <v>82328000</v>
      </c>
    </row>
    <row r="41" spans="1:49" s="1629" customFormat="1" ht="38.25">
      <c r="A41" s="760" t="s">
        <v>757</v>
      </c>
      <c r="B41" s="1626" t="s">
        <v>870</v>
      </c>
      <c r="C41" s="1627" t="s">
        <v>908</v>
      </c>
      <c r="D41" s="1627" t="s">
        <v>210</v>
      </c>
      <c r="E41" s="1627">
        <v>1</v>
      </c>
      <c r="F41" s="766">
        <f>3361460-82693-508248</f>
        <v>2770519</v>
      </c>
      <c r="G41" s="1489">
        <f t="shared" si="4"/>
        <v>2770519</v>
      </c>
      <c r="H41" s="1628"/>
      <c r="I41" s="321">
        <f>10000000+250498-250498</f>
        <v>10000000</v>
      </c>
      <c r="J41" s="321"/>
      <c r="K41" s="321">
        <f t="shared" si="5"/>
        <v>10000000</v>
      </c>
      <c r="M41" s="1581"/>
      <c r="O41" s="1581">
        <f t="shared" si="6"/>
        <v>12770519</v>
      </c>
    </row>
    <row r="42" spans="1:49" s="1629" customFormat="1" ht="25.5">
      <c r="A42" s="760" t="s">
        <v>1176</v>
      </c>
      <c r="B42" s="1626" t="s">
        <v>237</v>
      </c>
      <c r="C42" s="1626">
        <v>83990</v>
      </c>
      <c r="D42" s="1627" t="s">
        <v>210</v>
      </c>
      <c r="E42" s="1627">
        <v>1</v>
      </c>
      <c r="G42" s="1489">
        <f>+F42</f>
        <v>0</v>
      </c>
      <c r="H42" s="1628"/>
      <c r="I42" s="321"/>
      <c r="J42" s="1561">
        <f>20697474-20697474</f>
        <v>0</v>
      </c>
      <c r="K42" s="321">
        <f>+SUM(J42)</f>
        <v>0</v>
      </c>
      <c r="M42" s="1581"/>
      <c r="O42" s="1581">
        <f>+K42+G42</f>
        <v>0</v>
      </c>
    </row>
    <row r="43" spans="1:49" ht="38.25">
      <c r="A43" s="173" t="s">
        <v>758</v>
      </c>
      <c r="B43" s="175"/>
      <c r="C43" s="175"/>
      <c r="D43" s="178" t="s">
        <v>210</v>
      </c>
      <c r="E43" s="178">
        <v>1</v>
      </c>
      <c r="F43" s="444">
        <f>SUM(F44:F45)</f>
        <v>66276097</v>
      </c>
      <c r="G43" s="1490">
        <f>SUM(G44:G45)</f>
        <v>66276097</v>
      </c>
      <c r="I43" s="320">
        <f>+I44+I45</f>
        <v>1603638</v>
      </c>
      <c r="J43" s="320">
        <f>+J44+J45</f>
        <v>0</v>
      </c>
      <c r="K43" s="320">
        <f>SUM(K44:K45)</f>
        <v>1603638</v>
      </c>
      <c r="M43" s="1580">
        <f>SUM(M44:M45)</f>
        <v>0</v>
      </c>
      <c r="O43" s="1580">
        <f>+G43+K43+M43</f>
        <v>67879735</v>
      </c>
      <c r="P43" s="1629"/>
      <c r="Q43" s="1629"/>
      <c r="R43" s="1629"/>
      <c r="S43" s="1629"/>
      <c r="T43" s="1629"/>
      <c r="U43" s="1629"/>
      <c r="V43" s="1629"/>
      <c r="W43" s="1629"/>
      <c r="X43" s="1629"/>
      <c r="Y43" s="1629"/>
      <c r="Z43" s="1629"/>
      <c r="AA43" s="1629"/>
      <c r="AB43" s="1629"/>
      <c r="AC43" s="1629"/>
      <c r="AD43" s="1629"/>
      <c r="AE43" s="1629"/>
      <c r="AF43" s="1629"/>
      <c r="AG43" s="1629"/>
      <c r="AH43" s="1629"/>
      <c r="AI43" s="1629"/>
      <c r="AJ43" s="1629"/>
      <c r="AK43" s="1629"/>
      <c r="AL43" s="1629"/>
      <c r="AM43" s="1629"/>
      <c r="AN43" s="1629"/>
      <c r="AO43" s="1629"/>
      <c r="AP43" s="1629"/>
      <c r="AQ43" s="1629"/>
      <c r="AR43" s="1629"/>
      <c r="AS43" s="1629"/>
      <c r="AT43" s="1629"/>
      <c r="AU43" s="1629"/>
      <c r="AV43" s="1629"/>
      <c r="AW43" s="1629"/>
    </row>
    <row r="44" spans="1:49" s="1628" customFormat="1" ht="38.25">
      <c r="A44" s="760" t="s">
        <v>759</v>
      </c>
      <c r="B44" s="1626" t="s">
        <v>237</v>
      </c>
      <c r="C44" s="1626">
        <v>87290</v>
      </c>
      <c r="D44" s="1627" t="s">
        <v>210</v>
      </c>
      <c r="E44" s="1627">
        <v>1</v>
      </c>
      <c r="F44" s="766">
        <v>46276097</v>
      </c>
      <c r="G44" s="1489">
        <f>+F44</f>
        <v>46276097</v>
      </c>
      <c r="I44" s="321">
        <v>1603638</v>
      </c>
      <c r="J44" s="321"/>
      <c r="K44" s="321">
        <f>SUM(I44:J44)</f>
        <v>1603638</v>
      </c>
      <c r="M44" s="1581"/>
      <c r="O44" s="1581">
        <f>+G44+K44+M44</f>
        <v>47879735</v>
      </c>
    </row>
    <row r="45" spans="1:49" s="1" customFormat="1" ht="25.5">
      <c r="A45" s="760" t="s">
        <v>760</v>
      </c>
      <c r="B45" s="266" t="s">
        <v>909</v>
      </c>
      <c r="C45" s="266">
        <v>85970</v>
      </c>
      <c r="D45" s="763" t="s">
        <v>210</v>
      </c>
      <c r="E45" s="763">
        <v>1</v>
      </c>
      <c r="F45" s="899">
        <v>20000000</v>
      </c>
      <c r="G45" s="1488">
        <f>+F45</f>
        <v>20000000</v>
      </c>
      <c r="H45" s="65"/>
      <c r="I45" s="316"/>
      <c r="J45" s="316"/>
      <c r="K45" s="316">
        <f>SUM(I45:J45)</f>
        <v>0</v>
      </c>
      <c r="L45" s="65"/>
      <c r="M45" s="900"/>
      <c r="O45" s="900">
        <f>+G45+K45+M45</f>
        <v>20000000</v>
      </c>
      <c r="P45" s="1628"/>
      <c r="Q45" s="1628"/>
      <c r="R45" s="1628"/>
      <c r="S45" s="1628"/>
      <c r="T45" s="1628"/>
      <c r="U45" s="1628"/>
      <c r="V45" s="1628"/>
      <c r="W45" s="1628"/>
      <c r="X45" s="1628"/>
      <c r="Y45" s="1628"/>
      <c r="Z45" s="1628"/>
      <c r="AA45" s="1628"/>
      <c r="AB45" s="1628"/>
      <c r="AC45" s="1628"/>
      <c r="AD45" s="1628"/>
      <c r="AE45" s="1628"/>
      <c r="AF45" s="1628"/>
      <c r="AG45" s="1628"/>
      <c r="AH45" s="1628"/>
      <c r="AI45" s="1628"/>
      <c r="AJ45" s="1628"/>
      <c r="AK45" s="1628"/>
      <c r="AL45" s="1628"/>
      <c r="AM45" s="1628"/>
      <c r="AN45" s="1628"/>
      <c r="AO45" s="1628"/>
      <c r="AP45" s="1628"/>
      <c r="AQ45" s="1628"/>
      <c r="AR45" s="1628"/>
      <c r="AS45" s="1628"/>
      <c r="AT45" s="1628"/>
      <c r="AU45" s="1628"/>
      <c r="AV45" s="1628"/>
      <c r="AW45" s="1628"/>
    </row>
    <row r="46" spans="1:49" s="1" customFormat="1">
      <c r="A46" s="173" t="s">
        <v>761</v>
      </c>
      <c r="B46" s="175"/>
      <c r="C46" s="175"/>
      <c r="D46" s="178" t="s">
        <v>210</v>
      </c>
      <c r="E46" s="178">
        <v>1</v>
      </c>
      <c r="F46" s="444">
        <f>SUM(F47:F50)</f>
        <v>111785999.32879996</v>
      </c>
      <c r="G46" s="1490">
        <f>SUM(G47:G50)</f>
        <v>111785999.32879996</v>
      </c>
      <c r="H46" s="71"/>
      <c r="I46" s="320">
        <f>SUM(I47:I50)</f>
        <v>39175466</v>
      </c>
      <c r="J46" s="320">
        <f>SUM(J47:J50)</f>
        <v>0</v>
      </c>
      <c r="K46" s="320">
        <f>SUM(K47:K50)</f>
        <v>39175466</v>
      </c>
      <c r="L46" s="65"/>
      <c r="M46" s="1580">
        <f>SUM(M48:M50)</f>
        <v>0</v>
      </c>
      <c r="O46" s="1580">
        <f>+G46+K46+M46</f>
        <v>150961465.32879996</v>
      </c>
      <c r="P46" s="1628"/>
      <c r="Q46" s="1628"/>
      <c r="R46" s="1628"/>
      <c r="S46" s="1628"/>
      <c r="T46" s="1628"/>
      <c r="U46" s="1628"/>
      <c r="V46" s="1628"/>
      <c r="W46" s="1628"/>
      <c r="X46" s="1628"/>
      <c r="Y46" s="1628"/>
      <c r="Z46" s="1628"/>
      <c r="AA46" s="1628"/>
      <c r="AB46" s="1628"/>
      <c r="AC46" s="1628"/>
      <c r="AD46" s="1628"/>
      <c r="AE46" s="1628"/>
      <c r="AF46" s="1628"/>
      <c r="AG46" s="1628"/>
      <c r="AH46" s="1628"/>
      <c r="AI46" s="1628"/>
      <c r="AJ46" s="1628"/>
      <c r="AK46" s="1628"/>
      <c r="AL46" s="1628"/>
      <c r="AM46" s="1628"/>
      <c r="AN46" s="1628"/>
      <c r="AO46" s="1628"/>
      <c r="AP46" s="1628"/>
      <c r="AQ46" s="1628"/>
      <c r="AR46" s="1628"/>
      <c r="AS46" s="1628"/>
      <c r="AT46" s="1628"/>
      <c r="AU46" s="1628"/>
      <c r="AV46" s="1628"/>
      <c r="AW46" s="1628"/>
    </row>
    <row r="47" spans="1:49" s="71" customFormat="1">
      <c r="A47" s="760" t="s">
        <v>762</v>
      </c>
      <c r="B47" s="11" t="s">
        <v>237</v>
      </c>
      <c r="C47" s="1626">
        <v>83990</v>
      </c>
      <c r="D47" s="763" t="s">
        <v>705</v>
      </c>
      <c r="E47" s="763">
        <v>11</v>
      </c>
      <c r="F47" s="766">
        <v>33132000</v>
      </c>
      <c r="G47" s="1489">
        <f>+F47</f>
        <v>33132000</v>
      </c>
      <c r="H47" s="65"/>
      <c r="I47" s="321"/>
      <c r="J47" s="321"/>
      <c r="K47" s="321">
        <f>SUM(I47:J47)</f>
        <v>0</v>
      </c>
      <c r="M47" s="1581"/>
      <c r="O47" s="1581">
        <f>+G47+K47+M47</f>
        <v>33132000</v>
      </c>
      <c r="P47" s="1629"/>
      <c r="Q47" s="1629"/>
      <c r="R47" s="1629"/>
      <c r="S47" s="1629"/>
      <c r="T47" s="1629"/>
      <c r="U47" s="1629"/>
      <c r="V47" s="1629"/>
      <c r="W47" s="1629"/>
      <c r="X47" s="1629"/>
      <c r="Y47" s="1629"/>
      <c r="Z47" s="1629"/>
      <c r="AA47" s="1629"/>
      <c r="AB47" s="1629"/>
      <c r="AC47" s="1629"/>
      <c r="AD47" s="1629"/>
      <c r="AE47" s="1629"/>
      <c r="AF47" s="1629"/>
      <c r="AG47" s="1629"/>
      <c r="AH47" s="1629"/>
      <c r="AI47" s="1629"/>
      <c r="AJ47" s="1629"/>
      <c r="AK47" s="1629"/>
      <c r="AL47" s="1629"/>
      <c r="AM47" s="1629"/>
      <c r="AN47" s="1629"/>
      <c r="AO47" s="1629"/>
      <c r="AP47" s="1629"/>
      <c r="AQ47" s="1629"/>
      <c r="AR47" s="1629"/>
      <c r="AS47" s="1629"/>
      <c r="AT47" s="1629"/>
      <c r="AU47" s="1629"/>
      <c r="AV47" s="1629"/>
      <c r="AW47" s="1629"/>
    </row>
    <row r="48" spans="1:49" s="71" customFormat="1">
      <c r="A48" s="760" t="s">
        <v>763</v>
      </c>
      <c r="B48" s="11" t="s">
        <v>237</v>
      </c>
      <c r="C48" s="11">
        <v>83990</v>
      </c>
      <c r="D48" s="763" t="s">
        <v>705</v>
      </c>
      <c r="E48" s="763">
        <v>11</v>
      </c>
      <c r="F48" s="766">
        <v>33132000</v>
      </c>
      <c r="G48" s="1489">
        <f>+F48</f>
        <v>33132000</v>
      </c>
      <c r="H48" s="65"/>
      <c r="I48" s="321"/>
      <c r="J48" s="321"/>
      <c r="K48" s="321">
        <f t="shared" ref="K48:K50" si="8">SUM(I48:J48)</f>
        <v>0</v>
      </c>
      <c r="M48" s="1581"/>
      <c r="O48" s="1581">
        <f t="shared" ref="O48:O49" si="9">+G48+K48+M48</f>
        <v>33132000</v>
      </c>
    </row>
    <row r="49" spans="1:17" s="71" customFormat="1">
      <c r="A49" s="760" t="s">
        <v>941</v>
      </c>
      <c r="B49" s="11" t="s">
        <v>237</v>
      </c>
      <c r="C49" s="11">
        <v>83990</v>
      </c>
      <c r="D49" s="763" t="s">
        <v>705</v>
      </c>
      <c r="E49" s="763">
        <v>11</v>
      </c>
      <c r="F49" s="766">
        <v>45521999.328799963</v>
      </c>
      <c r="G49" s="1489">
        <f>+F49</f>
        <v>45521999.328799963</v>
      </c>
      <c r="H49" s="65"/>
      <c r="I49" s="321"/>
      <c r="J49" s="321"/>
      <c r="K49" s="321">
        <f t="shared" si="8"/>
        <v>0</v>
      </c>
      <c r="M49" s="1581"/>
      <c r="O49" s="1581">
        <f t="shared" si="9"/>
        <v>45521999.328799963</v>
      </c>
    </row>
    <row r="50" spans="1:17" s="1629" customFormat="1">
      <c r="A50" s="55" t="s">
        <v>764</v>
      </c>
      <c r="B50" s="22" t="s">
        <v>237</v>
      </c>
      <c r="C50" s="22">
        <v>84420</v>
      </c>
      <c r="D50" s="21" t="s">
        <v>210</v>
      </c>
      <c r="E50" s="21">
        <v>1</v>
      </c>
      <c r="F50" s="1492"/>
      <c r="G50" s="1491"/>
      <c r="H50" s="1628"/>
      <c r="I50" s="1277">
        <f>40000000-824534</f>
        <v>39175466</v>
      </c>
      <c r="J50" s="1277"/>
      <c r="K50" s="1277">
        <f t="shared" si="8"/>
        <v>39175466</v>
      </c>
      <c r="M50" s="1582"/>
      <c r="O50" s="1581">
        <f>+G50+K50+M50</f>
        <v>39175466</v>
      </c>
    </row>
    <row r="51" spans="1:17" s="71" customFormat="1" ht="25.5">
      <c r="A51" s="173" t="s">
        <v>1169</v>
      </c>
      <c r="B51" s="1576"/>
      <c r="C51" s="1576"/>
      <c r="D51" s="1577" t="s">
        <v>210</v>
      </c>
      <c r="E51" s="1577">
        <v>1</v>
      </c>
      <c r="F51" s="1578"/>
      <c r="G51" s="1589">
        <f>SUM(G52:G53)</f>
        <v>0</v>
      </c>
      <c r="H51" s="65"/>
      <c r="I51" s="2017"/>
      <c r="J51" s="2017"/>
      <c r="K51" s="2017"/>
      <c r="M51" s="2021">
        <f>SUM(M52:M53)</f>
        <v>293474194</v>
      </c>
      <c r="O51" s="2022">
        <f>SUM(O52:O53)</f>
        <v>293474194</v>
      </c>
    </row>
    <row r="52" spans="1:17" s="1629" customFormat="1" ht="25.5">
      <c r="A52" s="760" t="s">
        <v>1057</v>
      </c>
      <c r="B52" s="1626" t="s">
        <v>237</v>
      </c>
      <c r="C52" s="1626">
        <v>83990</v>
      </c>
      <c r="D52" s="1627" t="s">
        <v>484</v>
      </c>
      <c r="E52" s="1627">
        <v>1</v>
      </c>
      <c r="F52" s="766"/>
      <c r="G52" s="321">
        <f t="shared" ref="G52:G53" si="10">+F52</f>
        <v>0</v>
      </c>
      <c r="H52" s="1628"/>
      <c r="I52" s="1677"/>
      <c r="J52" s="766"/>
      <c r="K52" s="321"/>
      <c r="M52" s="1677">
        <v>43575696</v>
      </c>
      <c r="N52" s="2023"/>
      <c r="O52" s="321">
        <f t="shared" ref="O52:O53" si="11">+G52+K52+M52</f>
        <v>43575696</v>
      </c>
    </row>
    <row r="53" spans="1:17" s="1629" customFormat="1" ht="39" thickBot="1">
      <c r="A53" s="55" t="s">
        <v>1056</v>
      </c>
      <c r="B53" s="22" t="s">
        <v>237</v>
      </c>
      <c r="C53" s="537">
        <v>83990</v>
      </c>
      <c r="D53" s="21" t="s">
        <v>484</v>
      </c>
      <c r="E53" s="21">
        <v>1</v>
      </c>
      <c r="F53" s="1492"/>
      <c r="G53" s="321">
        <f t="shared" si="10"/>
        <v>0</v>
      </c>
      <c r="H53" s="1628"/>
      <c r="I53" s="2018"/>
      <c r="J53" s="2019"/>
      <c r="K53" s="2020"/>
      <c r="M53" s="2018">
        <v>249898498</v>
      </c>
      <c r="N53" s="2024"/>
      <c r="O53" s="2020">
        <f t="shared" si="11"/>
        <v>249898498</v>
      </c>
    </row>
    <row r="54" spans="1:17" ht="24.75" thickBot="1">
      <c r="A54" s="629" t="s">
        <v>0</v>
      </c>
      <c r="B54" s="1336"/>
      <c r="C54" s="1336"/>
      <c r="D54" s="1337" t="s">
        <v>210</v>
      </c>
      <c r="E54" s="1337">
        <v>1</v>
      </c>
      <c r="F54" s="1338">
        <f>SUM(F55:F56)</f>
        <v>98069898</v>
      </c>
      <c r="G54" s="1335">
        <f>+G55+G56</f>
        <v>98069898</v>
      </c>
      <c r="I54" s="2015">
        <f>+I55+I56</f>
        <v>0</v>
      </c>
      <c r="J54" s="2016">
        <f>+J55+J56</f>
        <v>0</v>
      </c>
      <c r="K54" s="2016">
        <f>+K55+K56</f>
        <v>0</v>
      </c>
      <c r="M54" s="2015">
        <f>SUM(M55:M56)</f>
        <v>0</v>
      </c>
      <c r="O54" s="2015">
        <f>+G54+K54+M54</f>
        <v>98069898</v>
      </c>
    </row>
    <row r="55" spans="1:17" s="1629" customFormat="1" ht="51">
      <c r="A55" s="51" t="s">
        <v>335</v>
      </c>
      <c r="B55" s="533" t="s">
        <v>242</v>
      </c>
      <c r="C55" s="533" t="s">
        <v>869</v>
      </c>
      <c r="D55" s="533" t="s">
        <v>210</v>
      </c>
      <c r="E55" s="533">
        <v>1</v>
      </c>
      <c r="F55" s="1637">
        <v>14098625</v>
      </c>
      <c r="G55" s="1638">
        <f>+F55</f>
        <v>14098625</v>
      </c>
      <c r="I55" s="1638"/>
      <c r="J55" s="1638"/>
      <c r="K55" s="1638">
        <f>SUM(I55:J55)</f>
        <v>0</v>
      </c>
      <c r="M55" s="1639"/>
      <c r="O55" s="1639">
        <f>+G55+K55+M55</f>
        <v>14098625</v>
      </c>
      <c r="P55" s="1523"/>
    </row>
    <row r="56" spans="1:17" ht="15.75" thickBot="1">
      <c r="A56" s="760" t="s">
        <v>228</v>
      </c>
      <c r="B56" s="266" t="s">
        <v>871</v>
      </c>
      <c r="C56" s="179"/>
      <c r="D56" s="763"/>
      <c r="E56" s="763"/>
      <c r="F56" s="899">
        <v>83971273</v>
      </c>
      <c r="G56" s="316">
        <f>+F56</f>
        <v>83971273</v>
      </c>
      <c r="H56" s="65"/>
      <c r="I56" s="632"/>
      <c r="J56" s="632"/>
      <c r="K56" s="1481">
        <f t="shared" ref="K56" si="12">SUM(I56:J56)</f>
        <v>0</v>
      </c>
      <c r="M56" s="1583"/>
      <c r="O56" s="1583">
        <f>+G56+K56+M56</f>
        <v>83971273</v>
      </c>
    </row>
    <row r="57" spans="1:17" ht="15.75" thickBot="1">
      <c r="A57" s="2476" t="s">
        <v>10</v>
      </c>
      <c r="B57" s="2477"/>
      <c r="C57" s="2477"/>
      <c r="D57" s="2478"/>
      <c r="E57" s="1493"/>
      <c r="F57" s="1475">
        <f>F54+F7</f>
        <v>784571273.32879996</v>
      </c>
      <c r="G57" s="1476">
        <f>+G54+G7</f>
        <v>784571273.32879996</v>
      </c>
      <c r="I57" s="1482">
        <f>+I54+I7</f>
        <v>250000000</v>
      </c>
      <c r="J57" s="1478">
        <f>+J54+J7</f>
        <v>79302526</v>
      </c>
      <c r="K57" s="1478">
        <f>SUM(I57:J57)</f>
        <v>329302526</v>
      </c>
      <c r="M57" s="1482">
        <f>+M7+M54</f>
        <v>293474194</v>
      </c>
      <c r="O57" s="1482">
        <f>+G57+K57+M57</f>
        <v>1407347993.3288</v>
      </c>
      <c r="P57" s="2025"/>
      <c r="Q57" s="50"/>
    </row>
    <row r="58" spans="1:17" ht="15.75" thickBot="1">
      <c r="G58" s="319"/>
      <c r="I58" s="319"/>
    </row>
    <row r="59" spans="1:17" ht="15.75" thickBot="1">
      <c r="F59" s="751">
        <v>784571273</v>
      </c>
      <c r="G59" s="751">
        <v>784571273.10009992</v>
      </c>
      <c r="H59" s="1629"/>
      <c r="I59" s="896">
        <v>250000000</v>
      </c>
      <c r="J59" s="750">
        <f>100000000-20697474</f>
        <v>79302526</v>
      </c>
      <c r="K59" s="897">
        <f>+J59+I59</f>
        <v>329302526</v>
      </c>
      <c r="L59" s="1629"/>
      <c r="M59" s="898">
        <v>1815020178.98</v>
      </c>
      <c r="O59" s="898">
        <f>+K59+G59+M59</f>
        <v>2928893978.0801001</v>
      </c>
    </row>
    <row r="60" spans="1:17">
      <c r="C60" s="50"/>
      <c r="G60" s="319"/>
    </row>
    <row r="61" spans="1:17">
      <c r="F61" s="307">
        <f>+F59-F57</f>
        <v>-0.32879996299743652</v>
      </c>
      <c r="G61" s="307">
        <f>+G59-G57</f>
        <v>-0.22870004177093506</v>
      </c>
      <c r="H61" s="736"/>
      <c r="I61" s="307">
        <f t="shared" ref="I61:O61" si="13">+I59-I57</f>
        <v>0</v>
      </c>
      <c r="J61" s="307">
        <f t="shared" si="13"/>
        <v>0</v>
      </c>
      <c r="K61" s="307">
        <f t="shared" si="13"/>
        <v>0</v>
      </c>
      <c r="L61" s="736"/>
      <c r="M61" s="307"/>
      <c r="N61" s="307"/>
      <c r="O61" s="307">
        <f t="shared" si="13"/>
        <v>1521545984.7513001</v>
      </c>
    </row>
  </sheetData>
  <mergeCells count="23">
    <mergeCell ref="K4:K6"/>
    <mergeCell ref="O4:O6"/>
    <mergeCell ref="I5:I6"/>
    <mergeCell ref="J5:J6"/>
    <mergeCell ref="A57:D57"/>
    <mergeCell ref="I4:J4"/>
    <mergeCell ref="M5:M6"/>
    <mergeCell ref="A23:A30"/>
    <mergeCell ref="B23:B28"/>
    <mergeCell ref="B29:B30"/>
    <mergeCell ref="A32:A35"/>
    <mergeCell ref="B32:B34"/>
    <mergeCell ref="A36:A40"/>
    <mergeCell ref="B38:B39"/>
    <mergeCell ref="A1:F1"/>
    <mergeCell ref="A2:F2"/>
    <mergeCell ref="G4:G6"/>
    <mergeCell ref="E4:E6"/>
    <mergeCell ref="A4:A6"/>
    <mergeCell ref="B4:B6"/>
    <mergeCell ref="C4:C6"/>
    <mergeCell ref="D4:D6"/>
    <mergeCell ref="F5:F6"/>
  </mergeCells>
  <pageMargins left="0.7" right="0.7" top="0.75" bottom="0.75" header="0.3" footer="0.3"/>
  <pageSetup paperSize="9" orientation="portrait" verticalDpi="597"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9">
    <tabColor theme="7" tint="0.59999389629810485"/>
  </sheetPr>
  <dimension ref="A1:M30"/>
  <sheetViews>
    <sheetView workbookViewId="0">
      <selection activeCell="I13" sqref="I13"/>
    </sheetView>
  </sheetViews>
  <sheetFormatPr baseColWidth="10" defaultRowHeight="15"/>
  <cols>
    <col min="1" max="1" width="13.5703125" customWidth="1"/>
    <col min="2" max="2" width="37.140625" customWidth="1"/>
    <col min="3" max="7" width="15.7109375" customWidth="1"/>
    <col min="8" max="8" width="7.85546875" customWidth="1"/>
    <col min="9" max="9" width="22.140625" customWidth="1"/>
    <col min="10" max="10" width="4" customWidth="1"/>
    <col min="11" max="11" width="19.85546875" customWidth="1"/>
  </cols>
  <sheetData>
    <row r="1" spans="1:13" s="1" customFormat="1" ht="12.75">
      <c r="B1" s="2409" t="s">
        <v>196</v>
      </c>
      <c r="C1" s="2409"/>
      <c r="D1" s="2409"/>
      <c r="E1" s="2409"/>
      <c r="F1" s="2409"/>
      <c r="G1" s="2409"/>
    </row>
    <row r="2" spans="1:13" s="1" customFormat="1" ht="12.75">
      <c r="B2" s="2311" t="s">
        <v>197</v>
      </c>
      <c r="C2" s="2311"/>
      <c r="D2" s="2311"/>
      <c r="E2" s="2311"/>
      <c r="F2" s="2311"/>
      <c r="G2" s="2311"/>
    </row>
    <row r="3" spans="1:13" ht="15.75" thickBot="1"/>
    <row r="4" spans="1:13" ht="15" customHeight="1" thickBot="1">
      <c r="A4" s="2312" t="s">
        <v>394</v>
      </c>
      <c r="B4" s="2368" t="s">
        <v>807</v>
      </c>
      <c r="C4" s="2368">
        <v>2022</v>
      </c>
      <c r="D4" s="2368"/>
      <c r="E4" s="2368"/>
      <c r="F4" s="2368"/>
      <c r="G4" s="2368"/>
      <c r="I4" s="2364" t="s">
        <v>1005</v>
      </c>
      <c r="J4" s="418"/>
      <c r="K4" s="2364" t="s">
        <v>1006</v>
      </c>
    </row>
    <row r="5" spans="1:13" ht="15" customHeight="1" thickBot="1">
      <c r="A5" s="2312"/>
      <c r="B5" s="2368"/>
      <c r="C5" s="2312" t="s">
        <v>200</v>
      </c>
      <c r="D5" s="2312" t="s">
        <v>201</v>
      </c>
      <c r="E5" s="2312" t="s">
        <v>254</v>
      </c>
      <c r="F5" s="2312"/>
      <c r="G5" s="2312" t="s">
        <v>205</v>
      </c>
      <c r="I5" s="2364"/>
      <c r="J5" s="418"/>
      <c r="K5" s="2365"/>
    </row>
    <row r="6" spans="1:13" ht="36.75" thickBot="1">
      <c r="A6" s="2312"/>
      <c r="B6" s="2489"/>
      <c r="C6" s="2330"/>
      <c r="D6" s="2330"/>
      <c r="E6" s="1339" t="s">
        <v>336</v>
      </c>
      <c r="F6" s="1339" t="s">
        <v>808</v>
      </c>
      <c r="G6" s="2330"/>
      <c r="I6" s="1230" t="s">
        <v>1011</v>
      </c>
      <c r="J6" s="418"/>
      <c r="K6" s="2391"/>
    </row>
    <row r="7" spans="1:13" ht="39" thickBot="1">
      <c r="A7" s="781">
        <v>3299060</v>
      </c>
      <c r="B7" s="539" t="s">
        <v>6</v>
      </c>
      <c r="C7" s="473" t="s">
        <v>215</v>
      </c>
      <c r="D7" s="1353">
        <v>75</v>
      </c>
      <c r="E7" s="1354">
        <f>+E8+E9+E10</f>
        <v>221648897.40000001</v>
      </c>
      <c r="F7" s="1354">
        <f>+F8+F9+F10</f>
        <v>130430982.454</v>
      </c>
      <c r="G7" s="1355">
        <f>+'ACCIONES 329901'!M7</f>
        <v>352079879.85399997</v>
      </c>
      <c r="H7" s="62">
        <f t="shared" ref="H7:H25" si="0">+(E7+F7)-G7</f>
        <v>0</v>
      </c>
      <c r="I7" s="1356">
        <f>+'ACCIONES 329901'!O7</f>
        <v>68014515</v>
      </c>
      <c r="K7" s="1356">
        <f>+'ACCIONES 329901'!Q7</f>
        <v>420094394.85399997</v>
      </c>
    </row>
    <row r="8" spans="1:13" ht="25.5">
      <c r="B8" s="532" t="s">
        <v>337</v>
      </c>
      <c r="C8" s="126" t="s">
        <v>215</v>
      </c>
      <c r="D8" s="1343">
        <v>0</v>
      </c>
      <c r="E8" s="1344">
        <f>+'ACCIONES 329901'!K8</f>
        <v>0</v>
      </c>
      <c r="F8" s="1344">
        <f>+'ACCIONES 329901'!L8</f>
        <v>0</v>
      </c>
      <c r="G8" s="1345">
        <f>+'ACCIONES 329901'!M8</f>
        <v>0</v>
      </c>
      <c r="H8" s="62">
        <f t="shared" si="0"/>
        <v>0</v>
      </c>
      <c r="I8" s="1360">
        <f>+'ACCIONES 329901'!O8</f>
        <v>0</v>
      </c>
      <c r="K8" s="1360">
        <f>+I8+G8</f>
        <v>0</v>
      </c>
    </row>
    <row r="9" spans="1:13" ht="38.25">
      <c r="B9" s="29" t="s">
        <v>338</v>
      </c>
      <c r="C9" s="11" t="s">
        <v>210</v>
      </c>
      <c r="D9" s="233">
        <v>1</v>
      </c>
      <c r="E9" s="234">
        <f>+'ACCIONES 329901'!K9</f>
        <v>221648897.40000001</v>
      </c>
      <c r="F9" s="234">
        <f>+'ACCIONES 329901'!L9</f>
        <v>98451397.75</v>
      </c>
      <c r="G9" s="235">
        <f>+'ACCIONES 329901'!M9</f>
        <v>320100295.14999998</v>
      </c>
      <c r="H9" s="62">
        <f t="shared" si="0"/>
        <v>0</v>
      </c>
      <c r="I9" s="1361">
        <f>+'ACCIONES 329901'!O9</f>
        <v>23092000</v>
      </c>
      <c r="K9" s="1360">
        <f t="shared" ref="K9:K23" si="1">+I9+G9</f>
        <v>343192295.14999998</v>
      </c>
    </row>
    <row r="10" spans="1:13" ht="39" thickBot="1">
      <c r="B10" s="536" t="s">
        <v>339</v>
      </c>
      <c r="C10" s="22" t="s">
        <v>210</v>
      </c>
      <c r="D10" s="1340">
        <v>1</v>
      </c>
      <c r="E10" s="1341">
        <f>+'ACCIONES 329901'!K22</f>
        <v>0</v>
      </c>
      <c r="F10" s="1341">
        <f>+'ACCIONES 329901'!L22</f>
        <v>31979584.704</v>
      </c>
      <c r="G10" s="1342">
        <f>+'ACCIONES 329901'!M22</f>
        <v>31979584.704</v>
      </c>
      <c r="H10" s="62">
        <f t="shared" si="0"/>
        <v>0</v>
      </c>
      <c r="I10" s="1362">
        <f>+'ACCIONES 329901'!O22</f>
        <v>44922515</v>
      </c>
      <c r="K10" s="1360">
        <f t="shared" si="1"/>
        <v>76902099.703999996</v>
      </c>
      <c r="M10" t="s">
        <v>910</v>
      </c>
    </row>
    <row r="11" spans="1:13" ht="26.25" thickBot="1">
      <c r="A11" s="782">
        <v>3299060</v>
      </c>
      <c r="B11" s="539" t="s">
        <v>7</v>
      </c>
      <c r="C11" s="473" t="s">
        <v>215</v>
      </c>
      <c r="D11" s="1353">
        <v>70</v>
      </c>
      <c r="E11" s="1357">
        <f>+'ACCIONES 329901'!K33</f>
        <v>0</v>
      </c>
      <c r="F11" s="1357">
        <f>+'ACCIONES 329901'!L33</f>
        <v>20080000</v>
      </c>
      <c r="G11" s="1355">
        <f>+'ACCIONES 329901'!M33</f>
        <v>20080000</v>
      </c>
      <c r="H11" s="62">
        <f t="shared" si="0"/>
        <v>0</v>
      </c>
      <c r="I11" s="1356">
        <f>+'ACCIONES 329901'!O33</f>
        <v>0</v>
      </c>
      <c r="K11" s="1356">
        <f>+'ACCIONES 329901'!Q33</f>
        <v>20080000</v>
      </c>
    </row>
    <row r="12" spans="1:13" ht="26.25" thickBot="1">
      <c r="B12" s="538" t="s">
        <v>340</v>
      </c>
      <c r="C12" s="459" t="s">
        <v>210</v>
      </c>
      <c r="D12" s="1347">
        <v>1</v>
      </c>
      <c r="E12" s="1348">
        <f>+'ACCIONES 329901'!K34</f>
        <v>0</v>
      </c>
      <c r="F12" s="1348">
        <f>+'ACCIONES 329901'!L34</f>
        <v>20080000</v>
      </c>
      <c r="G12" s="1346">
        <f>+'ACCIONES 329901'!M34</f>
        <v>20080000</v>
      </c>
      <c r="H12" s="62">
        <f t="shared" si="0"/>
        <v>0</v>
      </c>
      <c r="I12" s="1363">
        <f>+'ACCIONES 329901'!O34</f>
        <v>0</v>
      </c>
      <c r="J12" s="61"/>
      <c r="K12" s="1360">
        <f t="shared" si="1"/>
        <v>20080000</v>
      </c>
    </row>
    <row r="13" spans="1:13" ht="51.75" thickBot="1">
      <c r="A13" s="782">
        <v>3299065</v>
      </c>
      <c r="B13" s="527" t="s">
        <v>8</v>
      </c>
      <c r="C13" s="473" t="s">
        <v>215</v>
      </c>
      <c r="D13" s="1353">
        <v>75</v>
      </c>
      <c r="E13" s="1357">
        <f>+'ACCIONES 329901'!K36</f>
        <v>31450334.141024001</v>
      </c>
      <c r="F13" s="1357">
        <f>+'ACCIONES 329901'!L36</f>
        <v>15860766</v>
      </c>
      <c r="G13" s="1355">
        <f>+'ACCIONES 329901'!M36</f>
        <v>47311100.141024001</v>
      </c>
      <c r="H13" s="62">
        <f t="shared" si="0"/>
        <v>0</v>
      </c>
      <c r="I13" s="1356">
        <f>+'ACCIONES 329901'!O36</f>
        <v>631907929.99199998</v>
      </c>
      <c r="K13" s="1356">
        <f>+I13+G13</f>
        <v>679219030.13302398</v>
      </c>
    </row>
    <row r="14" spans="1:13" ht="25.5">
      <c r="B14" s="532" t="s">
        <v>341</v>
      </c>
      <c r="C14" s="126" t="s">
        <v>211</v>
      </c>
      <c r="D14" s="1343">
        <v>1</v>
      </c>
      <c r="E14" s="1349">
        <f>+'ACCIONES 329901'!K37</f>
        <v>0</v>
      </c>
      <c r="F14" s="1349">
        <f>+'ACCIONES 329901'!L37</f>
        <v>15796467</v>
      </c>
      <c r="G14" s="1350">
        <f>+'ACCIONES 329901'!M37</f>
        <v>15796467</v>
      </c>
      <c r="H14" s="62">
        <f t="shared" si="0"/>
        <v>0</v>
      </c>
      <c r="I14" s="1360">
        <f>+'ACCIONES 329901'!O37</f>
        <v>110197501</v>
      </c>
      <c r="K14" s="1360">
        <f t="shared" si="1"/>
        <v>125993968</v>
      </c>
    </row>
    <row r="15" spans="1:13" ht="26.25" thickBot="1">
      <c r="B15" s="536" t="s">
        <v>399</v>
      </c>
      <c r="C15" s="22" t="s">
        <v>210</v>
      </c>
      <c r="D15" s="1340">
        <v>1</v>
      </c>
      <c r="E15" s="1341">
        <f>+'ACCIONES 329901'!K41</f>
        <v>31450334.141024001</v>
      </c>
      <c r="F15" s="1341">
        <f>+'ACCIONES 329901'!L41</f>
        <v>64299</v>
      </c>
      <c r="G15" s="1342">
        <f>+'ACCIONES 329901'!M41</f>
        <v>31514633.141024001</v>
      </c>
      <c r="H15" s="62">
        <f t="shared" si="0"/>
        <v>0</v>
      </c>
      <c r="I15" s="1362">
        <f>+'ACCIONES 329901'!O41</f>
        <v>521710428.99199998</v>
      </c>
      <c r="K15" s="1360">
        <f t="shared" si="1"/>
        <v>553225062.13302398</v>
      </c>
    </row>
    <row r="16" spans="1:13" ht="39" thickBot="1">
      <c r="A16" s="782">
        <v>3299052</v>
      </c>
      <c r="B16" s="527" t="s">
        <v>342</v>
      </c>
      <c r="C16" s="473" t="s">
        <v>215</v>
      </c>
      <c r="D16" s="1353">
        <v>80</v>
      </c>
      <c r="E16" s="1357">
        <f>+'ACCIONES 329901'!K51</f>
        <v>0</v>
      </c>
      <c r="F16" s="1357">
        <f>+'ACCIONES 329901'!L51</f>
        <v>31860346</v>
      </c>
      <c r="G16" s="1355">
        <f>+'ACCIONES 329901'!M51</f>
        <v>31860346</v>
      </c>
      <c r="H16" s="62">
        <f t="shared" si="0"/>
        <v>0</v>
      </c>
      <c r="I16" s="1356">
        <f>+'ACCIONES 329901'!O51</f>
        <v>49014623</v>
      </c>
      <c r="K16" s="1356">
        <f>+I16+G16</f>
        <v>80874969</v>
      </c>
    </row>
    <row r="17" spans="1:11" ht="39" thickBot="1">
      <c r="B17" s="538" t="s">
        <v>343</v>
      </c>
      <c r="C17" s="459" t="s">
        <v>210</v>
      </c>
      <c r="D17" s="1347">
        <v>1</v>
      </c>
      <c r="E17" s="1351">
        <f>+'ACCIONES 329901'!K52</f>
        <v>0</v>
      </c>
      <c r="F17" s="1351">
        <f>+'ACCIONES 329901'!L52</f>
        <v>31860346</v>
      </c>
      <c r="G17" s="1352">
        <f>+'ACCIONES 329901'!M52</f>
        <v>31860346</v>
      </c>
      <c r="H17" s="62">
        <f t="shared" si="0"/>
        <v>0</v>
      </c>
      <c r="I17" s="1363">
        <f>+'ACCIONES 329901'!O52</f>
        <v>49014623</v>
      </c>
      <c r="K17" s="1360">
        <f t="shared" si="1"/>
        <v>80874969</v>
      </c>
    </row>
    <row r="18" spans="1:11" ht="51.75" thickBot="1">
      <c r="A18" s="782">
        <v>3299011</v>
      </c>
      <c r="B18" s="527" t="s">
        <v>9</v>
      </c>
      <c r="C18" s="473" t="s">
        <v>215</v>
      </c>
      <c r="D18" s="1353">
        <v>100</v>
      </c>
      <c r="E18" s="1357">
        <f>+'ACCIONES 329901'!K57</f>
        <v>384707571.39999998</v>
      </c>
      <c r="F18" s="1357">
        <f>+'ACCIONES 329901'!L57</f>
        <v>82971398</v>
      </c>
      <c r="G18" s="1355">
        <f>+'ACCIONES 329901'!M57</f>
        <v>467678969.39999998</v>
      </c>
      <c r="H18" s="62">
        <f t="shared" si="0"/>
        <v>0</v>
      </c>
      <c r="I18" s="1356">
        <f>+'ACCIONES 329901'!O57</f>
        <v>240936118.80000001</v>
      </c>
      <c r="K18" s="1356">
        <f>+I18+G18</f>
        <v>708615088.20000005</v>
      </c>
    </row>
    <row r="19" spans="1:11" ht="38.25">
      <c r="B19" s="532" t="s">
        <v>344</v>
      </c>
      <c r="C19" s="126" t="s">
        <v>211</v>
      </c>
      <c r="D19" s="1343">
        <v>0</v>
      </c>
      <c r="E19" s="1349">
        <f>+'ACCIONES 329901'!K58</f>
        <v>0</v>
      </c>
      <c r="F19" s="1349">
        <f>+'ACCIONES 329901'!L58</f>
        <v>0</v>
      </c>
      <c r="G19" s="1350">
        <f>+'ACCIONES 329901'!M58</f>
        <v>0</v>
      </c>
      <c r="H19" s="62">
        <f t="shared" si="0"/>
        <v>0</v>
      </c>
      <c r="I19" s="1364">
        <f>+'ACCIONES 329901'!O58</f>
        <v>0</v>
      </c>
      <c r="K19" s="1360">
        <f t="shared" si="1"/>
        <v>0</v>
      </c>
    </row>
    <row r="20" spans="1:11">
      <c r="B20" s="29" t="s">
        <v>345</v>
      </c>
      <c r="C20" s="11" t="s">
        <v>210</v>
      </c>
      <c r="D20" s="233">
        <v>1</v>
      </c>
      <c r="E20" s="234">
        <f>+'ACCIONES 329901'!K60</f>
        <v>0</v>
      </c>
      <c r="F20" s="234">
        <f>+'ACCIONES 329901'!L60</f>
        <v>22669423</v>
      </c>
      <c r="G20" s="235">
        <f>+'ACCIONES 329901'!M60</f>
        <v>22669423</v>
      </c>
      <c r="H20" s="62">
        <f t="shared" si="0"/>
        <v>0</v>
      </c>
      <c r="I20" s="1361">
        <f>+'ACCIONES 329901'!O60</f>
        <v>161552726.40000001</v>
      </c>
      <c r="K20" s="1360">
        <f t="shared" si="1"/>
        <v>184222149.40000001</v>
      </c>
    </row>
    <row r="21" spans="1:11" ht="26.25" thickBot="1">
      <c r="B21" s="536" t="s">
        <v>346</v>
      </c>
      <c r="C21" s="22" t="s">
        <v>211</v>
      </c>
      <c r="D21" s="1340">
        <v>1</v>
      </c>
      <c r="E21" s="1341">
        <f>+'ACCIONES 329901'!K67</f>
        <v>384707571.39999998</v>
      </c>
      <c r="F21" s="1341">
        <f>+'ACCIONES 329901'!L67</f>
        <v>60301975</v>
      </c>
      <c r="G21" s="1342">
        <f>+'ACCIONES 329901'!M67</f>
        <v>445009546.39999998</v>
      </c>
      <c r="H21" s="62">
        <f t="shared" si="0"/>
        <v>0</v>
      </c>
      <c r="I21" s="1365">
        <f>+'ACCIONES 329901'!O67</f>
        <v>79383392.400000006</v>
      </c>
      <c r="K21" s="1360">
        <f t="shared" si="1"/>
        <v>524392938.79999995</v>
      </c>
    </row>
    <row r="22" spans="1:11" ht="26.25" thickBot="1">
      <c r="A22" s="782">
        <v>3299060</v>
      </c>
      <c r="B22" s="1358" t="s">
        <v>0</v>
      </c>
      <c r="C22" s="1359" t="s">
        <v>210</v>
      </c>
      <c r="D22" s="1359">
        <v>1</v>
      </c>
      <c r="E22" s="1357">
        <f>+'ACCIONES 329901'!K74</f>
        <v>274238871</v>
      </c>
      <c r="F22" s="1357">
        <f>+'ACCIONES 329901'!L74</f>
        <v>0</v>
      </c>
      <c r="G22" s="1355">
        <f>+'ACCIONES 329901'!M74</f>
        <v>274238871</v>
      </c>
      <c r="H22" s="62">
        <f t="shared" si="0"/>
        <v>0</v>
      </c>
      <c r="I22" s="1356">
        <f>+'ACCIONES 329901'!O74</f>
        <v>0</v>
      </c>
      <c r="K22" s="1356">
        <f>+I22+G22</f>
        <v>274238871</v>
      </c>
    </row>
    <row r="23" spans="1:11" ht="38.25">
      <c r="B23" s="532" t="s">
        <v>347</v>
      </c>
      <c r="C23" s="126" t="s">
        <v>210</v>
      </c>
      <c r="D23" s="1343">
        <v>1</v>
      </c>
      <c r="E23" s="1344">
        <f>+'ACCIONES 329901'!K75</f>
        <v>3000000</v>
      </c>
      <c r="F23" s="1344">
        <f>+'ACCIONES 329901'!L75</f>
        <v>0</v>
      </c>
      <c r="G23" s="1345">
        <f>+'ACCIONES 329901'!M75</f>
        <v>3000000</v>
      </c>
      <c r="H23" s="62">
        <f t="shared" si="0"/>
        <v>0</v>
      </c>
      <c r="I23" s="1360">
        <f>+'ACCIONES 329901'!O75</f>
        <v>0</v>
      </c>
      <c r="K23" s="1360">
        <f t="shared" si="1"/>
        <v>3000000</v>
      </c>
    </row>
    <row r="24" spans="1:11" ht="15.75" thickBot="1">
      <c r="B24" s="349" t="s">
        <v>228</v>
      </c>
      <c r="C24" s="171" t="s">
        <v>210</v>
      </c>
      <c r="D24" s="350">
        <v>1</v>
      </c>
      <c r="E24" s="351">
        <f>+'ACCIONES 329901'!K78</f>
        <v>271238871</v>
      </c>
      <c r="F24" s="351">
        <f>+'ACCIONES 329901'!L78</f>
        <v>0</v>
      </c>
      <c r="G24" s="352">
        <f>+'ACCIONES 329901'!M78</f>
        <v>271238871</v>
      </c>
      <c r="H24" s="62">
        <f t="shared" si="0"/>
        <v>0</v>
      </c>
      <c r="I24" s="1366">
        <f>+'ACCIONES 329901'!O78</f>
        <v>0</v>
      </c>
      <c r="K24" s="1366">
        <f>+'ACCIONES 329901'!Q78</f>
        <v>271238871</v>
      </c>
    </row>
    <row r="25" spans="1:11" ht="15.75" thickBot="1">
      <c r="B25" s="2454" t="s">
        <v>10</v>
      </c>
      <c r="C25" s="2455"/>
      <c r="D25" s="2456"/>
      <c r="E25" s="1483">
        <f t="shared" ref="E25:F25" si="2">+E22+E18+E16+E13+E11+E7</f>
        <v>912045673.94102395</v>
      </c>
      <c r="F25" s="1483">
        <f t="shared" si="2"/>
        <v>281203492.454</v>
      </c>
      <c r="G25" s="1483">
        <f>+G22+G18+G16+G13+G11+G7</f>
        <v>1193249166.3950238</v>
      </c>
      <c r="H25" s="62">
        <f t="shared" si="0"/>
        <v>0</v>
      </c>
      <c r="I25" s="1484">
        <f>+I22+I18+I16+I13+I11+I7</f>
        <v>989873186.79200006</v>
      </c>
      <c r="K25" s="1484">
        <f>+K22+K18+K16+K13+K11+K7</f>
        <v>2183122353.1870241</v>
      </c>
    </row>
    <row r="26" spans="1:11" ht="15.75" thickBot="1">
      <c r="E26" s="61"/>
    </row>
    <row r="27" spans="1:11" ht="15.75" thickBot="1">
      <c r="E27" s="801">
        <f>912380979.941024-335306</f>
        <v>912045673.94102395</v>
      </c>
      <c r="F27" s="801">
        <f>281588212.454-384720</f>
        <v>281203492.454</v>
      </c>
      <c r="G27" s="2012">
        <v>1193249166.3950238</v>
      </c>
      <c r="H27" s="1629"/>
      <c r="I27" s="800">
        <f>993929615-4056428</f>
        <v>989873187</v>
      </c>
      <c r="J27" s="1629"/>
      <c r="K27" s="800">
        <f>+I27+G27</f>
        <v>2183122353.3950238</v>
      </c>
    </row>
    <row r="28" spans="1:11">
      <c r="F28" s="61"/>
    </row>
    <row r="29" spans="1:11">
      <c r="E29" s="61">
        <f>+E27-E25</f>
        <v>0</v>
      </c>
      <c r="F29" s="61">
        <f t="shared" ref="F29:K29" si="3">+F27-F25</f>
        <v>0</v>
      </c>
      <c r="G29" s="61">
        <f t="shared" si="3"/>
        <v>0</v>
      </c>
      <c r="H29" s="61"/>
      <c r="I29" s="61">
        <f t="shared" si="3"/>
        <v>0.20799994468688965</v>
      </c>
      <c r="J29" s="61"/>
      <c r="K29" s="61">
        <f t="shared" si="3"/>
        <v>0.20799970626831055</v>
      </c>
    </row>
    <row r="30" spans="1:11">
      <c r="E30" s="61"/>
    </row>
  </sheetData>
  <mergeCells count="12">
    <mergeCell ref="A4:A6"/>
    <mergeCell ref="B4:B6"/>
    <mergeCell ref="C4:G4"/>
    <mergeCell ref="C5:C6"/>
    <mergeCell ref="D5:D6"/>
    <mergeCell ref="G5:G6"/>
    <mergeCell ref="E5:F5"/>
    <mergeCell ref="B25:D25"/>
    <mergeCell ref="I4:I5"/>
    <mergeCell ref="K4:K6"/>
    <mergeCell ref="B1:G1"/>
    <mergeCell ref="B2:G2"/>
  </mergeCells>
  <pageMargins left="0.11811023622047245" right="0.11811023622047245" top="0.15748031496062992" bottom="1.1417322834645669" header="0.31496062992125984" footer="0.31496062992125984"/>
  <pageSetup scale="80" orientation="landscape" verticalDpi="597"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H24"/>
  <sheetViews>
    <sheetView workbookViewId="0">
      <selection activeCell="G39" sqref="G39"/>
    </sheetView>
  </sheetViews>
  <sheetFormatPr baseColWidth="10" defaultRowHeight="15"/>
  <cols>
    <col min="1" max="1" width="7.28515625" customWidth="1"/>
    <col min="2" max="2" width="14.28515625" customWidth="1"/>
    <col min="3" max="3" width="15.5703125" customWidth="1"/>
    <col min="4" max="4" width="14.7109375" customWidth="1"/>
    <col min="5" max="5" width="15" customWidth="1"/>
    <col min="8" max="8" width="15.7109375" customWidth="1"/>
  </cols>
  <sheetData>
    <row r="2" spans="1:8" ht="20.100000000000001" customHeight="1">
      <c r="A2" s="249" t="s">
        <v>69</v>
      </c>
      <c r="B2" s="250" t="s">
        <v>291</v>
      </c>
      <c r="C2" s="250" t="s">
        <v>254</v>
      </c>
      <c r="D2" s="250">
        <v>2021</v>
      </c>
      <c r="E2" s="250">
        <v>2022</v>
      </c>
      <c r="F2" s="251" t="s">
        <v>215</v>
      </c>
    </row>
    <row r="3" spans="1:8" ht="20.100000000000001" customHeight="1">
      <c r="A3" s="245">
        <v>1</v>
      </c>
      <c r="B3" s="246">
        <v>320101</v>
      </c>
      <c r="C3" s="246" t="s">
        <v>204</v>
      </c>
      <c r="D3" s="247">
        <v>80276606</v>
      </c>
      <c r="E3" s="247">
        <v>83971273</v>
      </c>
      <c r="F3" s="248">
        <f>+(E3-D3)/D3</f>
        <v>4.6024205358158765E-2</v>
      </c>
    </row>
    <row r="4" spans="1:8" ht="20.100000000000001" customHeight="1">
      <c r="A4" s="237">
        <v>2</v>
      </c>
      <c r="B4" s="238">
        <v>320102</v>
      </c>
      <c r="C4" s="238" t="s">
        <v>204</v>
      </c>
      <c r="D4" s="239">
        <v>80276606</v>
      </c>
      <c r="E4" s="239">
        <v>83971273</v>
      </c>
      <c r="F4" s="240">
        <f>+(E4-D4)/D4</f>
        <v>4.6024205358158765E-2</v>
      </c>
    </row>
    <row r="5" spans="1:8" ht="20.100000000000001" customHeight="1">
      <c r="A5" s="237">
        <v>3</v>
      </c>
      <c r="B5" s="238">
        <v>320103</v>
      </c>
      <c r="C5" s="238" t="s">
        <v>234</v>
      </c>
      <c r="D5" s="239">
        <v>679776582</v>
      </c>
      <c r="E5" s="239">
        <v>730989282</v>
      </c>
      <c r="F5" s="240">
        <f t="shared" ref="F5:F13" si="0">+(E5-D5)/D5</f>
        <v>7.533754671178125E-2</v>
      </c>
    </row>
    <row r="6" spans="1:8" ht="20.100000000000001" customHeight="1">
      <c r="A6" s="237"/>
      <c r="B6" s="241"/>
      <c r="C6" s="238" t="s">
        <v>204</v>
      </c>
      <c r="D6" s="239">
        <v>1201200840</v>
      </c>
      <c r="E6" s="239">
        <v>1307792702</v>
      </c>
      <c r="F6" s="240">
        <f t="shared" si="0"/>
        <v>8.8737751798441969E-2</v>
      </c>
      <c r="H6" s="62">
        <f>+E5+E6</f>
        <v>2038781984</v>
      </c>
    </row>
    <row r="7" spans="1:8" ht="20.100000000000001" customHeight="1">
      <c r="A7" s="237">
        <v>4</v>
      </c>
      <c r="B7" s="238">
        <v>320201</v>
      </c>
      <c r="C7" s="238" t="s">
        <v>204</v>
      </c>
      <c r="D7" s="239">
        <v>126812042</v>
      </c>
      <c r="E7" s="239">
        <v>141824283</v>
      </c>
      <c r="F7" s="240">
        <f t="shared" si="0"/>
        <v>0.11838182528438428</v>
      </c>
    </row>
    <row r="8" spans="1:8" ht="20.100000000000001" customHeight="1">
      <c r="A8" s="237">
        <v>5</v>
      </c>
      <c r="B8" s="238">
        <v>320301</v>
      </c>
      <c r="C8" s="238" t="s">
        <v>204</v>
      </c>
      <c r="D8" s="239">
        <v>222501587</v>
      </c>
      <c r="E8" s="239">
        <v>241914324</v>
      </c>
      <c r="F8" s="240">
        <f t="shared" si="0"/>
        <v>8.7247633878674319E-2</v>
      </c>
    </row>
    <row r="9" spans="1:8" ht="20.100000000000001" customHeight="1">
      <c r="A9" s="237">
        <v>6</v>
      </c>
      <c r="B9" s="238">
        <v>320501</v>
      </c>
      <c r="C9" s="238" t="s">
        <v>204</v>
      </c>
      <c r="D9" s="239">
        <v>80276606</v>
      </c>
      <c r="E9" s="239">
        <v>83971273</v>
      </c>
      <c r="F9" s="240">
        <f t="shared" si="0"/>
        <v>4.6024205358158765E-2</v>
      </c>
    </row>
    <row r="10" spans="1:8" ht="20.100000000000001" customHeight="1">
      <c r="A10" s="237">
        <v>7</v>
      </c>
      <c r="B10" s="238">
        <v>320503</v>
      </c>
      <c r="C10" s="238" t="s">
        <v>204</v>
      </c>
      <c r="D10" s="239">
        <v>54820000</v>
      </c>
      <c r="E10" s="239">
        <v>116484900</v>
      </c>
      <c r="F10" s="240">
        <f t="shared" si="0"/>
        <v>1.1248613644655234</v>
      </c>
    </row>
    <row r="11" spans="1:8" ht="20.100000000000001" customHeight="1">
      <c r="A11" s="237">
        <v>8</v>
      </c>
      <c r="B11" s="238">
        <v>320801</v>
      </c>
      <c r="C11" s="238" t="s">
        <v>204</v>
      </c>
      <c r="D11" s="239">
        <v>124157758</v>
      </c>
      <c r="E11" s="239">
        <v>83971273</v>
      </c>
      <c r="F11" s="240">
        <f t="shared" si="0"/>
        <v>-0.32367276638484405</v>
      </c>
    </row>
    <row r="12" spans="1:8" ht="20.100000000000001" customHeight="1">
      <c r="A12" s="257">
        <v>9</v>
      </c>
      <c r="B12" s="242">
        <v>329901</v>
      </c>
      <c r="C12" s="242" t="s">
        <v>204</v>
      </c>
      <c r="D12" s="243">
        <v>249206594</v>
      </c>
      <c r="E12" s="243">
        <v>274238871</v>
      </c>
      <c r="F12" s="244">
        <f t="shared" si="0"/>
        <v>0.10044789184029376</v>
      </c>
    </row>
    <row r="13" spans="1:8" ht="20.100000000000001" customHeight="1">
      <c r="A13" s="252"/>
      <c r="B13" s="253"/>
      <c r="C13" s="254" t="s">
        <v>10</v>
      </c>
      <c r="D13" s="255">
        <f>SUM(D3:D12)</f>
        <v>2899305221</v>
      </c>
      <c r="E13" s="255">
        <f>SUM(E3:E12)</f>
        <v>3149129454</v>
      </c>
      <c r="F13" s="256">
        <f t="shared" si="0"/>
        <v>8.616693102557621E-2</v>
      </c>
    </row>
    <row r="14" spans="1:8" ht="20.100000000000001" customHeight="1">
      <c r="C14" s="223"/>
      <c r="D14" s="63"/>
      <c r="E14" s="63">
        <f>+E13-D13</f>
        <v>249824233</v>
      </c>
      <c r="F14" s="236"/>
    </row>
    <row r="15" spans="1:8" ht="20.100000000000001" customHeight="1">
      <c r="C15" s="223"/>
      <c r="D15" s="63"/>
      <c r="E15" s="63"/>
      <c r="F15" s="236"/>
    </row>
    <row r="16" spans="1:8" ht="20.100000000000001" customHeight="1">
      <c r="C16" s="223"/>
      <c r="D16" s="63"/>
      <c r="E16" s="63"/>
      <c r="F16" s="236"/>
    </row>
    <row r="17" spans="3:6">
      <c r="C17" s="223"/>
      <c r="D17" s="63"/>
      <c r="E17" s="63"/>
      <c r="F17" s="236"/>
    </row>
    <row r="18" spans="3:6">
      <c r="C18" s="223"/>
      <c r="D18" s="63"/>
      <c r="E18" s="63"/>
      <c r="F18" s="236"/>
    </row>
    <row r="19" spans="3:6">
      <c r="C19" s="223"/>
      <c r="D19" s="63"/>
      <c r="E19" s="63"/>
      <c r="F19" s="236"/>
    </row>
    <row r="20" spans="3:6">
      <c r="C20" s="223"/>
      <c r="D20" s="63"/>
      <c r="E20" s="63"/>
    </row>
    <row r="21" spans="3:6">
      <c r="C21" s="223"/>
      <c r="D21" s="63"/>
      <c r="E21" s="63"/>
    </row>
    <row r="22" spans="3:6">
      <c r="D22" s="63"/>
      <c r="E22" s="63"/>
    </row>
    <row r="23" spans="3:6">
      <c r="D23" s="63"/>
      <c r="E23" s="63"/>
    </row>
    <row r="24" spans="3:6">
      <c r="D24" s="63"/>
      <c r="E24" s="63"/>
    </row>
  </sheetData>
  <pageMargins left="0.7" right="0.7" top="0.75" bottom="0.75" header="0.3" footer="0.3"/>
  <ignoredErrors>
    <ignoredError sqref="D13:E13" formulaRange="1"/>
  </ignoredError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0">
    <tabColor theme="7" tint="0.59999389629810485"/>
  </sheetPr>
  <dimension ref="A1:AF108"/>
  <sheetViews>
    <sheetView tabSelected="1" zoomScale="80" zoomScaleNormal="80" workbookViewId="0">
      <pane ySplit="6" topLeftCell="A31" activePane="bottomLeft" state="frozen"/>
      <selection pane="bottomLeft" activeCell="X49" sqref="X49"/>
    </sheetView>
  </sheetViews>
  <sheetFormatPr baseColWidth="10" defaultRowHeight="15"/>
  <cols>
    <col min="1" max="1" width="38" customWidth="1"/>
    <col min="2" max="2" width="23.7109375" customWidth="1"/>
    <col min="3" max="3" width="12.42578125" customWidth="1"/>
    <col min="4" max="4" width="14" style="406" customWidth="1"/>
    <col min="5" max="5" width="10.5703125" style="406" customWidth="1"/>
    <col min="6" max="6" width="10" style="183" customWidth="1"/>
    <col min="7" max="7" width="8.85546875" customWidth="1"/>
    <col min="8" max="8" width="18.28515625" customWidth="1"/>
    <col min="9" max="9" width="12.140625" customWidth="1"/>
    <col min="10" max="10" width="16.140625" customWidth="1"/>
    <col min="11" max="13" width="21.85546875" customWidth="1"/>
    <col min="14" max="14" width="2.85546875" style="1629" customWidth="1"/>
    <col min="15" max="15" width="21.85546875" customWidth="1"/>
    <col min="16" max="16" width="2.5703125" style="1629" customWidth="1"/>
    <col min="17" max="17" width="21.85546875" customWidth="1"/>
    <col min="18" max="18" width="27.5703125" hidden="1" customWidth="1"/>
    <col min="19" max="19" width="26.85546875" customWidth="1"/>
    <col min="20" max="20" width="21.28515625" customWidth="1"/>
    <col min="21" max="21" width="17.42578125" customWidth="1"/>
    <col min="22" max="22" width="19.7109375" customWidth="1"/>
    <col min="23" max="23" width="19" customWidth="1"/>
    <col min="24" max="24" width="17.85546875" bestFit="1" customWidth="1"/>
    <col min="25" max="25" width="14.7109375" bestFit="1" customWidth="1"/>
    <col min="27" max="27" width="17.85546875" bestFit="1" customWidth="1"/>
    <col min="28" max="28" width="17" customWidth="1"/>
    <col min="32" max="32" width="23.140625" customWidth="1"/>
  </cols>
  <sheetData>
    <row r="1" spans="1:21" s="1" customFormat="1">
      <c r="A1" s="2491" t="s">
        <v>196</v>
      </c>
      <c r="B1" s="2491"/>
      <c r="C1" s="2491"/>
      <c r="D1" s="2491"/>
      <c r="E1" s="2491"/>
      <c r="F1" s="2491"/>
      <c r="G1" s="2491"/>
      <c r="H1" s="2491"/>
      <c r="I1" s="2491"/>
      <c r="J1" s="2491"/>
      <c r="K1" s="2491"/>
      <c r="L1" s="2491"/>
      <c r="M1" s="2491"/>
      <c r="N1" s="1628"/>
      <c r="P1" s="1628"/>
      <c r="R1" s="1663"/>
    </row>
    <row r="2" spans="1:21" s="1" customFormat="1">
      <c r="A2" s="2492" t="s">
        <v>197</v>
      </c>
      <c r="B2" s="2492"/>
      <c r="C2" s="2492"/>
      <c r="D2" s="2492"/>
      <c r="E2" s="2492"/>
      <c r="F2" s="2492"/>
      <c r="G2" s="2492"/>
      <c r="H2" s="2492"/>
      <c r="I2" s="2492"/>
      <c r="J2" s="2492"/>
      <c r="K2" s="2492"/>
      <c r="L2" s="2492"/>
      <c r="M2" s="2492"/>
      <c r="N2" s="1628"/>
      <c r="P2" s="1628"/>
      <c r="R2" s="1663"/>
    </row>
    <row r="3" spans="1:21" ht="15.75" thickBot="1">
      <c r="D3"/>
      <c r="E3"/>
      <c r="F3" s="406"/>
      <c r="G3" s="406"/>
      <c r="H3" s="406"/>
      <c r="I3" s="406"/>
      <c r="J3" s="183"/>
      <c r="K3" s="183"/>
      <c r="L3" s="183">
        <v>33722</v>
      </c>
      <c r="M3" s="183">
        <v>138044</v>
      </c>
      <c r="R3" s="1664"/>
      <c r="S3" s="418"/>
      <c r="T3" s="418"/>
      <c r="U3" s="418"/>
    </row>
    <row r="4" spans="1:21" ht="27" customHeight="1" thickBot="1">
      <c r="A4" s="2312" t="s">
        <v>446</v>
      </c>
      <c r="B4" s="2312" t="s">
        <v>447</v>
      </c>
      <c r="C4" s="2312" t="s">
        <v>865</v>
      </c>
      <c r="D4" s="2312" t="s">
        <v>471</v>
      </c>
      <c r="E4" s="2312" t="s">
        <v>765</v>
      </c>
      <c r="F4" s="2312" t="s">
        <v>448</v>
      </c>
      <c r="G4" s="2312" t="s">
        <v>201</v>
      </c>
      <c r="H4" s="2312" t="s">
        <v>738</v>
      </c>
      <c r="I4" s="2312" t="s">
        <v>861</v>
      </c>
      <c r="J4" s="2312" t="s">
        <v>352</v>
      </c>
      <c r="K4" s="2312" t="s">
        <v>199</v>
      </c>
      <c r="L4" s="2312"/>
      <c r="M4" s="2312" t="s">
        <v>10</v>
      </c>
      <c r="O4" s="1506" t="s">
        <v>1003</v>
      </c>
      <c r="P4" s="679"/>
      <c r="Q4" s="2364" t="s">
        <v>1006</v>
      </c>
      <c r="R4" s="1664"/>
      <c r="S4" s="418"/>
      <c r="T4" s="418"/>
      <c r="U4" s="418"/>
    </row>
    <row r="5" spans="1:21" ht="15.75" thickBot="1">
      <c r="A5" s="2312"/>
      <c r="B5" s="2312"/>
      <c r="C5" s="2312"/>
      <c r="D5" s="2312"/>
      <c r="E5" s="2312"/>
      <c r="F5" s="2312"/>
      <c r="G5" s="2312"/>
      <c r="H5" s="2312"/>
      <c r="I5" s="2312"/>
      <c r="J5" s="2312"/>
      <c r="K5" s="2312" t="s">
        <v>204</v>
      </c>
      <c r="L5" s="2312" t="s">
        <v>234</v>
      </c>
      <c r="M5" s="2312"/>
      <c r="O5" s="2395" t="s">
        <v>204</v>
      </c>
      <c r="P5" s="679"/>
      <c r="Q5" s="2365"/>
      <c r="R5" s="1664"/>
      <c r="S5" s="418"/>
      <c r="T5" s="418"/>
      <c r="U5" s="418"/>
    </row>
    <row r="6" spans="1:21" ht="15.75" thickBot="1">
      <c r="A6" s="2330"/>
      <c r="B6" s="2330"/>
      <c r="C6" s="2330"/>
      <c r="D6" s="2330"/>
      <c r="E6" s="2330"/>
      <c r="F6" s="2330"/>
      <c r="G6" s="2330"/>
      <c r="H6" s="2330"/>
      <c r="I6" s="2330"/>
      <c r="J6" s="2330"/>
      <c r="K6" s="2330"/>
      <c r="L6" s="2330"/>
      <c r="M6" s="2330"/>
      <c r="O6" s="2490"/>
      <c r="P6" s="679"/>
      <c r="Q6" s="2391"/>
      <c r="R6" s="1664"/>
      <c r="S6" s="418"/>
      <c r="T6" s="418"/>
      <c r="U6" s="418"/>
    </row>
    <row r="7" spans="1:21" ht="38.25" customHeight="1" thickBot="1">
      <c r="A7" s="539" t="s">
        <v>6</v>
      </c>
      <c r="B7" s="1226"/>
      <c r="C7" s="1374"/>
      <c r="D7" s="1226"/>
      <c r="E7" s="1288"/>
      <c r="F7" s="1288" t="s">
        <v>215</v>
      </c>
      <c r="G7" s="1288">
        <v>75</v>
      </c>
      <c r="H7" s="1375">
        <f>+H8+H9+H22</f>
        <v>0</v>
      </c>
      <c r="I7" s="1375"/>
      <c r="J7" s="1376">
        <f>+J8+J9+J22</f>
        <v>376644747.85399997</v>
      </c>
      <c r="K7" s="1377">
        <f>+K8+K9+K22</f>
        <v>221648897.40000001</v>
      </c>
      <c r="L7" s="1377">
        <f t="shared" ref="L7" si="0">+L8+L9+L22</f>
        <v>130430982.454</v>
      </c>
      <c r="M7" s="1378">
        <f>+M8+M9+M22</f>
        <v>352079879.85399997</v>
      </c>
      <c r="O7" s="1379">
        <f>+O8+O9+O22</f>
        <v>68014515</v>
      </c>
      <c r="Q7" s="1379">
        <f>+Q8+Q9+Q22</f>
        <v>420094394.85399997</v>
      </c>
    </row>
    <row r="8" spans="1:21" ht="25.5">
      <c r="A8" s="1088" t="s">
        <v>337</v>
      </c>
      <c r="B8" s="1090"/>
      <c r="C8" s="1372"/>
      <c r="D8" s="1090" t="s">
        <v>766</v>
      </c>
      <c r="E8" s="1090"/>
      <c r="F8" s="1090" t="s">
        <v>215</v>
      </c>
      <c r="G8" s="1090">
        <v>0</v>
      </c>
      <c r="H8" s="1090">
        <v>0</v>
      </c>
      <c r="I8" s="1257"/>
      <c r="J8" s="1257">
        <v>0</v>
      </c>
      <c r="K8" s="1090"/>
      <c r="L8" s="1090"/>
      <c r="M8" s="1138"/>
      <c r="O8" s="1390"/>
      <c r="Q8" s="1504">
        <f t="shared" ref="Q8:Q62" si="1">+O8+M8</f>
        <v>0</v>
      </c>
    </row>
    <row r="9" spans="1:21" s="1" customFormat="1" ht="38.25">
      <c r="A9" s="173" t="s">
        <v>338</v>
      </c>
      <c r="B9" s="175"/>
      <c r="C9" s="480"/>
      <c r="D9" s="175"/>
      <c r="E9" s="178"/>
      <c r="F9" s="178" t="s">
        <v>210</v>
      </c>
      <c r="G9" s="178">
        <v>1</v>
      </c>
      <c r="H9" s="322"/>
      <c r="I9" s="322"/>
      <c r="J9" s="393">
        <f>SUM(J10:J20)</f>
        <v>332851095.14999998</v>
      </c>
      <c r="K9" s="399">
        <f>SUM(K10:K20)</f>
        <v>221648897.40000001</v>
      </c>
      <c r="L9" s="399">
        <f>SUM(L10:L20)</f>
        <v>98451397.75</v>
      </c>
      <c r="M9" s="323">
        <f>SUM(M10:M21)</f>
        <v>320100295.14999998</v>
      </c>
      <c r="N9" s="1629"/>
      <c r="O9" s="1383">
        <f>SUM(O10:O21)</f>
        <v>23092000</v>
      </c>
      <c r="P9" s="1629"/>
      <c r="Q9" s="1383">
        <f>SUM(Q10:Q21)</f>
        <v>343192295.14999998</v>
      </c>
    </row>
    <row r="10" spans="1:21" s="1" customFormat="1" ht="25.5">
      <c r="A10" s="760" t="s">
        <v>767</v>
      </c>
      <c r="B10" s="11" t="s">
        <v>237</v>
      </c>
      <c r="C10" s="481">
        <v>83990</v>
      </c>
      <c r="D10" s="180" t="s">
        <v>768</v>
      </c>
      <c r="E10" s="180" t="s">
        <v>769</v>
      </c>
      <c r="F10" s="763" t="s">
        <v>208</v>
      </c>
      <c r="G10" s="763">
        <v>11</v>
      </c>
      <c r="H10" s="313">
        <f>2587500*1.0458</f>
        <v>2706007.5</v>
      </c>
      <c r="I10" s="313">
        <f>+H10*G10</f>
        <v>29766082.5</v>
      </c>
      <c r="J10" s="394">
        <f>+I10*1.004</f>
        <v>29885146.830000002</v>
      </c>
      <c r="K10" s="400"/>
      <c r="L10" s="400">
        <f>+J10</f>
        <v>29885146.830000002</v>
      </c>
      <c r="M10" s="314">
        <f>+L10+K10</f>
        <v>29885146.830000002</v>
      </c>
      <c r="N10" s="1628"/>
      <c r="O10" s="1384"/>
      <c r="P10" s="1628"/>
      <c r="Q10" s="2126">
        <f t="shared" si="1"/>
        <v>29885146.830000002</v>
      </c>
    </row>
    <row r="11" spans="1:21" s="1" customFormat="1" ht="25.5">
      <c r="A11" s="760" t="s">
        <v>479</v>
      </c>
      <c r="B11" s="11" t="s">
        <v>237</v>
      </c>
      <c r="C11" s="481">
        <v>83990</v>
      </c>
      <c r="D11" s="180" t="s">
        <v>809</v>
      </c>
      <c r="E11" s="180"/>
      <c r="F11" s="763" t="s">
        <v>208</v>
      </c>
      <c r="G11" s="763">
        <v>1</v>
      </c>
      <c r="H11" s="313">
        <v>12717832.669322709</v>
      </c>
      <c r="I11" s="313">
        <f t="shared" ref="I11:I20" si="2">+H11*G11</f>
        <v>12717832.669322709</v>
      </c>
      <c r="J11" s="394">
        <f>+I11*1.004</f>
        <v>12768704</v>
      </c>
      <c r="K11" s="400"/>
      <c r="L11" s="400">
        <f>+J11</f>
        <v>12768704</v>
      </c>
      <c r="M11" s="314">
        <f t="shared" ref="M11:M20" si="3">+L11+K11</f>
        <v>12768704</v>
      </c>
      <c r="N11" s="1628"/>
      <c r="O11" s="1384"/>
      <c r="P11" s="1628"/>
      <c r="Q11" s="2126">
        <f t="shared" si="1"/>
        <v>12768704</v>
      </c>
    </row>
    <row r="12" spans="1:21" s="1" customFormat="1" ht="25.5">
      <c r="A12" s="760" t="s">
        <v>770</v>
      </c>
      <c r="B12" s="11" t="s">
        <v>237</v>
      </c>
      <c r="C12" s="481">
        <v>83990</v>
      </c>
      <c r="D12" s="180" t="s">
        <v>771</v>
      </c>
      <c r="E12" s="180" t="s">
        <v>769</v>
      </c>
      <c r="F12" s="763" t="s">
        <v>208</v>
      </c>
      <c r="G12" s="763">
        <v>11</v>
      </c>
      <c r="H12" s="313">
        <f>4000000*1.05</f>
        <v>4200000</v>
      </c>
      <c r="I12" s="313">
        <f t="shared" si="2"/>
        <v>46200000</v>
      </c>
      <c r="J12" s="394">
        <f t="shared" ref="J12:J20" si="4">+I12*1.004</f>
        <v>46384800</v>
      </c>
      <c r="K12" s="400">
        <f>+J12</f>
        <v>46384800</v>
      </c>
      <c r="L12" s="400"/>
      <c r="M12" s="314">
        <f t="shared" si="3"/>
        <v>46384800</v>
      </c>
      <c r="N12" s="1628"/>
      <c r="O12" s="1384"/>
      <c r="P12" s="1628"/>
      <c r="Q12" s="2126">
        <f t="shared" si="1"/>
        <v>46384800</v>
      </c>
    </row>
    <row r="13" spans="1:21" ht="25.5">
      <c r="A13" s="760" t="s">
        <v>853</v>
      </c>
      <c r="B13" s="11" t="s">
        <v>237</v>
      </c>
      <c r="C13" s="481">
        <v>83990</v>
      </c>
      <c r="D13" s="30" t="s">
        <v>487</v>
      </c>
      <c r="E13" s="30" t="s">
        <v>772</v>
      </c>
      <c r="F13" s="30" t="s">
        <v>210</v>
      </c>
      <c r="G13" s="763"/>
      <c r="H13" s="313"/>
      <c r="I13" s="313">
        <f t="shared" si="2"/>
        <v>0</v>
      </c>
      <c r="J13" s="394">
        <f t="shared" si="4"/>
        <v>0</v>
      </c>
      <c r="K13" s="400"/>
      <c r="L13" s="400"/>
      <c r="M13" s="314">
        <f t="shared" si="3"/>
        <v>0</v>
      </c>
      <c r="N13" s="1628"/>
      <c r="O13" s="1391"/>
      <c r="P13" s="1628"/>
      <c r="Q13" s="2127">
        <f t="shared" si="1"/>
        <v>0</v>
      </c>
    </row>
    <row r="14" spans="1:21" s="1" customFormat="1" ht="25.5" customHeight="1">
      <c r="A14" s="29" t="s">
        <v>773</v>
      </c>
      <c r="B14" s="11" t="s">
        <v>237</v>
      </c>
      <c r="C14" s="481">
        <v>83990</v>
      </c>
      <c r="D14" s="763" t="s">
        <v>774</v>
      </c>
      <c r="E14" s="763" t="s">
        <v>775</v>
      </c>
      <c r="F14" s="763" t="s">
        <v>208</v>
      </c>
      <c r="G14" s="30">
        <v>5</v>
      </c>
      <c r="H14" s="324">
        <f>4120000*1.0458</f>
        <v>4308696</v>
      </c>
      <c r="I14" s="313">
        <f t="shared" si="2"/>
        <v>21543480</v>
      </c>
      <c r="J14" s="394">
        <f t="shared" si="4"/>
        <v>21629653.920000002</v>
      </c>
      <c r="K14" s="400"/>
      <c r="L14" s="400">
        <f>+J14</f>
        <v>21629653.920000002</v>
      </c>
      <c r="M14" s="314">
        <f t="shared" si="3"/>
        <v>21629653.920000002</v>
      </c>
      <c r="N14" s="1628"/>
      <c r="O14" s="1384"/>
      <c r="P14" s="1628"/>
      <c r="Q14" s="2126">
        <f t="shared" si="1"/>
        <v>21629653.920000002</v>
      </c>
    </row>
    <row r="15" spans="1:21" s="1" customFormat="1" ht="25.5">
      <c r="A15" s="29" t="s">
        <v>776</v>
      </c>
      <c r="B15" s="11" t="s">
        <v>237</v>
      </c>
      <c r="C15" s="481">
        <v>83990</v>
      </c>
      <c r="D15" s="763" t="s">
        <v>777</v>
      </c>
      <c r="E15" s="763" t="s">
        <v>775</v>
      </c>
      <c r="F15" s="763" t="s">
        <v>208</v>
      </c>
      <c r="G15" s="30">
        <v>11</v>
      </c>
      <c r="H15" s="325">
        <f>4500000*1.0458</f>
        <v>4706100</v>
      </c>
      <c r="I15" s="313">
        <f t="shared" si="2"/>
        <v>51767100</v>
      </c>
      <c r="J15" s="394">
        <f t="shared" si="4"/>
        <v>51974168.399999999</v>
      </c>
      <c r="K15" s="400">
        <f>+J15</f>
        <v>51974168.399999999</v>
      </c>
      <c r="L15" s="400"/>
      <c r="M15" s="314">
        <f t="shared" si="3"/>
        <v>51974168.399999999</v>
      </c>
      <c r="N15" s="1628"/>
      <c r="O15" s="1384"/>
      <c r="P15" s="1628"/>
      <c r="Q15" s="2126">
        <f t="shared" si="1"/>
        <v>51974168.399999999</v>
      </c>
    </row>
    <row r="16" spans="1:21" s="65" customFormat="1" ht="25.5">
      <c r="A16" s="29" t="s">
        <v>815</v>
      </c>
      <c r="B16" s="11" t="s">
        <v>237</v>
      </c>
      <c r="C16" s="481">
        <v>83990</v>
      </c>
      <c r="D16" s="763" t="s">
        <v>816</v>
      </c>
      <c r="E16" s="763" t="s">
        <v>1036</v>
      </c>
      <c r="F16" s="763" t="s">
        <v>208</v>
      </c>
      <c r="G16" s="30">
        <v>9</v>
      </c>
      <c r="H16" s="325">
        <v>4000000</v>
      </c>
      <c r="I16" s="313">
        <f t="shared" si="2"/>
        <v>36000000</v>
      </c>
      <c r="J16" s="1508">
        <f t="shared" si="4"/>
        <v>36144000</v>
      </c>
      <c r="K16" s="787"/>
      <c r="L16" s="787">
        <f>16144000-9618000</f>
        <v>6526000</v>
      </c>
      <c r="M16" s="689">
        <f t="shared" si="3"/>
        <v>6526000</v>
      </c>
      <c r="N16" s="1628"/>
      <c r="O16" s="1385">
        <v>15562000</v>
      </c>
      <c r="P16" s="1625"/>
      <c r="Q16" s="2128">
        <f t="shared" si="1"/>
        <v>22088000</v>
      </c>
      <c r="R16" s="1628"/>
    </row>
    <row r="17" spans="1:32" s="1628" customFormat="1" ht="31.5" customHeight="1">
      <c r="A17" s="29" t="s">
        <v>1035</v>
      </c>
      <c r="B17" s="1626"/>
      <c r="C17" s="1631"/>
      <c r="D17" s="1627" t="s">
        <v>1038</v>
      </c>
      <c r="E17" s="1627"/>
      <c r="F17" s="1627"/>
      <c r="G17" s="30"/>
      <c r="H17" s="325"/>
      <c r="I17" s="313"/>
      <c r="J17" s="1508"/>
      <c r="K17" s="787">
        <f>20000000-12048000-318080</f>
        <v>7633920</v>
      </c>
      <c r="L17" s="787">
        <f>9618000-384720</f>
        <v>9233280</v>
      </c>
      <c r="M17" s="689">
        <f>+L17+K17</f>
        <v>16867200</v>
      </c>
      <c r="O17" s="1385"/>
      <c r="P17" s="1625"/>
      <c r="Q17" s="2128">
        <f>+O17+M17</f>
        <v>16867200</v>
      </c>
      <c r="R17" s="1995"/>
      <c r="S17"/>
      <c r="T17"/>
      <c r="U17"/>
      <c r="V17"/>
      <c r="W17"/>
      <c r="X17"/>
    </row>
    <row r="18" spans="1:32" s="1" customFormat="1" ht="25.5">
      <c r="A18" s="29" t="s">
        <v>856</v>
      </c>
      <c r="B18" s="11" t="s">
        <v>237</v>
      </c>
      <c r="C18" s="481">
        <v>83990</v>
      </c>
      <c r="D18" s="30" t="s">
        <v>779</v>
      </c>
      <c r="E18" s="763" t="s">
        <v>858</v>
      </c>
      <c r="F18" s="763" t="s">
        <v>208</v>
      </c>
      <c r="G18" s="30">
        <v>5</v>
      </c>
      <c r="H18" s="325">
        <f>4500000*1.0458</f>
        <v>4706100</v>
      </c>
      <c r="I18" s="313">
        <f t="shared" si="2"/>
        <v>23530500</v>
      </c>
      <c r="J18" s="1508">
        <f t="shared" si="4"/>
        <v>23624622</v>
      </c>
      <c r="K18" s="787">
        <f>+J18</f>
        <v>23624622</v>
      </c>
      <c r="L18" s="787"/>
      <c r="M18" s="314">
        <f t="shared" si="3"/>
        <v>23624622</v>
      </c>
      <c r="N18" s="1628"/>
      <c r="O18" s="1384"/>
      <c r="P18" s="1628"/>
      <c r="Q18" s="2126">
        <f t="shared" si="1"/>
        <v>23624622</v>
      </c>
      <c r="S18"/>
      <c r="T18"/>
      <c r="U18"/>
      <c r="V18"/>
      <c r="W18"/>
      <c r="X18"/>
    </row>
    <row r="19" spans="1:32" s="1" customFormat="1" ht="25.5">
      <c r="A19" s="29" t="s">
        <v>778</v>
      </c>
      <c r="B19" s="11" t="s">
        <v>237</v>
      </c>
      <c r="C19" s="481">
        <v>83990</v>
      </c>
      <c r="D19" s="763" t="s">
        <v>857</v>
      </c>
      <c r="E19" s="763" t="s">
        <v>858</v>
      </c>
      <c r="F19" s="763" t="s">
        <v>208</v>
      </c>
      <c r="G19" s="30">
        <v>11</v>
      </c>
      <c r="H19" s="325">
        <v>6000000</v>
      </c>
      <c r="I19" s="313">
        <f t="shared" si="2"/>
        <v>66000000</v>
      </c>
      <c r="J19" s="394">
        <f t="shared" si="4"/>
        <v>66264000</v>
      </c>
      <c r="K19" s="400">
        <f>+J19</f>
        <v>66264000</v>
      </c>
      <c r="L19" s="400"/>
      <c r="M19" s="314">
        <f t="shared" si="3"/>
        <v>66264000</v>
      </c>
      <c r="N19" s="1628"/>
      <c r="O19" s="1384"/>
      <c r="P19" s="1628"/>
      <c r="Q19" s="2126">
        <f t="shared" si="1"/>
        <v>66264000</v>
      </c>
      <c r="S19"/>
      <c r="T19"/>
      <c r="U19"/>
      <c r="V19"/>
      <c r="W19"/>
      <c r="X19"/>
    </row>
    <row r="20" spans="1:32" ht="25.5">
      <c r="A20" s="29" t="s">
        <v>780</v>
      </c>
      <c r="B20" s="11" t="s">
        <v>237</v>
      </c>
      <c r="C20" s="481">
        <v>83990</v>
      </c>
      <c r="D20" s="763" t="s">
        <v>781</v>
      </c>
      <c r="E20" s="763" t="s">
        <v>775</v>
      </c>
      <c r="F20" s="763" t="s">
        <v>208</v>
      </c>
      <c r="G20" s="30">
        <v>5.5</v>
      </c>
      <c r="H20" s="325">
        <v>8000000</v>
      </c>
      <c r="I20" s="313">
        <f t="shared" si="2"/>
        <v>44000000</v>
      </c>
      <c r="J20" s="394">
        <f t="shared" si="4"/>
        <v>44176000</v>
      </c>
      <c r="K20" s="400">
        <f>5687387+20080000</f>
        <v>25767387</v>
      </c>
      <c r="L20" s="400">
        <f>+J20-5687387-20080000</f>
        <v>18408613</v>
      </c>
      <c r="M20" s="314">
        <f t="shared" si="3"/>
        <v>44176000</v>
      </c>
      <c r="N20" s="1628"/>
      <c r="O20" s="1384"/>
      <c r="P20" s="1628"/>
      <c r="Q20" s="2126">
        <f t="shared" si="1"/>
        <v>44176000</v>
      </c>
      <c r="R20" s="71"/>
    </row>
    <row r="21" spans="1:32" s="71" customFormat="1" ht="29.25" customHeight="1">
      <c r="A21" s="29" t="s">
        <v>1054</v>
      </c>
      <c r="B21" s="11" t="s">
        <v>237</v>
      </c>
      <c r="C21" s="481">
        <v>83990</v>
      </c>
      <c r="D21" s="763"/>
      <c r="E21" s="763"/>
      <c r="F21" s="763"/>
      <c r="G21" s="30"/>
      <c r="H21" s="325"/>
      <c r="I21" s="313"/>
      <c r="J21" s="1508"/>
      <c r="K21" s="787"/>
      <c r="L21" s="787"/>
      <c r="M21" s="689"/>
      <c r="N21" s="1628"/>
      <c r="O21" s="1385">
        <f>7500000+30000</f>
        <v>7530000</v>
      </c>
      <c r="P21" s="1628"/>
      <c r="Q21" s="2128">
        <f t="shared" si="1"/>
        <v>7530000</v>
      </c>
      <c r="S21"/>
      <c r="T21"/>
      <c r="U21"/>
      <c r="V21"/>
      <c r="W21"/>
      <c r="X21"/>
    </row>
    <row r="22" spans="1:32" s="1" customFormat="1" ht="38.25">
      <c r="A22" s="173" t="s">
        <v>339</v>
      </c>
      <c r="B22" s="175"/>
      <c r="C22" s="178"/>
      <c r="D22" s="175"/>
      <c r="E22" s="178"/>
      <c r="F22" s="178" t="s">
        <v>210</v>
      </c>
      <c r="G22" s="178">
        <v>1</v>
      </c>
      <c r="H22" s="322"/>
      <c r="I22" s="322"/>
      <c r="J22" s="393">
        <f>SUM(J23:J32)</f>
        <v>43793652.703999996</v>
      </c>
      <c r="K22" s="399">
        <f>SUM(K23:K32)</f>
        <v>0</v>
      </c>
      <c r="L22" s="399">
        <f t="shared" ref="L22" si="5">SUM(L23:L32)</f>
        <v>31979584.704</v>
      </c>
      <c r="M22" s="323">
        <f>SUM(M23:M32)</f>
        <v>31979584.704</v>
      </c>
      <c r="N22" s="1629"/>
      <c r="O22" s="1383">
        <f>SUM(O23:O32)</f>
        <v>44922515</v>
      </c>
      <c r="P22" s="1629"/>
      <c r="Q22" s="1383">
        <f>SUM(Q23:Q32)</f>
        <v>76902099.703999996</v>
      </c>
      <c r="S22"/>
      <c r="T22"/>
      <c r="U22"/>
      <c r="V22"/>
      <c r="W22"/>
      <c r="X22"/>
    </row>
    <row r="23" spans="1:32" s="1628" customFormat="1" ht="38.25" customHeight="1">
      <c r="A23" s="29" t="s">
        <v>1014</v>
      </c>
      <c r="B23" s="30" t="s">
        <v>237</v>
      </c>
      <c r="C23" s="1631">
        <v>83990</v>
      </c>
      <c r="D23" s="20"/>
      <c r="E23" s="30" t="s">
        <v>782</v>
      </c>
      <c r="F23" s="30"/>
      <c r="G23" s="30"/>
      <c r="H23" s="324">
        <v>11950000</v>
      </c>
      <c r="I23" s="325"/>
      <c r="J23" s="325"/>
      <c r="K23" s="324"/>
      <c r="L23" s="324"/>
      <c r="M23" s="326">
        <f>+L23+K23</f>
        <v>0</v>
      </c>
      <c r="N23" s="1629"/>
      <c r="O23" s="1386">
        <f>12000000+212254</f>
        <v>12212254</v>
      </c>
      <c r="P23" s="1629"/>
      <c r="Q23" s="2129">
        <f>+O23+M23</f>
        <v>12212254</v>
      </c>
      <c r="S23"/>
      <c r="T23"/>
      <c r="U23"/>
      <c r="V23"/>
      <c r="W23"/>
      <c r="X23"/>
    </row>
    <row r="24" spans="1:32" s="1" customFormat="1" ht="25.5" customHeight="1">
      <c r="A24" s="29" t="s">
        <v>773</v>
      </c>
      <c r="B24" s="11" t="s">
        <v>237</v>
      </c>
      <c r="C24" s="481">
        <v>83990</v>
      </c>
      <c r="D24" s="763" t="s">
        <v>774</v>
      </c>
      <c r="E24" s="763" t="s">
        <v>775</v>
      </c>
      <c r="F24" s="763" t="s">
        <v>208</v>
      </c>
      <c r="G24" s="30">
        <v>6</v>
      </c>
      <c r="H24" s="324">
        <f>+H14</f>
        <v>4308696</v>
      </c>
      <c r="I24" s="325">
        <f>+H24*G24</f>
        <v>25852176</v>
      </c>
      <c r="J24" s="394">
        <f t="shared" ref="J24" si="6">+I24*1.004</f>
        <v>25955584.704</v>
      </c>
      <c r="K24" s="400"/>
      <c r="L24" s="402">
        <f>+J24</f>
        <v>25955584.704</v>
      </c>
      <c r="M24" s="326">
        <f t="shared" ref="M24:M32" si="7">+L24+K24</f>
        <v>25955584.704</v>
      </c>
      <c r="N24" s="1629"/>
      <c r="O24" s="1386"/>
      <c r="P24" s="1629"/>
      <c r="Q24" s="2129">
        <f t="shared" si="1"/>
        <v>25955584.704</v>
      </c>
      <c r="S24"/>
      <c r="T24"/>
      <c r="U24"/>
      <c r="V24"/>
      <c r="W24"/>
      <c r="X24"/>
    </row>
    <row r="25" spans="1:32" s="1629" customFormat="1" ht="25.5">
      <c r="A25" s="29" t="s">
        <v>783</v>
      </c>
      <c r="B25" s="1626" t="s">
        <v>237</v>
      </c>
      <c r="C25" s="1631">
        <v>83990</v>
      </c>
      <c r="D25" s="1632"/>
      <c r="E25" s="1631" t="s">
        <v>784</v>
      </c>
      <c r="F25" s="1627"/>
      <c r="G25" s="1627"/>
      <c r="H25" s="324">
        <f>4390000*1.004</f>
        <v>4407560</v>
      </c>
      <c r="I25" s="325"/>
      <c r="J25" s="395"/>
      <c r="K25" s="401"/>
      <c r="L25" s="401"/>
      <c r="M25" s="326">
        <f t="shared" si="7"/>
        <v>0</v>
      </c>
      <c r="N25" s="1628"/>
      <c r="O25" s="326">
        <f>4400000-4059076-340924</f>
        <v>0</v>
      </c>
      <c r="P25" s="1628"/>
      <c r="Q25" s="1392">
        <f t="shared" si="1"/>
        <v>0</v>
      </c>
      <c r="S25"/>
      <c r="T25"/>
      <c r="U25"/>
      <c r="V25"/>
      <c r="W25"/>
      <c r="X25"/>
    </row>
    <row r="26" spans="1:32" s="1629" customFormat="1" ht="53.25" customHeight="1">
      <c r="A26" s="29" t="s">
        <v>785</v>
      </c>
      <c r="B26" s="1626" t="s">
        <v>870</v>
      </c>
      <c r="C26" s="1626">
        <v>32701</v>
      </c>
      <c r="D26" s="1627"/>
      <c r="E26" s="1627" t="s">
        <v>784</v>
      </c>
      <c r="F26" s="1627"/>
      <c r="G26" s="1627"/>
      <c r="H26" s="324">
        <v>8000000</v>
      </c>
      <c r="I26" s="325"/>
      <c r="J26" s="395"/>
      <c r="K26" s="401"/>
      <c r="L26" s="401"/>
      <c r="M26" s="326">
        <f t="shared" si="7"/>
        <v>0</v>
      </c>
      <c r="N26" s="1628"/>
      <c r="O26" s="1392">
        <f>3600000-2636661</f>
        <v>963339</v>
      </c>
      <c r="P26" s="1628"/>
      <c r="Q26" s="1392">
        <f t="shared" si="1"/>
        <v>963339</v>
      </c>
      <c r="S26"/>
      <c r="T26"/>
      <c r="U26"/>
      <c r="V26"/>
      <c r="W26"/>
      <c r="X26"/>
    </row>
    <row r="27" spans="1:32" s="65" customFormat="1">
      <c r="A27" s="29" t="s">
        <v>786</v>
      </c>
      <c r="B27" s="1626" t="s">
        <v>237</v>
      </c>
      <c r="C27" s="1631">
        <v>83990</v>
      </c>
      <c r="D27" s="1632"/>
      <c r="E27" s="1631" t="s">
        <v>787</v>
      </c>
      <c r="F27" s="1627"/>
      <c r="G27" s="1627"/>
      <c r="H27" s="324">
        <v>4900000</v>
      </c>
      <c r="I27" s="325">
        <f>+H27</f>
        <v>4900000</v>
      </c>
      <c r="J27" s="395">
        <f>+H27*1.004</f>
        <v>4919600</v>
      </c>
      <c r="K27" s="401"/>
      <c r="L27" s="401">
        <f>+J27-4919600</f>
        <v>0</v>
      </c>
      <c r="M27" s="326">
        <f t="shared" si="7"/>
        <v>0</v>
      </c>
      <c r="N27" s="1628"/>
      <c r="O27" s="1392">
        <f>4919600+3976132</f>
        <v>8895732</v>
      </c>
      <c r="P27" s="1628"/>
      <c r="Q27" s="1392">
        <f t="shared" si="1"/>
        <v>8895732</v>
      </c>
      <c r="S27"/>
      <c r="T27"/>
      <c r="U27"/>
      <c r="V27"/>
      <c r="W27"/>
      <c r="X27"/>
    </row>
    <row r="28" spans="1:32" s="65" customFormat="1">
      <c r="A28" s="29" t="s">
        <v>788</v>
      </c>
      <c r="B28" s="481" t="s">
        <v>870</v>
      </c>
      <c r="C28" s="481">
        <v>32701</v>
      </c>
      <c r="D28" s="676"/>
      <c r="E28" s="481" t="s">
        <v>787</v>
      </c>
      <c r="F28" s="763"/>
      <c r="G28" s="763"/>
      <c r="H28" s="327">
        <f>6540000*1.05</f>
        <v>6867000</v>
      </c>
      <c r="I28" s="325">
        <f>+H28</f>
        <v>6867000</v>
      </c>
      <c r="J28" s="395">
        <f>+H28*1.004</f>
        <v>6894468</v>
      </c>
      <c r="K28" s="401"/>
      <c r="L28" s="401">
        <f>+J28-6894468</f>
        <v>0</v>
      </c>
      <c r="M28" s="326">
        <f t="shared" si="7"/>
        <v>0</v>
      </c>
      <c r="N28" s="1628"/>
      <c r="O28" s="1392">
        <f>6894468+3678153</f>
        <v>10572621</v>
      </c>
      <c r="P28" s="1628"/>
      <c r="Q28" s="1392">
        <f t="shared" si="1"/>
        <v>10572621</v>
      </c>
      <c r="S28"/>
      <c r="T28"/>
      <c r="U28"/>
      <c r="V28"/>
      <c r="W28"/>
      <c r="X28"/>
    </row>
    <row r="29" spans="1:32" s="1629" customFormat="1">
      <c r="A29" s="29" t="s">
        <v>789</v>
      </c>
      <c r="B29" s="1626" t="s">
        <v>237</v>
      </c>
      <c r="C29" s="1631">
        <v>83990</v>
      </c>
      <c r="D29" s="1632"/>
      <c r="E29" s="1631" t="s">
        <v>790</v>
      </c>
      <c r="F29" s="1627"/>
      <c r="G29" s="1627"/>
      <c r="H29" s="324">
        <f>8526755*1.004</f>
        <v>8560862.0199999996</v>
      </c>
      <c r="I29" s="325"/>
      <c r="J29" s="395"/>
      <c r="K29" s="401"/>
      <c r="L29" s="401"/>
      <c r="M29" s="326">
        <f t="shared" si="7"/>
        <v>0</v>
      </c>
      <c r="N29" s="1628"/>
      <c r="O29" s="1392">
        <f>6000000+4734919-4480350</f>
        <v>6254569</v>
      </c>
      <c r="P29" s="1628"/>
      <c r="Q29" s="1392">
        <f t="shared" si="1"/>
        <v>6254569</v>
      </c>
      <c r="S29"/>
      <c r="T29"/>
      <c r="U29"/>
      <c r="V29"/>
      <c r="W29"/>
      <c r="X29"/>
    </row>
    <row r="30" spans="1:32" s="71" customFormat="1">
      <c r="A30" s="29" t="s">
        <v>862</v>
      </c>
      <c r="B30" s="11" t="s">
        <v>237</v>
      </c>
      <c r="C30" s="481">
        <v>83990</v>
      </c>
      <c r="D30" s="676"/>
      <c r="E30" s="481"/>
      <c r="F30" s="763"/>
      <c r="G30" s="763">
        <v>6</v>
      </c>
      <c r="H30" s="324">
        <v>1000000</v>
      </c>
      <c r="I30" s="325">
        <f>+H30*G30</f>
        <v>6000000</v>
      </c>
      <c r="J30" s="395">
        <f>+I30*1.004</f>
        <v>6024000</v>
      </c>
      <c r="K30" s="401"/>
      <c r="L30" s="401">
        <f>+J30</f>
        <v>6024000</v>
      </c>
      <c r="M30" s="326">
        <f t="shared" si="7"/>
        <v>6024000</v>
      </c>
      <c r="N30" s="1628"/>
      <c r="O30" s="1392"/>
      <c r="P30" s="1628"/>
      <c r="Q30" s="1392">
        <f t="shared" si="1"/>
        <v>6024000</v>
      </c>
      <c r="S30"/>
      <c r="T30"/>
      <c r="U30"/>
      <c r="V30"/>
      <c r="W30"/>
      <c r="X30"/>
      <c r="AF30" s="2118"/>
    </row>
    <row r="31" spans="1:32" s="1629" customFormat="1">
      <c r="A31" s="536" t="s">
        <v>1185</v>
      </c>
      <c r="B31" s="1626" t="s">
        <v>237</v>
      </c>
      <c r="C31" s="1631">
        <v>83990</v>
      </c>
      <c r="D31" s="1151" t="s">
        <v>1186</v>
      </c>
      <c r="E31" s="1296"/>
      <c r="F31" s="21"/>
      <c r="G31" s="21"/>
      <c r="H31" s="1368"/>
      <c r="I31" s="1369"/>
      <c r="J31" s="1370"/>
      <c r="K31" s="1371"/>
      <c r="L31" s="1371"/>
      <c r="M31" s="1367"/>
      <c r="N31" s="1628"/>
      <c r="O31" s="1393">
        <v>6024000</v>
      </c>
      <c r="P31" s="1628"/>
      <c r="Q31" s="1392">
        <f>+O31+M31</f>
        <v>6024000</v>
      </c>
      <c r="S31"/>
      <c r="T31"/>
      <c r="U31"/>
      <c r="V31"/>
      <c r="W31"/>
      <c r="X31"/>
    </row>
    <row r="32" spans="1:32" s="1628" customFormat="1" ht="26.25" thickBot="1">
      <c r="A32" s="536" t="s">
        <v>791</v>
      </c>
      <c r="B32" s="22" t="s">
        <v>237</v>
      </c>
      <c r="C32" s="1296">
        <v>83990</v>
      </c>
      <c r="D32" s="1151"/>
      <c r="E32" s="1296" t="s">
        <v>782</v>
      </c>
      <c r="F32" s="21"/>
      <c r="G32" s="21"/>
      <c r="H32" s="1368">
        <v>6000000</v>
      </c>
      <c r="I32" s="1369"/>
      <c r="J32" s="1370"/>
      <c r="K32" s="1371"/>
      <c r="L32" s="1371"/>
      <c r="M32" s="1367">
        <f t="shared" si="7"/>
        <v>0</v>
      </c>
      <c r="O32" s="1393">
        <f>6500000-4734919-1765081</f>
        <v>0</v>
      </c>
      <c r="Q32" s="1393">
        <f t="shared" si="1"/>
        <v>0</v>
      </c>
      <c r="R32" s="1629"/>
      <c r="S32"/>
      <c r="T32"/>
      <c r="U32"/>
      <c r="V32"/>
      <c r="W32"/>
      <c r="X32"/>
    </row>
    <row r="33" spans="1:32" s="1" customFormat="1" ht="26.25" thickBot="1">
      <c r="A33" s="539" t="s">
        <v>7</v>
      </c>
      <c r="B33" s="1226"/>
      <c r="C33" s="1288"/>
      <c r="D33" s="1226"/>
      <c r="E33" s="1226"/>
      <c r="F33" s="1288" t="s">
        <v>215</v>
      </c>
      <c r="G33" s="1288">
        <v>70</v>
      </c>
      <c r="H33" s="1375"/>
      <c r="I33" s="1375"/>
      <c r="J33" s="1376">
        <f>+J34</f>
        <v>20080000</v>
      </c>
      <c r="K33" s="1377">
        <f>+K34</f>
        <v>0</v>
      </c>
      <c r="L33" s="1377">
        <f>+L34</f>
        <v>20080000</v>
      </c>
      <c r="M33" s="1378">
        <f>+M34</f>
        <v>20080000</v>
      </c>
      <c r="N33" s="1629"/>
      <c r="O33" s="1379">
        <f>+O34</f>
        <v>0</v>
      </c>
      <c r="P33" s="1629"/>
      <c r="Q33" s="1379">
        <f>+Q34</f>
        <v>20080000</v>
      </c>
      <c r="S33"/>
      <c r="T33"/>
      <c r="U33"/>
      <c r="V33"/>
      <c r="W33"/>
      <c r="X33"/>
      <c r="AF33" s="2123"/>
    </row>
    <row r="34" spans="1:32" s="1" customFormat="1" ht="25.5">
      <c r="A34" s="1088" t="s">
        <v>1075</v>
      </c>
      <c r="B34" s="1071"/>
      <c r="C34" s="1090"/>
      <c r="D34" s="1071"/>
      <c r="E34" s="1071"/>
      <c r="F34" s="1090" t="s">
        <v>210</v>
      </c>
      <c r="G34" s="1090">
        <v>1</v>
      </c>
      <c r="H34" s="392"/>
      <c r="I34" s="392"/>
      <c r="J34" s="397">
        <f>+J35</f>
        <v>20080000</v>
      </c>
      <c r="K34" s="1373">
        <f>SUM(K35:K35)</f>
        <v>0</v>
      </c>
      <c r="L34" s="1373">
        <f>SUM(L35:L35)</f>
        <v>20080000</v>
      </c>
      <c r="M34" s="328">
        <f>SUM(M35:M35)</f>
        <v>20080000</v>
      </c>
      <c r="N34" s="1629"/>
      <c r="O34" s="1387">
        <f>SUM(O35:O35)</f>
        <v>0</v>
      </c>
      <c r="P34" s="1629"/>
      <c r="Q34" s="1387">
        <f>+Q35</f>
        <v>20080000</v>
      </c>
      <c r="S34"/>
      <c r="T34"/>
      <c r="U34"/>
      <c r="V34"/>
      <c r="W34"/>
      <c r="X34"/>
    </row>
    <row r="35" spans="1:32" ht="15.75" thickBot="1">
      <c r="A35" s="760" t="s">
        <v>863</v>
      </c>
      <c r="B35" s="11" t="s">
        <v>237</v>
      </c>
      <c r="C35" s="481">
        <v>83990</v>
      </c>
      <c r="D35" s="179"/>
      <c r="E35" s="179"/>
      <c r="F35" s="763"/>
      <c r="G35" s="763">
        <v>10</v>
      </c>
      <c r="H35" s="313">
        <v>2000000</v>
      </c>
      <c r="I35" s="391">
        <f>+H35*G35</f>
        <v>20000000</v>
      </c>
      <c r="J35" s="396">
        <f>+I35*1.004</f>
        <v>20080000</v>
      </c>
      <c r="K35" s="402"/>
      <c r="L35" s="402">
        <f>+J35</f>
        <v>20080000</v>
      </c>
      <c r="M35" s="326">
        <f t="shared" ref="M35" si="8">+L35+K35</f>
        <v>20080000</v>
      </c>
      <c r="O35" s="1388"/>
      <c r="P35" s="1628"/>
      <c r="Q35" s="1388">
        <f t="shared" si="1"/>
        <v>20080000</v>
      </c>
      <c r="R35" s="1512"/>
    </row>
    <row r="36" spans="1:32" s="1" customFormat="1" ht="51.75" thickBot="1">
      <c r="A36" s="539" t="s">
        <v>8</v>
      </c>
      <c r="B36" s="1226"/>
      <c r="C36" s="1288"/>
      <c r="D36" s="1226"/>
      <c r="E36" s="1226"/>
      <c r="F36" s="1288" t="s">
        <v>215</v>
      </c>
      <c r="G36" s="1288">
        <v>75</v>
      </c>
      <c r="H36" s="1375">
        <f>+H37+H41</f>
        <v>512177789.25600004</v>
      </c>
      <c r="I36" s="1375"/>
      <c r="J36" s="1376">
        <f>+J37+J41</f>
        <v>250174500.66102403</v>
      </c>
      <c r="K36" s="1377">
        <f>+K37+K41</f>
        <v>31450334.141024001</v>
      </c>
      <c r="L36" s="1377">
        <f t="shared" ref="L36" si="9">+L37+L41</f>
        <v>15860766</v>
      </c>
      <c r="M36" s="1378">
        <f>+M37+M41</f>
        <v>47311100.141024001</v>
      </c>
      <c r="N36" s="1629"/>
      <c r="O36" s="1379">
        <f>+O37+O41</f>
        <v>631907929.99199998</v>
      </c>
      <c r="P36" s="1629"/>
      <c r="Q36" s="1379">
        <f>+Q37+Q41</f>
        <v>679219030.13302398</v>
      </c>
      <c r="S36"/>
      <c r="T36"/>
      <c r="U36"/>
      <c r="V36"/>
      <c r="W36"/>
      <c r="X36"/>
    </row>
    <row r="37" spans="1:32" s="1" customFormat="1" ht="25.5">
      <c r="A37" s="1088" t="s">
        <v>341</v>
      </c>
      <c r="B37" s="1071"/>
      <c r="C37" s="1090"/>
      <c r="D37" s="1071"/>
      <c r="E37" s="1071"/>
      <c r="F37" s="1090" t="s">
        <v>211</v>
      </c>
      <c r="G37" s="1090">
        <v>1</v>
      </c>
      <c r="H37" s="392">
        <f>+H38</f>
        <v>192008880.00000003</v>
      </c>
      <c r="I37" s="392"/>
      <c r="J37" s="397">
        <f>SUM(J38:J38)</f>
        <v>192776915.52000004</v>
      </c>
      <c r="K37" s="1373">
        <f>+K38</f>
        <v>0</v>
      </c>
      <c r="L37" s="1373">
        <f t="shared" ref="L37" si="10">+L38</f>
        <v>15796467</v>
      </c>
      <c r="M37" s="328">
        <f>+M38</f>
        <v>15796467</v>
      </c>
      <c r="N37" s="1629"/>
      <c r="O37" s="1387">
        <f>SUM(O38:O40)</f>
        <v>110197501</v>
      </c>
      <c r="P37" s="1628"/>
      <c r="Q37" s="1387">
        <f>SUM(Q38:Q40)</f>
        <v>125993968</v>
      </c>
      <c r="S37"/>
      <c r="T37"/>
      <c r="U37"/>
      <c r="V37"/>
      <c r="W37"/>
      <c r="X37"/>
    </row>
    <row r="38" spans="1:32" s="71" customFormat="1">
      <c r="A38" s="760" t="s">
        <v>1040</v>
      </c>
      <c r="B38" s="11" t="s">
        <v>237</v>
      </c>
      <c r="C38" s="481" t="s">
        <v>913</v>
      </c>
      <c r="D38" s="676"/>
      <c r="E38" s="676"/>
      <c r="F38" s="763" t="s">
        <v>860</v>
      </c>
      <c r="G38" s="763">
        <v>12</v>
      </c>
      <c r="H38" s="313">
        <f>15300000*1.0458*12</f>
        <v>192008880.00000003</v>
      </c>
      <c r="I38" s="313">
        <f>+H38</f>
        <v>192008880.00000003</v>
      </c>
      <c r="J38" s="313">
        <f>+I38*1.004</f>
        <v>192776915.52000004</v>
      </c>
      <c r="K38" s="294">
        <f>160000000-160000000</f>
        <v>0</v>
      </c>
      <c r="L38" s="294">
        <f>32776916-16980449</f>
        <v>15796467</v>
      </c>
      <c r="M38" s="326">
        <f t="shared" ref="M38" si="11">+L38+K38</f>
        <v>15796467</v>
      </c>
      <c r="N38" s="1628"/>
      <c r="O38" s="930">
        <f>14655533+121808</f>
        <v>14777341</v>
      </c>
      <c r="P38" s="1629"/>
      <c r="Q38" s="1566">
        <f>+O38+M38</f>
        <v>30573808</v>
      </c>
      <c r="R38" s="690"/>
      <c r="S38"/>
      <c r="T38"/>
      <c r="U38"/>
      <c r="V38"/>
      <c r="W38"/>
      <c r="X38"/>
    </row>
    <row r="39" spans="1:32" s="1629" customFormat="1">
      <c r="A39" s="760" t="s">
        <v>1041</v>
      </c>
      <c r="B39" s="1626"/>
      <c r="C39" s="1631"/>
      <c r="D39" s="1632"/>
      <c r="E39" s="1632"/>
      <c r="F39" s="1627"/>
      <c r="G39" s="1627"/>
      <c r="H39" s="313"/>
      <c r="I39" s="313"/>
      <c r="J39" s="313"/>
      <c r="K39" s="294"/>
      <c r="L39" s="294"/>
      <c r="M39" s="326"/>
      <c r="N39" s="1628"/>
      <c r="O39" s="930">
        <f>115470040-14777341-2550777-2721762</f>
        <v>95420160</v>
      </c>
      <c r="Q39" s="1566">
        <f t="shared" si="1"/>
        <v>95420160</v>
      </c>
      <c r="R39" s="1625"/>
      <c r="S39"/>
      <c r="T39"/>
      <c r="U39"/>
      <c r="V39"/>
      <c r="W39"/>
      <c r="X39"/>
    </row>
    <row r="40" spans="1:32" s="1629" customFormat="1">
      <c r="A40" s="760" t="s">
        <v>1061</v>
      </c>
      <c r="B40" s="1626"/>
      <c r="C40" s="1631"/>
      <c r="D40" s="1632"/>
      <c r="E40" s="1632"/>
      <c r="F40" s="1627"/>
      <c r="G40" s="1627"/>
      <c r="H40" s="2071"/>
      <c r="I40" s="2071"/>
      <c r="J40" s="2071"/>
      <c r="K40" s="2072"/>
      <c r="L40" s="2072"/>
      <c r="M40" s="2073"/>
      <c r="N40" s="1628"/>
      <c r="O40" s="2074">
        <f>24096000-13748997-684000-6024000-363903-3275100</f>
        <v>0</v>
      </c>
      <c r="Q40" s="930">
        <f t="shared" si="1"/>
        <v>0</v>
      </c>
      <c r="R40" s="1625"/>
      <c r="S40"/>
      <c r="T40"/>
      <c r="U40"/>
      <c r="V40"/>
      <c r="W40"/>
      <c r="X40"/>
      <c r="Z40"/>
      <c r="AA40"/>
      <c r="AB40"/>
      <c r="AC40"/>
      <c r="AD40"/>
    </row>
    <row r="41" spans="1:32" ht="25.5">
      <c r="A41" s="173" t="s">
        <v>793</v>
      </c>
      <c r="B41" s="175"/>
      <c r="C41" s="178"/>
      <c r="D41" s="175"/>
      <c r="E41" s="175"/>
      <c r="F41" s="178" t="s">
        <v>210</v>
      </c>
      <c r="G41" s="178">
        <v>1</v>
      </c>
      <c r="H41" s="322">
        <f>SUM(H42:H48)</f>
        <v>320168909.25599998</v>
      </c>
      <c r="I41" s="322"/>
      <c r="J41" s="393">
        <f>SUM(J42:J49)</f>
        <v>57397585.141024001</v>
      </c>
      <c r="K41" s="399">
        <f>SUM(K42:K49)</f>
        <v>31450334.141024001</v>
      </c>
      <c r="L41" s="399">
        <f>SUM(L42:L49)</f>
        <v>64299</v>
      </c>
      <c r="M41" s="323">
        <f>SUM(M42:M50)</f>
        <v>31514633.141024001</v>
      </c>
      <c r="O41" s="1383">
        <f>SUM(O42:O50)</f>
        <v>521710428.99199998</v>
      </c>
      <c r="P41" s="1628"/>
      <c r="Q41" s="1387">
        <f>SUM(Q42:Q50)</f>
        <v>553225062.13302398</v>
      </c>
      <c r="R41" s="1993"/>
    </row>
    <row r="42" spans="1:32" s="1628" customFormat="1" ht="37.5" customHeight="1">
      <c r="A42" s="24" t="s">
        <v>1209</v>
      </c>
      <c r="B42" s="1626" t="s">
        <v>914</v>
      </c>
      <c r="C42" s="1626">
        <v>45290</v>
      </c>
      <c r="D42" s="1632"/>
      <c r="E42" s="1631" t="s">
        <v>787</v>
      </c>
      <c r="F42" s="1627"/>
      <c r="G42" s="1627">
        <v>1</v>
      </c>
      <c r="H42" s="2111">
        <v>52862438</v>
      </c>
      <c r="I42" s="2111">
        <v>52862438.247011952</v>
      </c>
      <c r="J42" s="2111">
        <v>53073888</v>
      </c>
      <c r="K42" s="2120">
        <f>15527698+3000000</f>
        <v>18527698</v>
      </c>
      <c r="L42" s="2120">
        <f>64299</f>
        <v>64299</v>
      </c>
      <c r="M42" s="2112">
        <f>SUM(K42:L42)</f>
        <v>18591997</v>
      </c>
      <c r="O42" s="2132">
        <f>8363181.872+35778407+285853141-2008000-158879988+163780690</f>
        <v>332887431.87199998</v>
      </c>
      <c r="Q42" s="930">
        <f>+O42+M42</f>
        <v>351479428.87199998</v>
      </c>
      <c r="R42" s="2107"/>
      <c r="S42"/>
      <c r="T42"/>
      <c r="U42"/>
      <c r="V42"/>
      <c r="W42"/>
      <c r="X42"/>
      <c r="Z42"/>
      <c r="AA42"/>
      <c r="AB42"/>
      <c r="AC42"/>
      <c r="AD42"/>
    </row>
    <row r="43" spans="1:32" s="1628" customFormat="1" ht="16.5" customHeight="1">
      <c r="A43" s="24" t="s">
        <v>794</v>
      </c>
      <c r="B43" s="1626" t="s">
        <v>914</v>
      </c>
      <c r="C43" s="1982">
        <v>45290</v>
      </c>
      <c r="D43" s="1632"/>
      <c r="E43" s="1631" t="s">
        <v>795</v>
      </c>
      <c r="F43" s="1627"/>
      <c r="G43" s="1627"/>
      <c r="H43" s="313">
        <v>25000000</v>
      </c>
      <c r="I43" s="313"/>
      <c r="J43" s="313"/>
      <c r="K43" s="294">
        <v>8616165</v>
      </c>
      <c r="L43" s="294"/>
      <c r="M43" s="326">
        <f t="shared" ref="M43:M49" si="12">+L43+K43</f>
        <v>8616165</v>
      </c>
      <c r="O43" s="930">
        <f>15527698-47863</f>
        <v>15479835</v>
      </c>
      <c r="Q43" s="1566">
        <f t="shared" si="1"/>
        <v>24096000</v>
      </c>
      <c r="R43" s="807"/>
      <c r="S43"/>
      <c r="T43"/>
      <c r="U43"/>
      <c r="V43"/>
      <c r="W43"/>
      <c r="X43"/>
      <c r="Z43"/>
      <c r="AA43"/>
      <c r="AB43"/>
      <c r="AC43"/>
      <c r="AD43"/>
    </row>
    <row r="44" spans="1:32" s="680" customFormat="1" ht="17.25" customHeight="1">
      <c r="A44" s="24" t="s">
        <v>796</v>
      </c>
      <c r="B44" s="34" t="s">
        <v>911</v>
      </c>
      <c r="C44" s="34" t="s">
        <v>915</v>
      </c>
      <c r="D44" s="390"/>
      <c r="E44" s="1564" t="s">
        <v>797</v>
      </c>
      <c r="F44" s="30"/>
      <c r="G44" s="30"/>
      <c r="H44" s="398">
        <v>66000000</v>
      </c>
      <c r="I44" s="398"/>
      <c r="J44" s="398"/>
      <c r="K44" s="403"/>
      <c r="L44" s="403"/>
      <c r="M44" s="1394">
        <f t="shared" si="12"/>
        <v>0</v>
      </c>
      <c r="N44" s="679"/>
      <c r="O44" s="1566">
        <f>66000000+9721276-3976132-39111386-3379228</f>
        <v>29254530</v>
      </c>
      <c r="P44" s="679"/>
      <c r="Q44" s="1566">
        <f t="shared" si="1"/>
        <v>29254530</v>
      </c>
      <c r="R44" s="829"/>
      <c r="S44"/>
      <c r="T44"/>
      <c r="U44"/>
      <c r="V44"/>
      <c r="W44"/>
      <c r="X44"/>
      <c r="Z44"/>
      <c r="AA44"/>
      <c r="AB44"/>
      <c r="AC44"/>
      <c r="AD44"/>
    </row>
    <row r="45" spans="1:32" s="1628" customFormat="1" ht="18.75" customHeight="1">
      <c r="A45" s="24" t="s">
        <v>799</v>
      </c>
      <c r="B45" s="1626" t="s">
        <v>237</v>
      </c>
      <c r="C45" s="1626">
        <v>84222</v>
      </c>
      <c r="D45" s="1632"/>
      <c r="E45" s="1631" t="s">
        <v>784</v>
      </c>
      <c r="F45" s="1627"/>
      <c r="G45" s="1627"/>
      <c r="H45" s="313">
        <v>140000000</v>
      </c>
      <c r="I45" s="313"/>
      <c r="J45" s="313"/>
      <c r="K45" s="294"/>
      <c r="L45" s="294"/>
      <c r="M45" s="326">
        <f t="shared" si="12"/>
        <v>0</v>
      </c>
      <c r="O45" s="930">
        <f>56314724-10526117-3588417-25705480</f>
        <v>16494710</v>
      </c>
      <c r="Q45" s="1566">
        <f t="shared" si="1"/>
        <v>16494710</v>
      </c>
      <c r="R45" s="828"/>
      <c r="S45"/>
      <c r="T45"/>
      <c r="U45"/>
      <c r="V45"/>
      <c r="W45"/>
      <c r="X45"/>
      <c r="Z45"/>
      <c r="AA45"/>
      <c r="AB45"/>
      <c r="AC45"/>
      <c r="AD45"/>
    </row>
    <row r="46" spans="1:32" s="1628" customFormat="1" ht="18.75" customHeight="1">
      <c r="A46" s="24" t="s">
        <v>1076</v>
      </c>
      <c r="B46" s="1626" t="s">
        <v>237</v>
      </c>
      <c r="C46" s="1626">
        <v>84222</v>
      </c>
      <c r="D46" s="1632"/>
      <c r="E46" s="1631"/>
      <c r="F46" s="1627"/>
      <c r="G46" s="1627"/>
      <c r="H46" s="313"/>
      <c r="I46" s="313"/>
      <c r="J46" s="313"/>
      <c r="K46" s="294"/>
      <c r="L46" s="294"/>
      <c r="M46" s="326">
        <f t="shared" si="12"/>
        <v>0</v>
      </c>
      <c r="O46" s="930">
        <v>10526116.720000001</v>
      </c>
      <c r="Q46" s="1566">
        <f t="shared" si="1"/>
        <v>10526116.720000001</v>
      </c>
      <c r="R46" s="1629"/>
      <c r="S46"/>
      <c r="T46"/>
      <c r="U46"/>
      <c r="V46"/>
      <c r="W46"/>
      <c r="X46"/>
      <c r="Z46"/>
      <c r="AA46"/>
      <c r="AB46"/>
      <c r="AC46"/>
      <c r="AD46"/>
    </row>
    <row r="47" spans="1:32" s="1628" customFormat="1" ht="17.25" customHeight="1">
      <c r="A47" s="24" t="s">
        <v>800</v>
      </c>
      <c r="B47" s="1626" t="s">
        <v>911</v>
      </c>
      <c r="C47" s="1626" t="s">
        <v>915</v>
      </c>
      <c r="D47" s="1632"/>
      <c r="E47" s="1631" t="s">
        <v>772</v>
      </c>
      <c r="F47" s="1627"/>
      <c r="G47" s="1627"/>
      <c r="H47" s="313">
        <v>4306471.2560000001</v>
      </c>
      <c r="I47" s="313">
        <f>+H47</f>
        <v>4306471.2560000001</v>
      </c>
      <c r="J47" s="313">
        <f>+I47*1.004</f>
        <v>4323697.141024</v>
      </c>
      <c r="K47" s="294">
        <f>4323697.141024-17226</f>
        <v>4306471.141024</v>
      </c>
      <c r="L47" s="294"/>
      <c r="M47" s="326">
        <f t="shared" si="12"/>
        <v>4306471.141024</v>
      </c>
      <c r="O47" s="930"/>
      <c r="Q47" s="1566">
        <f t="shared" si="1"/>
        <v>4306471.141024</v>
      </c>
      <c r="S47"/>
      <c r="T47"/>
      <c r="U47"/>
      <c r="V47"/>
      <c r="W47"/>
      <c r="X47"/>
      <c r="Z47"/>
      <c r="AA47"/>
      <c r="AB47"/>
      <c r="AC47"/>
      <c r="AD47"/>
    </row>
    <row r="48" spans="1:32" s="1628" customFormat="1" ht="17.25" customHeight="1">
      <c r="A48" s="24" t="s">
        <v>1202</v>
      </c>
      <c r="B48" s="1626" t="s">
        <v>916</v>
      </c>
      <c r="C48" s="1626" t="s">
        <v>915</v>
      </c>
      <c r="D48" s="1632"/>
      <c r="E48" s="1631" t="s">
        <v>801</v>
      </c>
      <c r="F48" s="1627"/>
      <c r="G48" s="1627"/>
      <c r="H48" s="313">
        <v>32000000</v>
      </c>
      <c r="I48" s="313"/>
      <c r="J48" s="313"/>
      <c r="K48" s="294"/>
      <c r="L48" s="294"/>
      <c r="M48" s="326">
        <f t="shared" si="12"/>
        <v>0</v>
      </c>
      <c r="O48" s="2097">
        <f>18000000+5824157</f>
        <v>23824157</v>
      </c>
      <c r="Q48" s="1566">
        <f t="shared" si="1"/>
        <v>23824157</v>
      </c>
      <c r="S48"/>
      <c r="T48"/>
      <c r="U48"/>
      <c r="V48"/>
      <c r="W48"/>
      <c r="X48"/>
      <c r="Z48"/>
      <c r="AA48"/>
      <c r="AB48"/>
      <c r="AC48"/>
      <c r="AD48"/>
    </row>
    <row r="49" spans="1:30" s="1629" customFormat="1" ht="43.5" customHeight="1">
      <c r="A49" s="760" t="s">
        <v>1012</v>
      </c>
      <c r="B49" s="1626" t="s">
        <v>237</v>
      </c>
      <c r="C49" s="1627" t="s">
        <v>917</v>
      </c>
      <c r="D49" s="1632"/>
      <c r="E49" s="1632"/>
      <c r="F49" s="1627"/>
      <c r="G49" s="1627"/>
      <c r="H49" s="313">
        <v>25000000</v>
      </c>
      <c r="I49" s="313"/>
      <c r="J49" s="313"/>
      <c r="K49" s="294"/>
      <c r="L49" s="294"/>
      <c r="M49" s="326">
        <f t="shared" si="12"/>
        <v>0</v>
      </c>
      <c r="N49" s="2098"/>
      <c r="O49" s="2097">
        <f>12565272.4+3598728+1739478</f>
        <v>17903478.399999999</v>
      </c>
      <c r="Q49" s="1566">
        <f t="shared" si="1"/>
        <v>17903478.399999999</v>
      </c>
      <c r="R49" s="1628"/>
      <c r="S49" s="2099"/>
      <c r="T49" s="1983"/>
      <c r="U49" s="1995"/>
      <c r="V49" s="694"/>
      <c r="W49" s="62"/>
      <c r="Z49"/>
      <c r="AA49"/>
      <c r="AB49"/>
      <c r="AC49"/>
      <c r="AD49"/>
    </row>
    <row r="50" spans="1:30" s="680" customFormat="1" ht="19.5" customHeight="1" thickBot="1">
      <c r="A50" s="55" t="s">
        <v>1037</v>
      </c>
      <c r="B50" s="552" t="s">
        <v>916</v>
      </c>
      <c r="C50" s="537">
        <v>84222</v>
      </c>
      <c r="D50" s="2100"/>
      <c r="E50" s="2101" t="s">
        <v>798</v>
      </c>
      <c r="F50" s="537"/>
      <c r="G50" s="537"/>
      <c r="H50" s="1163"/>
      <c r="I50" s="1163"/>
      <c r="J50" s="1163"/>
      <c r="K50" s="2102"/>
      <c r="L50" s="2102"/>
      <c r="M50" s="2103"/>
      <c r="N50" s="2104"/>
      <c r="O50" s="2105">
        <f>65000000+12500000-1739478-420352</f>
        <v>75340170</v>
      </c>
      <c r="Q50" s="2105">
        <f t="shared" si="1"/>
        <v>75340170</v>
      </c>
      <c r="R50" s="2106"/>
      <c r="V50" s="2130"/>
      <c r="W50" s="62"/>
      <c r="Z50"/>
      <c r="AA50"/>
      <c r="AB50"/>
      <c r="AC50"/>
      <c r="AD50"/>
    </row>
    <row r="51" spans="1:30" s="1" customFormat="1" ht="66" customHeight="1" thickBot="1">
      <c r="A51" s="539" t="s">
        <v>342</v>
      </c>
      <c r="B51" s="1226"/>
      <c r="C51" s="1288"/>
      <c r="D51" s="1226"/>
      <c r="E51" s="1226"/>
      <c r="F51" s="1288" t="s">
        <v>215</v>
      </c>
      <c r="G51" s="1288">
        <v>80</v>
      </c>
      <c r="H51" s="1375">
        <f>+H52</f>
        <v>0</v>
      </c>
      <c r="I51" s="1375"/>
      <c r="J51" s="1376">
        <f>+J52</f>
        <v>142487126</v>
      </c>
      <c r="K51" s="1377">
        <f>+K52</f>
        <v>0</v>
      </c>
      <c r="L51" s="1377">
        <f t="shared" ref="L51" si="13">+L52</f>
        <v>31860346</v>
      </c>
      <c r="M51" s="1378">
        <f>+M52</f>
        <v>31860346</v>
      </c>
      <c r="N51" s="1629"/>
      <c r="O51" s="1379">
        <f>+O52</f>
        <v>49014623</v>
      </c>
      <c r="P51" s="1629"/>
      <c r="Q51" s="1379">
        <f>+Q52</f>
        <v>80874969</v>
      </c>
      <c r="R51" s="62"/>
      <c r="U51" s="2124"/>
      <c r="W51" s="62"/>
      <c r="Z51"/>
      <c r="AA51"/>
      <c r="AB51"/>
      <c r="AC51"/>
      <c r="AD51"/>
    </row>
    <row r="52" spans="1:30" s="1" customFormat="1" ht="38.25">
      <c r="A52" s="1088" t="s">
        <v>343</v>
      </c>
      <c r="B52" s="1071"/>
      <c r="C52" s="1090"/>
      <c r="D52" s="1071"/>
      <c r="E52" s="1071"/>
      <c r="F52" s="1090" t="s">
        <v>210</v>
      </c>
      <c r="G52" s="1090">
        <v>1</v>
      </c>
      <c r="H52" s="1136"/>
      <c r="I52" s="392"/>
      <c r="J52" s="397">
        <f>SUM(J53:J56)</f>
        <v>142487126</v>
      </c>
      <c r="K52" s="1373">
        <f>SUM(K53:K56)</f>
        <v>0</v>
      </c>
      <c r="L52" s="1373">
        <f>SUM(L53:L56)</f>
        <v>31860346</v>
      </c>
      <c r="M52" s="328">
        <f>SUM(M53:M56)</f>
        <v>31860346</v>
      </c>
      <c r="N52" s="1629"/>
      <c r="O52" s="1387">
        <f>SUM(O53:O56)</f>
        <v>49014623</v>
      </c>
      <c r="P52" s="1628"/>
      <c r="Q52" s="1387">
        <f>SUM(Q53:Q56)</f>
        <v>80874969</v>
      </c>
      <c r="V52" s="2124"/>
      <c r="W52" s="2131"/>
      <c r="Z52"/>
      <c r="AA52"/>
      <c r="AB52"/>
      <c r="AC52"/>
      <c r="AD52"/>
    </row>
    <row r="53" spans="1:30" s="1628" customFormat="1" ht="25.5" customHeight="1">
      <c r="A53" s="760" t="s">
        <v>792</v>
      </c>
      <c r="B53" s="1626" t="s">
        <v>911</v>
      </c>
      <c r="C53" s="1631" t="s">
        <v>912</v>
      </c>
      <c r="D53" s="1632"/>
      <c r="E53" s="1632"/>
      <c r="F53" s="1627" t="s">
        <v>484</v>
      </c>
      <c r="G53" s="1627">
        <v>1</v>
      </c>
      <c r="H53" s="313">
        <v>95000000</v>
      </c>
      <c r="I53" s="313">
        <f>+H53</f>
        <v>95000000</v>
      </c>
      <c r="J53" s="1860">
        <f>+I53*1.004</f>
        <v>95380000</v>
      </c>
      <c r="K53" s="1861">
        <f>60000000-60000000</f>
        <v>0</v>
      </c>
      <c r="L53" s="1861">
        <f>35380000-35380000</f>
        <v>0</v>
      </c>
      <c r="M53" s="326">
        <f t="shared" ref="M53:M56" si="14">+L53+K53</f>
        <v>0</v>
      </c>
      <c r="O53" s="1862">
        <f>12000000+2550777+23017021+706937</f>
        <v>38274735</v>
      </c>
      <c r="Q53" s="1862">
        <f t="shared" si="1"/>
        <v>38274735</v>
      </c>
      <c r="R53" s="1511"/>
      <c r="S53" s="1513"/>
      <c r="U53" s="1625"/>
      <c r="W53" s="2125"/>
    </row>
    <row r="54" spans="1:30" s="1629" customFormat="1" ht="34.5" customHeight="1">
      <c r="A54" s="760" t="s">
        <v>802</v>
      </c>
      <c r="B54" s="1626" t="s">
        <v>237</v>
      </c>
      <c r="C54" s="30">
        <v>83990</v>
      </c>
      <c r="D54" s="1632"/>
      <c r="E54" s="1632"/>
      <c r="F54" s="1627" t="s">
        <v>210</v>
      </c>
      <c r="G54" s="1627">
        <v>1</v>
      </c>
      <c r="H54" s="313"/>
      <c r="I54" s="313"/>
      <c r="J54" s="1860"/>
      <c r="K54" s="1861"/>
      <c r="L54" s="1861"/>
      <c r="M54" s="326">
        <f t="shared" si="14"/>
        <v>0</v>
      </c>
      <c r="N54" s="1628"/>
      <c r="O54" s="1862">
        <f>32258520+2881480-35140000</f>
        <v>0</v>
      </c>
      <c r="P54" s="1628"/>
      <c r="Q54" s="1862">
        <f t="shared" si="1"/>
        <v>0</v>
      </c>
      <c r="R54" s="1628"/>
    </row>
    <row r="55" spans="1:30" s="679" customFormat="1" ht="28.5" customHeight="1">
      <c r="A55" s="760" t="s">
        <v>817</v>
      </c>
      <c r="B55" s="34" t="s">
        <v>237</v>
      </c>
      <c r="C55" s="1564" t="s">
        <v>918</v>
      </c>
      <c r="D55" s="390"/>
      <c r="E55" s="390"/>
      <c r="F55" s="30" t="s">
        <v>210</v>
      </c>
      <c r="G55" s="30">
        <v>1</v>
      </c>
      <c r="H55" s="398">
        <f>27027126/1.004</f>
        <v>26919448.207171313</v>
      </c>
      <c r="I55" s="1163">
        <f>+H55</f>
        <v>26919448.207171313</v>
      </c>
      <c r="J55" s="2075">
        <f>+I55*1.004</f>
        <v>27027126</v>
      </c>
      <c r="K55" s="2076"/>
      <c r="L55" s="2076">
        <f>+J55-15213058-33722</f>
        <v>11780346</v>
      </c>
      <c r="M55" s="1394">
        <f t="shared" si="14"/>
        <v>11780346</v>
      </c>
      <c r="O55" s="2121">
        <f>15213058-7027126+684000-138044</f>
        <v>8731888</v>
      </c>
      <c r="Q55" s="2077">
        <f>+O55+M55</f>
        <v>20512234</v>
      </c>
      <c r="R55" s="680"/>
      <c r="S55" s="2106">
        <f>+L55+L56</f>
        <v>31860346</v>
      </c>
      <c r="T55"/>
      <c r="U55" s="62"/>
      <c r="V55"/>
    </row>
    <row r="56" spans="1:30" s="1628" customFormat="1" ht="21" customHeight="1" thickBot="1">
      <c r="A56" s="55" t="s">
        <v>803</v>
      </c>
      <c r="B56" s="22" t="s">
        <v>237</v>
      </c>
      <c r="C56" s="1296" t="s">
        <v>918</v>
      </c>
      <c r="D56" s="1151"/>
      <c r="E56" s="1151"/>
      <c r="F56" s="21"/>
      <c r="G56" s="21">
        <v>10</v>
      </c>
      <c r="H56" s="391">
        <v>2000000</v>
      </c>
      <c r="I56" s="391">
        <f>+H56*G56</f>
        <v>20000000</v>
      </c>
      <c r="J56" s="2108">
        <f>+I56*1.004</f>
        <v>20080000</v>
      </c>
      <c r="K56" s="2109"/>
      <c r="L56" s="2109">
        <f>+J56</f>
        <v>20080000</v>
      </c>
      <c r="M56" s="1367">
        <f t="shared" si="14"/>
        <v>20080000</v>
      </c>
      <c r="O56" s="2122">
        <f>2008000</f>
        <v>2008000</v>
      </c>
      <c r="P56" s="1629"/>
      <c r="Q56" s="2110">
        <f t="shared" si="1"/>
        <v>22088000</v>
      </c>
      <c r="R56" s="1561"/>
      <c r="S56" s="1995"/>
      <c r="T56"/>
      <c r="U56"/>
      <c r="V56"/>
    </row>
    <row r="57" spans="1:30" s="1" customFormat="1" ht="51.75" thickBot="1">
      <c r="A57" s="539" t="s">
        <v>9</v>
      </c>
      <c r="B57" s="1226"/>
      <c r="C57" s="1288"/>
      <c r="D57" s="1226"/>
      <c r="E57" s="1226"/>
      <c r="F57" s="1288" t="s">
        <v>215</v>
      </c>
      <c r="G57" s="1288">
        <v>100</v>
      </c>
      <c r="H57" s="1375">
        <f>+H58+H60+H67</f>
        <v>225000000</v>
      </c>
      <c r="I57" s="1375"/>
      <c r="J57" s="1375">
        <f>+J58+J60+J67</f>
        <v>28349546.399999999</v>
      </c>
      <c r="K57" s="1381">
        <f>+K58+K60+K67</f>
        <v>384707571.39999998</v>
      </c>
      <c r="L57" s="1381">
        <f>+L58+L60+L67</f>
        <v>82971398</v>
      </c>
      <c r="M57" s="1382">
        <f>+M58+M60+M67</f>
        <v>467678969.39999998</v>
      </c>
      <c r="N57" s="1629"/>
      <c r="O57" s="1380">
        <f>+O58+O60+O67</f>
        <v>240936118.80000001</v>
      </c>
      <c r="P57" s="1629"/>
      <c r="Q57" s="1380">
        <f>+Q58+Q60+Q67</f>
        <v>708615088.19999993</v>
      </c>
      <c r="S57" s="2096"/>
    </row>
    <row r="58" spans="1:30" ht="38.25">
      <c r="A58" s="1088" t="s">
        <v>344</v>
      </c>
      <c r="B58" s="1071"/>
      <c r="C58" s="1090"/>
      <c r="D58" s="1071"/>
      <c r="E58" s="1071"/>
      <c r="F58" s="1090" t="s">
        <v>211</v>
      </c>
      <c r="G58" s="1090">
        <v>0</v>
      </c>
      <c r="H58" s="392">
        <f>+H59</f>
        <v>80000000</v>
      </c>
      <c r="I58" s="392"/>
      <c r="J58" s="397">
        <f>SUM(J59:J59)</f>
        <v>0</v>
      </c>
      <c r="K58" s="1373">
        <f>+K59</f>
        <v>0</v>
      </c>
      <c r="L58" s="1373">
        <f t="shared" ref="L58" si="15">+L59</f>
        <v>0</v>
      </c>
      <c r="M58" s="328">
        <f>+M59</f>
        <v>0</v>
      </c>
      <c r="O58" s="1387">
        <f>+O59</f>
        <v>0</v>
      </c>
      <c r="P58" s="1628"/>
      <c r="Q58" s="1387">
        <f>SUM(Q59)</f>
        <v>0</v>
      </c>
      <c r="R58" s="1"/>
    </row>
    <row r="59" spans="1:30">
      <c r="A59" s="760" t="s">
        <v>804</v>
      </c>
      <c r="B59" s="11" t="s">
        <v>237</v>
      </c>
      <c r="C59" s="30">
        <v>83990</v>
      </c>
      <c r="D59" s="179"/>
      <c r="E59" s="179"/>
      <c r="F59" s="763"/>
      <c r="G59" s="763"/>
      <c r="H59" s="313">
        <v>80000000</v>
      </c>
      <c r="I59" s="313"/>
      <c r="J59" s="394"/>
      <c r="K59" s="400"/>
      <c r="L59" s="400"/>
      <c r="M59" s="326">
        <f t="shared" ref="M59" si="16">+L59+K59</f>
        <v>0</v>
      </c>
      <c r="N59" s="1628"/>
      <c r="O59" s="1384"/>
      <c r="Q59" s="1384">
        <f t="shared" si="1"/>
        <v>0</v>
      </c>
    </row>
    <row r="60" spans="1:30" s="1" customFormat="1">
      <c r="A60" s="173" t="s">
        <v>345</v>
      </c>
      <c r="B60" s="175"/>
      <c r="C60" s="178"/>
      <c r="D60" s="175"/>
      <c r="E60" s="175"/>
      <c r="F60" s="178" t="s">
        <v>210</v>
      </c>
      <c r="G60" s="178">
        <v>1</v>
      </c>
      <c r="H60" s="322">
        <f>SUM(H61:H63)</f>
        <v>145000000</v>
      </c>
      <c r="I60" s="322"/>
      <c r="J60" s="322">
        <f>SUM(J61:J63)</f>
        <v>0</v>
      </c>
      <c r="K60" s="293">
        <f>SUM(K61:K63)</f>
        <v>0</v>
      </c>
      <c r="L60" s="293">
        <f>SUM(L61:L66)</f>
        <v>22669423</v>
      </c>
      <c r="M60" s="304">
        <f>SUM(M61:M66)</f>
        <v>22669423</v>
      </c>
      <c r="N60" s="1629"/>
      <c r="O60" s="932">
        <f>SUM(O61:O66)</f>
        <v>161552726.40000001</v>
      </c>
      <c r="P60" s="1628"/>
      <c r="Q60" s="932">
        <f>SUM(Q61:Q66)</f>
        <v>184222149.40000001</v>
      </c>
      <c r="R60"/>
    </row>
    <row r="61" spans="1:30" s="1628" customFormat="1" ht="63.75">
      <c r="A61" s="24" t="s">
        <v>1077</v>
      </c>
      <c r="B61" s="1626" t="s">
        <v>1078</v>
      </c>
      <c r="C61" s="1626">
        <v>84150</v>
      </c>
      <c r="D61" s="1632"/>
      <c r="E61" s="1632"/>
      <c r="F61" s="1627"/>
      <c r="G61" s="1627"/>
      <c r="H61" s="787">
        <v>85000000</v>
      </c>
      <c r="I61" s="787"/>
      <c r="J61" s="787"/>
      <c r="K61" s="787"/>
      <c r="L61" s="787"/>
      <c r="M61" s="326">
        <v>0</v>
      </c>
      <c r="O61" s="1385"/>
      <c r="Q61" s="1385"/>
      <c r="R61" s="1625"/>
    </row>
    <row r="62" spans="1:30" s="1628" customFormat="1" ht="25.5">
      <c r="A62" s="760" t="s">
        <v>1200</v>
      </c>
      <c r="B62" s="1626" t="s">
        <v>247</v>
      </c>
      <c r="C62" s="1631">
        <v>54590</v>
      </c>
      <c r="D62" s="390"/>
      <c r="E62" s="390"/>
      <c r="F62" s="30"/>
      <c r="G62" s="30"/>
      <c r="H62" s="2078">
        <v>30000000</v>
      </c>
      <c r="I62" s="2078"/>
      <c r="J62" s="2078"/>
      <c r="K62" s="2078"/>
      <c r="L62" s="2078">
        <f>22700000-30577</f>
        <v>22669423</v>
      </c>
      <c r="M62" s="1394">
        <f>L62</f>
        <v>22669423</v>
      </c>
      <c r="O62" s="1385"/>
      <c r="Q62" s="1385">
        <f t="shared" si="1"/>
        <v>22669423</v>
      </c>
    </row>
    <row r="63" spans="1:30" s="1629" customFormat="1" ht="25.5" customHeight="1">
      <c r="A63" s="760" t="s">
        <v>1062</v>
      </c>
      <c r="B63" s="1626" t="s">
        <v>247</v>
      </c>
      <c r="C63" s="1631">
        <v>54590</v>
      </c>
      <c r="D63" s="1632"/>
      <c r="E63" s="1632"/>
      <c r="F63" s="1627"/>
      <c r="G63" s="1627"/>
      <c r="H63" s="1633">
        <v>30000000</v>
      </c>
      <c r="I63" s="1633"/>
      <c r="J63" s="1633"/>
      <c r="K63" s="1633"/>
      <c r="L63" s="1633"/>
      <c r="M63" s="1630">
        <v>0</v>
      </c>
      <c r="N63" s="1628"/>
      <c r="O63" s="1652">
        <f>149828016+1632181</f>
        <v>151460197</v>
      </c>
      <c r="Q63" s="1652">
        <f>+O63</f>
        <v>151460197</v>
      </c>
      <c r="R63" s="1635"/>
      <c r="S63" s="1634"/>
      <c r="T63" s="1634"/>
    </row>
    <row r="64" spans="1:30" s="1629" customFormat="1" ht="25.5" customHeight="1">
      <c r="A64" s="760" t="s">
        <v>1207</v>
      </c>
      <c r="B64" s="1626" t="s">
        <v>1205</v>
      </c>
      <c r="C64" s="1631" t="s">
        <v>918</v>
      </c>
      <c r="D64" s="1632"/>
      <c r="E64" s="1632" t="s">
        <v>1206</v>
      </c>
      <c r="F64" s="1627"/>
      <c r="G64" s="1627"/>
      <c r="H64" s="1633"/>
      <c r="I64" s="1633"/>
      <c r="J64" s="1633"/>
      <c r="K64" s="1633"/>
      <c r="L64" s="1633"/>
      <c r="M64" s="1630">
        <v>0</v>
      </c>
      <c r="N64" s="1628"/>
      <c r="O64" s="1652">
        <f>158879988-158879988</f>
        <v>0</v>
      </c>
      <c r="Q64" s="1652">
        <f>+O64</f>
        <v>0</v>
      </c>
      <c r="R64" s="1635"/>
      <c r="S64" s="1634"/>
      <c r="T64" s="1634"/>
    </row>
    <row r="65" spans="1:21" s="1629" customFormat="1" ht="24.75" customHeight="1">
      <c r="A65" s="760" t="s">
        <v>1079</v>
      </c>
      <c r="B65" s="552" t="s">
        <v>237</v>
      </c>
      <c r="C65" s="537">
        <v>83990</v>
      </c>
      <c r="D65" s="1632"/>
      <c r="E65" s="1632"/>
      <c r="F65" s="1627"/>
      <c r="G65" s="1627"/>
      <c r="H65" s="787"/>
      <c r="I65" s="787"/>
      <c r="J65" s="787"/>
      <c r="K65" s="787"/>
      <c r="L65" s="787"/>
      <c r="M65" s="326"/>
      <c r="N65" s="1628"/>
      <c r="O65" s="1385">
        <f>12116816-454381-3253614</f>
        <v>8408821</v>
      </c>
      <c r="Q65" s="1385">
        <f>+O65</f>
        <v>8408821</v>
      </c>
      <c r="R65" s="1628"/>
    </row>
    <row r="66" spans="1:21" s="1629" customFormat="1" ht="18.75" customHeight="1">
      <c r="A66" s="760" t="s">
        <v>1170</v>
      </c>
      <c r="B66" s="34" t="s">
        <v>237</v>
      </c>
      <c r="C66" s="537">
        <v>83990</v>
      </c>
      <c r="D66" s="1626" t="s">
        <v>1171</v>
      </c>
      <c r="E66" s="1632"/>
      <c r="F66" s="1627"/>
      <c r="G66" s="1627"/>
      <c r="H66" s="1508"/>
      <c r="I66" s="1508"/>
      <c r="J66" s="1508"/>
      <c r="K66" s="787"/>
      <c r="L66" s="787"/>
      <c r="M66" s="326"/>
      <c r="N66" s="1628"/>
      <c r="O66" s="1385">
        <f>3364922.4-1682461+1247</f>
        <v>1683708.4</v>
      </c>
      <c r="Q66" s="1385">
        <f>+O66</f>
        <v>1683708.4</v>
      </c>
      <c r="R66" s="1628"/>
    </row>
    <row r="67" spans="1:21" s="1629" customFormat="1" ht="25.5">
      <c r="A67" s="173" t="s">
        <v>346</v>
      </c>
      <c r="B67" s="175"/>
      <c r="C67" s="178"/>
      <c r="D67" s="175"/>
      <c r="E67" s="175"/>
      <c r="F67" s="178" t="s">
        <v>211</v>
      </c>
      <c r="G67" s="178">
        <v>1</v>
      </c>
      <c r="H67" s="322"/>
      <c r="I67" s="322"/>
      <c r="J67" s="393">
        <f>SUM(J68:J72)</f>
        <v>28349546.399999999</v>
      </c>
      <c r="K67" s="399">
        <f>SUM(K68:K72)</f>
        <v>384707571.39999998</v>
      </c>
      <c r="L67" s="399">
        <f>SUM(L68:L72)</f>
        <v>60301975</v>
      </c>
      <c r="M67" s="323">
        <f>SUM(M68:M72)</f>
        <v>445009546.39999998</v>
      </c>
      <c r="O67" s="1383">
        <f>SUM(O68:O73)</f>
        <v>79383392.400000006</v>
      </c>
      <c r="P67" s="1628"/>
      <c r="Q67" s="1383">
        <f>SUM(Q68:Q73)</f>
        <v>524392938.79999995</v>
      </c>
    </row>
    <row r="68" spans="1:21" s="680" customFormat="1" ht="24.75" customHeight="1">
      <c r="A68" s="760" t="s">
        <v>805</v>
      </c>
      <c r="B68" s="34" t="s">
        <v>247</v>
      </c>
      <c r="C68" s="1564">
        <v>54590</v>
      </c>
      <c r="D68" s="390"/>
      <c r="E68" s="390"/>
      <c r="F68" s="30"/>
      <c r="G68" s="30"/>
      <c r="H68" s="398">
        <v>1000000000</v>
      </c>
      <c r="I68" s="398"/>
      <c r="J68" s="398"/>
      <c r="K68" s="403">
        <f>335306-335306</f>
        <v>0</v>
      </c>
      <c r="L68" s="403">
        <f>384720-384720</f>
        <v>0</v>
      </c>
      <c r="M68" s="1394">
        <f t="shared" ref="M68:M72" si="17">+L68+K68</f>
        <v>0</v>
      </c>
      <c r="N68" s="679"/>
      <c r="O68" s="1566">
        <f>254309821-46916944-3608690-3678153-30000+35548893+23655047-4056428-255223546</f>
        <v>0</v>
      </c>
      <c r="P68" s="679"/>
      <c r="Q68" s="1566">
        <f t="shared" ref="Q68:Q76" si="18">+O68+M68</f>
        <v>0</v>
      </c>
      <c r="S68" s="1984"/>
    </row>
    <row r="69" spans="1:21" s="680" customFormat="1" ht="15.75">
      <c r="A69" s="760" t="s">
        <v>1001</v>
      </c>
      <c r="B69" s="34" t="s">
        <v>247</v>
      </c>
      <c r="C69" s="1564">
        <v>54590</v>
      </c>
      <c r="D69" s="390"/>
      <c r="E69" s="390"/>
      <c r="F69" s="30"/>
      <c r="G69" s="30"/>
      <c r="H69" s="398"/>
      <c r="I69" s="398"/>
      <c r="J69" s="398"/>
      <c r="K69" s="403">
        <v>356358025</v>
      </c>
      <c r="L69" s="403">
        <v>60301975</v>
      </c>
      <c r="M69" s="1394">
        <f>+K69+L69</f>
        <v>416660000</v>
      </c>
      <c r="N69" s="679"/>
      <c r="O69" s="1566">
        <f>46916944-1847111</f>
        <v>45069833</v>
      </c>
      <c r="P69" s="679"/>
      <c r="Q69" s="1566">
        <f t="shared" si="18"/>
        <v>461729833</v>
      </c>
      <c r="S69" s="1984"/>
      <c r="U69" s="1985"/>
    </row>
    <row r="70" spans="1:21" s="680" customFormat="1">
      <c r="A70" s="760" t="s">
        <v>1013</v>
      </c>
      <c r="B70" s="34" t="s">
        <v>237</v>
      </c>
      <c r="C70" s="30">
        <v>83990</v>
      </c>
      <c r="D70" s="390"/>
      <c r="E70" s="390"/>
      <c r="F70" s="30"/>
      <c r="G70" s="30"/>
      <c r="H70" s="398"/>
      <c r="I70" s="398"/>
      <c r="J70" s="398"/>
      <c r="K70" s="403"/>
      <c r="L70" s="403"/>
      <c r="M70" s="1394"/>
      <c r="N70" s="679"/>
      <c r="O70" s="1566">
        <f>29166200+3608690-145039</f>
        <v>32629851</v>
      </c>
      <c r="P70" s="679"/>
      <c r="Q70" s="1566">
        <f t="shared" si="18"/>
        <v>32629851</v>
      </c>
    </row>
    <row r="71" spans="1:21" s="680" customFormat="1">
      <c r="A71" s="760" t="s">
        <v>859</v>
      </c>
      <c r="B71" s="34" t="s">
        <v>237</v>
      </c>
      <c r="C71" s="30">
        <v>83990</v>
      </c>
      <c r="D71" s="390" t="s">
        <v>855</v>
      </c>
      <c r="E71" s="390"/>
      <c r="F71" s="30"/>
      <c r="G71" s="30">
        <v>6</v>
      </c>
      <c r="H71" s="398">
        <f>+H18</f>
        <v>4706100</v>
      </c>
      <c r="I71" s="398">
        <f>+H71*G71</f>
        <v>28236600</v>
      </c>
      <c r="J71" s="398">
        <f>+I71*1.004</f>
        <v>28349546.399999999</v>
      </c>
      <c r="K71" s="403">
        <f>+J71</f>
        <v>28349546.399999999</v>
      </c>
      <c r="L71" s="403"/>
      <c r="M71" s="1394">
        <f t="shared" si="17"/>
        <v>28349546.399999999</v>
      </c>
      <c r="N71" s="679"/>
      <c r="O71" s="1566"/>
      <c r="P71" s="679"/>
      <c r="Q71" s="1566">
        <f t="shared" si="18"/>
        <v>28349546.399999999</v>
      </c>
      <c r="T71" s="1903"/>
      <c r="U71" s="1904"/>
    </row>
    <row r="72" spans="1:21" s="680" customFormat="1">
      <c r="A72" s="20" t="s">
        <v>854</v>
      </c>
      <c r="B72" s="34" t="s">
        <v>237</v>
      </c>
      <c r="C72" s="30">
        <v>83990</v>
      </c>
      <c r="D72" s="390"/>
      <c r="E72" s="390"/>
      <c r="F72" s="30"/>
      <c r="G72" s="30"/>
      <c r="H72" s="403">
        <v>80000000</v>
      </c>
      <c r="I72" s="403"/>
      <c r="J72" s="403"/>
      <c r="K72" s="403"/>
      <c r="L72" s="403"/>
      <c r="M72" s="2079">
        <f t="shared" si="17"/>
        <v>0</v>
      </c>
      <c r="N72" s="679"/>
      <c r="O72" s="1651">
        <f>20000000+3562493-2362493-21200000</f>
        <v>0</v>
      </c>
      <c r="Q72" s="1651">
        <f t="shared" si="18"/>
        <v>0</v>
      </c>
    </row>
    <row r="73" spans="1:21" s="680" customFormat="1" ht="15.75" thickBot="1">
      <c r="A73" s="51" t="s">
        <v>1170</v>
      </c>
      <c r="B73" s="545" t="s">
        <v>237</v>
      </c>
      <c r="C73" s="1913">
        <v>83990</v>
      </c>
      <c r="D73" s="126" t="s">
        <v>1171</v>
      </c>
      <c r="E73" s="2080"/>
      <c r="F73" s="1913"/>
      <c r="G73" s="1913"/>
      <c r="H73" s="2081"/>
      <c r="I73" s="2081"/>
      <c r="J73" s="2081"/>
      <c r="K73" s="2082"/>
      <c r="L73" s="2082"/>
      <c r="M73" s="2083"/>
      <c r="N73" s="679"/>
      <c r="O73" s="1385">
        <f>3364922.4-1682461+1247</f>
        <v>1683708.4</v>
      </c>
      <c r="Q73" s="1651">
        <f t="shared" si="18"/>
        <v>1683708.4</v>
      </c>
    </row>
    <row r="74" spans="1:21" s="495" customFormat="1" ht="26.25" thickBot="1">
      <c r="A74" s="539" t="s">
        <v>0</v>
      </c>
      <c r="B74" s="1226"/>
      <c r="C74" s="1288"/>
      <c r="D74" s="1226"/>
      <c r="E74" s="1226"/>
      <c r="F74" s="1288" t="s">
        <v>210</v>
      </c>
      <c r="G74" s="1288">
        <v>1</v>
      </c>
      <c r="H74" s="1375"/>
      <c r="I74" s="1375"/>
      <c r="J74" s="1376">
        <f>+J75+J78</f>
        <v>277238871</v>
      </c>
      <c r="K74" s="1377">
        <f>+K75+K78</f>
        <v>274238871</v>
      </c>
      <c r="L74" s="1377">
        <f t="shared" ref="L74" si="19">+L75+L78</f>
        <v>0</v>
      </c>
      <c r="M74" s="1378">
        <f>+M75+M78</f>
        <v>274238871</v>
      </c>
      <c r="N74" s="680"/>
      <c r="O74" s="1379">
        <f>+O75</f>
        <v>0</v>
      </c>
      <c r="P74" s="680"/>
      <c r="Q74" s="1379">
        <f>+Q75</f>
        <v>274238871</v>
      </c>
    </row>
    <row r="75" spans="1:21" ht="38.25">
      <c r="A75" s="1088" t="s">
        <v>347</v>
      </c>
      <c r="B75" s="1071"/>
      <c r="C75" s="1090"/>
      <c r="D75" s="1071"/>
      <c r="E75" s="1071"/>
      <c r="F75" s="1090" t="s">
        <v>210</v>
      </c>
      <c r="G75" s="1090">
        <v>1</v>
      </c>
      <c r="H75" s="392"/>
      <c r="I75" s="392"/>
      <c r="J75" s="397">
        <f>SUM(J76:J77)</f>
        <v>3000000</v>
      </c>
      <c r="K75" s="1373">
        <f>SUM(K76:K77)</f>
        <v>3000000</v>
      </c>
      <c r="L75" s="1373">
        <f t="shared" ref="L75" si="20">SUM(L76:L77)</f>
        <v>0</v>
      </c>
      <c r="M75" s="328">
        <f>SUM(M76:M77)</f>
        <v>3000000</v>
      </c>
      <c r="O75" s="1387">
        <f>SUM(O76:O78)</f>
        <v>0</v>
      </c>
      <c r="P75" s="1628"/>
      <c r="Q75" s="1387">
        <f>SUM(Q76:Q78)</f>
        <v>274238871</v>
      </c>
    </row>
    <row r="76" spans="1:21">
      <c r="A76" s="760" t="s">
        <v>468</v>
      </c>
      <c r="B76" s="482" t="s">
        <v>242</v>
      </c>
      <c r="C76" s="481">
        <v>65119</v>
      </c>
      <c r="D76" s="179"/>
      <c r="E76" s="179"/>
      <c r="F76" s="763"/>
      <c r="G76" s="763"/>
      <c r="H76" s="313">
        <v>2000000</v>
      </c>
      <c r="I76" s="313"/>
      <c r="J76" s="313">
        <v>2000000</v>
      </c>
      <c r="K76" s="294">
        <f>+J76</f>
        <v>2000000</v>
      </c>
      <c r="L76" s="294"/>
      <c r="M76" s="326">
        <f t="shared" ref="M76:M77" si="21">+L76+K76</f>
        <v>2000000</v>
      </c>
      <c r="N76" s="1628"/>
      <c r="O76" s="930"/>
      <c r="P76" s="1628"/>
      <c r="Q76" s="1566">
        <f t="shared" si="18"/>
        <v>2000000</v>
      </c>
    </row>
    <row r="77" spans="1:21">
      <c r="A77" s="760" t="s">
        <v>806</v>
      </c>
      <c r="B77" s="482" t="s">
        <v>242</v>
      </c>
      <c r="C77" s="266">
        <v>63399</v>
      </c>
      <c r="D77" s="179"/>
      <c r="E77" s="179"/>
      <c r="F77" s="763"/>
      <c r="G77" s="763"/>
      <c r="H77" s="313">
        <v>1000000</v>
      </c>
      <c r="I77" s="313"/>
      <c r="J77" s="313">
        <v>1000000</v>
      </c>
      <c r="K77" s="294">
        <f>+J77</f>
        <v>1000000</v>
      </c>
      <c r="L77" s="294"/>
      <c r="M77" s="326">
        <f t="shared" si="21"/>
        <v>1000000</v>
      </c>
      <c r="N77" s="1628"/>
      <c r="O77" s="930"/>
      <c r="Q77" s="1566">
        <f t="shared" ref="Q77:Q78" si="22">+O77+M77</f>
        <v>1000000</v>
      </c>
    </row>
    <row r="78" spans="1:21" ht="15.75" thickBot="1">
      <c r="A78" s="176" t="s">
        <v>228</v>
      </c>
      <c r="B78" s="177"/>
      <c r="C78" s="177"/>
      <c r="D78" s="177"/>
      <c r="E78" s="177"/>
      <c r="F78" s="181" t="s">
        <v>210</v>
      </c>
      <c r="G78" s="181">
        <v>1</v>
      </c>
      <c r="H78" s="483">
        <v>274238871</v>
      </c>
      <c r="I78" s="483"/>
      <c r="J78" s="483">
        <v>274238871</v>
      </c>
      <c r="K78" s="181">
        <f>+J78-3000000</f>
        <v>271238871</v>
      </c>
      <c r="L78" s="1395"/>
      <c r="M78" s="329">
        <f>+L78+K78</f>
        <v>271238871</v>
      </c>
      <c r="O78" s="1389"/>
      <c r="Q78" s="1389">
        <f t="shared" si="22"/>
        <v>271238871</v>
      </c>
    </row>
    <row r="79" spans="1:21" ht="15.75" thickBot="1">
      <c r="A79" s="2404" t="s">
        <v>10</v>
      </c>
      <c r="B79" s="2405"/>
      <c r="C79" s="2405"/>
      <c r="D79" s="2405"/>
      <c r="E79" s="2405"/>
      <c r="F79" s="2405"/>
      <c r="G79" s="2405"/>
      <c r="H79" s="2405"/>
      <c r="I79" s="2406"/>
      <c r="J79" s="1485">
        <f>+J74+J57+J51+J36+J33+J7</f>
        <v>1094974791.9150238</v>
      </c>
      <c r="K79" s="1485">
        <f>+K74+K57+K51+K36+K33+K7</f>
        <v>912045673.94102395</v>
      </c>
      <c r="L79" s="1485">
        <f>+L74+L57+L51+L36+L33+L7</f>
        <v>281203492.454</v>
      </c>
      <c r="M79" s="1486">
        <f>+M74+M57+M51+M36+M33+M7</f>
        <v>1193249166.3950238</v>
      </c>
      <c r="O79" s="1487">
        <f>+O74+O57+O51+O36+O33+O7</f>
        <v>989873186.79200006</v>
      </c>
      <c r="Q79" s="1487">
        <f>+Q7+Q33+Q36+Q51+Q57+Q74</f>
        <v>2183122353.1870236</v>
      </c>
    </row>
    <row r="80" spans="1:21" ht="15.75" thickBot="1">
      <c r="U80" s="62"/>
    </row>
    <row r="81" spans="4:19" ht="15.75" thickBot="1">
      <c r="D81" s="453"/>
      <c r="E81" s="453"/>
      <c r="J81" s="799">
        <v>1193969191.9150238</v>
      </c>
      <c r="K81" s="801">
        <f>912380979.941024-335306</f>
        <v>912045673.94102395</v>
      </c>
      <c r="L81" s="801">
        <f>281588212.454-384720</f>
        <v>281203492.454</v>
      </c>
      <c r="M81" s="2012">
        <v>1193249166.3950238</v>
      </c>
      <c r="O81" s="800">
        <f>993929615-4056428</f>
        <v>989873187</v>
      </c>
      <c r="Q81" s="800">
        <f>+O81+M81</f>
        <v>2183122353.3950238</v>
      </c>
      <c r="R81" s="62"/>
    </row>
    <row r="82" spans="4:19">
      <c r="D82"/>
      <c r="E82"/>
      <c r="F82"/>
      <c r="N82"/>
      <c r="P82"/>
    </row>
    <row r="83" spans="4:19">
      <c r="D83"/>
      <c r="E83"/>
      <c r="F83"/>
      <c r="N83"/>
      <c r="P83"/>
    </row>
    <row r="84" spans="4:19">
      <c r="D84"/>
      <c r="E84"/>
      <c r="F84"/>
      <c r="N84"/>
      <c r="P84"/>
    </row>
    <row r="85" spans="4:19">
      <c r="D85"/>
      <c r="E85"/>
      <c r="F85"/>
      <c r="N85"/>
      <c r="P85"/>
      <c r="S85" s="1970"/>
    </row>
    <row r="86" spans="4:19" ht="19.5" customHeight="1">
      <c r="D86"/>
      <c r="E86"/>
      <c r="F86"/>
      <c r="N86"/>
      <c r="P86"/>
      <c r="S86" s="62"/>
    </row>
    <row r="87" spans="4:19">
      <c r="D87"/>
      <c r="E87"/>
      <c r="F87"/>
      <c r="N87"/>
      <c r="P87"/>
    </row>
    <row r="88" spans="4:19">
      <c r="D88"/>
      <c r="E88"/>
      <c r="F88"/>
      <c r="N88"/>
      <c r="P88"/>
    </row>
    <row r="89" spans="4:19">
      <c r="D89"/>
      <c r="E89"/>
      <c r="F89"/>
      <c r="N89"/>
      <c r="P89"/>
    </row>
    <row r="90" spans="4:19">
      <c r="D90"/>
      <c r="E90"/>
      <c r="F90"/>
      <c r="N90"/>
      <c r="P90"/>
    </row>
    <row r="91" spans="4:19">
      <c r="D91"/>
      <c r="E91"/>
      <c r="F91"/>
      <c r="N91"/>
      <c r="P91"/>
    </row>
    <row r="92" spans="4:19">
      <c r="D92"/>
      <c r="E92"/>
      <c r="F92"/>
      <c r="N92"/>
      <c r="P92"/>
    </row>
    <row r="93" spans="4:19">
      <c r="D93"/>
      <c r="E93"/>
      <c r="F93"/>
      <c r="N93"/>
      <c r="P93"/>
    </row>
    <row r="94" spans="4:19">
      <c r="D94"/>
      <c r="E94"/>
      <c r="F94"/>
      <c r="N94"/>
      <c r="P94"/>
    </row>
    <row r="95" spans="4:19">
      <c r="D95"/>
      <c r="E95"/>
      <c r="F95"/>
      <c r="N95"/>
      <c r="P95"/>
    </row>
    <row r="96" spans="4:19">
      <c r="D96"/>
      <c r="E96"/>
      <c r="F96"/>
      <c r="N96"/>
      <c r="P96"/>
    </row>
    <row r="97" spans="2:16">
      <c r="D97"/>
      <c r="E97"/>
      <c r="F97"/>
      <c r="N97"/>
      <c r="P97"/>
    </row>
    <row r="98" spans="2:16">
      <c r="D98"/>
      <c r="E98"/>
      <c r="F98"/>
      <c r="N98"/>
      <c r="P98"/>
    </row>
    <row r="99" spans="2:16">
      <c r="D99"/>
      <c r="E99"/>
      <c r="F99"/>
      <c r="N99"/>
      <c r="P99"/>
    </row>
    <row r="100" spans="2:16">
      <c r="D100"/>
      <c r="E100"/>
      <c r="F100"/>
      <c r="N100"/>
      <c r="P100"/>
    </row>
    <row r="101" spans="2:16">
      <c r="D101"/>
      <c r="E101"/>
      <c r="F101"/>
      <c r="N101"/>
      <c r="P101"/>
    </row>
    <row r="102" spans="2:16">
      <c r="D102"/>
      <c r="E102"/>
      <c r="F102"/>
      <c r="N102"/>
      <c r="P102"/>
    </row>
    <row r="103" spans="2:16" ht="15.75">
      <c r="B103" s="1509"/>
      <c r="D103" s="1509"/>
      <c r="E103" s="1509"/>
      <c r="F103" s="1509"/>
      <c r="K103" s="295"/>
      <c r="L103" s="295"/>
    </row>
    <row r="104" spans="2:16" ht="15.75">
      <c r="B104" s="1509"/>
      <c r="D104" s="1509"/>
      <c r="E104" s="1509"/>
      <c r="F104" s="1509"/>
      <c r="K104" s="295"/>
      <c r="L104" s="295"/>
    </row>
    <row r="105" spans="2:16" ht="15.75">
      <c r="B105" s="1510"/>
      <c r="D105" s="1509"/>
      <c r="E105" s="1509"/>
      <c r="F105" s="1509"/>
      <c r="K105" s="295"/>
      <c r="L105" s="295"/>
    </row>
    <row r="106" spans="2:16" ht="15.75">
      <c r="B106" s="1509"/>
      <c r="D106"/>
      <c r="E106"/>
      <c r="F106"/>
    </row>
    <row r="107" spans="2:16" ht="15.75">
      <c r="B107" s="1509"/>
      <c r="D107"/>
      <c r="E107"/>
      <c r="F107"/>
    </row>
    <row r="108" spans="2:16">
      <c r="D108"/>
      <c r="E108"/>
      <c r="F108"/>
    </row>
  </sheetData>
  <mergeCells count="19">
    <mergeCell ref="A79:I79"/>
    <mergeCell ref="A4:A6"/>
    <mergeCell ref="B4:B6"/>
    <mergeCell ref="C4:C6"/>
    <mergeCell ref="E4:E6"/>
    <mergeCell ref="D4:D6"/>
    <mergeCell ref="Q4:Q6"/>
    <mergeCell ref="M4:M6"/>
    <mergeCell ref="O5:O6"/>
    <mergeCell ref="A1:M1"/>
    <mergeCell ref="A2:M2"/>
    <mergeCell ref="F4:F6"/>
    <mergeCell ref="G4:G6"/>
    <mergeCell ref="I4:I6"/>
    <mergeCell ref="J4:J6"/>
    <mergeCell ref="K5:K6"/>
    <mergeCell ref="L5:L6"/>
    <mergeCell ref="K4:L4"/>
    <mergeCell ref="H4:H6"/>
  </mergeCells>
  <pageMargins left="0.7" right="0.7" top="0.75" bottom="0.75" header="0.3" footer="0.3"/>
  <pageSetup orientation="portrait" verticalDpi="597"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G62"/>
  <sheetViews>
    <sheetView topLeftCell="A40" workbookViewId="0">
      <selection activeCell="B28" sqref="B28"/>
    </sheetView>
  </sheetViews>
  <sheetFormatPr baseColWidth="10" defaultRowHeight="15"/>
  <cols>
    <col min="1" max="1" width="4" customWidth="1"/>
    <col min="2" max="2" width="62.7109375" customWidth="1"/>
    <col min="3" max="3" width="13.5703125" customWidth="1"/>
    <col min="4" max="6" width="11.42578125" customWidth="1"/>
    <col min="7" max="7" width="10.85546875" customWidth="1"/>
  </cols>
  <sheetData>
    <row r="1" spans="1:7" ht="25.5">
      <c r="A1" s="38">
        <v>1</v>
      </c>
      <c r="B1" s="38" t="s">
        <v>11</v>
      </c>
      <c r="C1" s="128" t="s">
        <v>215</v>
      </c>
      <c r="D1" s="128">
        <v>100</v>
      </c>
      <c r="E1" s="128">
        <v>100</v>
      </c>
      <c r="F1" s="128">
        <v>100</v>
      </c>
      <c r="G1" s="128">
        <v>100</v>
      </c>
    </row>
    <row r="2" spans="1:7" ht="25.5">
      <c r="A2" s="35">
        <v>2</v>
      </c>
      <c r="B2" s="35" t="s">
        <v>241</v>
      </c>
      <c r="C2" s="13" t="s">
        <v>327</v>
      </c>
      <c r="D2" s="13">
        <v>1</v>
      </c>
      <c r="E2" s="13">
        <v>1</v>
      </c>
      <c r="F2" s="13">
        <v>1</v>
      </c>
      <c r="G2" s="13">
        <v>1</v>
      </c>
    </row>
    <row r="3" spans="1:7" ht="25.5">
      <c r="A3" s="38">
        <v>3</v>
      </c>
      <c r="B3" s="38" t="s">
        <v>235</v>
      </c>
      <c r="C3" s="128" t="s">
        <v>215</v>
      </c>
      <c r="D3" s="128">
        <v>100</v>
      </c>
      <c r="E3" s="128">
        <v>100</v>
      </c>
      <c r="F3" s="128">
        <v>100</v>
      </c>
      <c r="G3" s="128">
        <v>100</v>
      </c>
    </row>
    <row r="4" spans="1:7" ht="25.5">
      <c r="A4" s="35">
        <v>4</v>
      </c>
      <c r="B4" s="35" t="s">
        <v>241</v>
      </c>
      <c r="C4" s="13" t="s">
        <v>327</v>
      </c>
      <c r="D4" s="13">
        <v>1</v>
      </c>
      <c r="E4" s="13">
        <v>1</v>
      </c>
      <c r="F4" s="13">
        <v>1</v>
      </c>
      <c r="G4" s="13">
        <v>1</v>
      </c>
    </row>
    <row r="5" spans="1:7" ht="25.5">
      <c r="A5" s="38">
        <v>5</v>
      </c>
      <c r="B5" s="38" t="s">
        <v>46</v>
      </c>
      <c r="C5" s="162" t="s">
        <v>215</v>
      </c>
      <c r="D5" s="23">
        <v>100</v>
      </c>
      <c r="E5" s="23">
        <v>100</v>
      </c>
      <c r="F5" s="23">
        <v>100</v>
      </c>
      <c r="G5" s="23">
        <v>100</v>
      </c>
    </row>
    <row r="6" spans="1:7" ht="25.5">
      <c r="A6" s="35">
        <v>6</v>
      </c>
      <c r="B6" s="152" t="s">
        <v>48</v>
      </c>
      <c r="C6" s="153" t="s">
        <v>215</v>
      </c>
      <c r="D6" s="153">
        <v>100</v>
      </c>
      <c r="E6" s="153">
        <v>100</v>
      </c>
      <c r="F6" s="153">
        <v>100</v>
      </c>
      <c r="G6" s="153">
        <v>100</v>
      </c>
    </row>
    <row r="7" spans="1:7">
      <c r="A7" s="38">
        <v>7</v>
      </c>
      <c r="B7" s="38" t="s">
        <v>49</v>
      </c>
      <c r="C7" s="128" t="s">
        <v>215</v>
      </c>
      <c r="D7" s="128">
        <v>70</v>
      </c>
      <c r="E7" s="128">
        <v>80</v>
      </c>
      <c r="F7" s="128">
        <v>90</v>
      </c>
      <c r="G7" s="128">
        <v>100</v>
      </c>
    </row>
    <row r="8" spans="1:7" ht="25.5">
      <c r="A8" s="38">
        <v>8</v>
      </c>
      <c r="B8" s="38" t="s">
        <v>50</v>
      </c>
      <c r="C8" s="128" t="s">
        <v>1211</v>
      </c>
      <c r="D8" s="128">
        <v>60</v>
      </c>
      <c r="E8" s="128">
        <v>60</v>
      </c>
      <c r="F8" s="128">
        <v>60</v>
      </c>
      <c r="G8" s="128">
        <v>60</v>
      </c>
    </row>
    <row r="9" spans="1:7">
      <c r="A9" s="35">
        <v>9</v>
      </c>
      <c r="B9" s="152" t="s">
        <v>51</v>
      </c>
      <c r="C9" s="153" t="s">
        <v>215</v>
      </c>
      <c r="D9" s="153">
        <v>70</v>
      </c>
      <c r="E9" s="153">
        <v>80</v>
      </c>
      <c r="F9" s="153">
        <v>80</v>
      </c>
      <c r="G9" s="153">
        <v>80</v>
      </c>
    </row>
    <row r="10" spans="1:7">
      <c r="A10" s="38">
        <v>10</v>
      </c>
      <c r="B10" s="38" t="s">
        <v>52</v>
      </c>
      <c r="C10" s="128" t="s">
        <v>215</v>
      </c>
      <c r="D10" s="128">
        <v>20</v>
      </c>
      <c r="E10" s="128">
        <v>25</v>
      </c>
      <c r="F10" s="128">
        <v>30</v>
      </c>
      <c r="G10" s="128">
        <v>35</v>
      </c>
    </row>
    <row r="11" spans="1:7" ht="38.25">
      <c r="A11" s="35">
        <v>11</v>
      </c>
      <c r="B11" s="152" t="s">
        <v>420</v>
      </c>
      <c r="C11" s="153" t="s">
        <v>211</v>
      </c>
      <c r="D11" s="153">
        <v>60</v>
      </c>
      <c r="E11" s="153">
        <v>120</v>
      </c>
      <c r="F11" s="153">
        <v>120</v>
      </c>
      <c r="G11" s="153">
        <v>120</v>
      </c>
    </row>
    <row r="12" spans="1:7">
      <c r="A12" s="35">
        <v>12</v>
      </c>
      <c r="B12" s="152" t="s">
        <v>421</v>
      </c>
      <c r="C12" s="153" t="s">
        <v>211</v>
      </c>
      <c r="D12" s="153">
        <v>1</v>
      </c>
      <c r="E12" s="153">
        <v>1</v>
      </c>
      <c r="F12" s="153">
        <v>1</v>
      </c>
      <c r="G12" s="153">
        <v>1</v>
      </c>
    </row>
    <row r="13" spans="1:7">
      <c r="A13" s="35">
        <v>13</v>
      </c>
      <c r="B13" s="152" t="s">
        <v>272</v>
      </c>
      <c r="C13" s="153" t="s">
        <v>211</v>
      </c>
      <c r="D13" s="153">
        <v>0</v>
      </c>
      <c r="E13" s="153">
        <v>1</v>
      </c>
      <c r="F13" s="153">
        <v>1</v>
      </c>
      <c r="G13" s="153">
        <v>0</v>
      </c>
    </row>
    <row r="14" spans="1:7" ht="25.5">
      <c r="A14" s="35">
        <v>14</v>
      </c>
      <c r="B14" s="152" t="s">
        <v>422</v>
      </c>
      <c r="C14" s="153" t="s">
        <v>215</v>
      </c>
      <c r="D14" s="153">
        <v>100</v>
      </c>
      <c r="E14" s="153">
        <v>100</v>
      </c>
      <c r="F14" s="153">
        <v>100</v>
      </c>
      <c r="G14" s="153">
        <v>100</v>
      </c>
    </row>
    <row r="15" spans="1:7" ht="25.5">
      <c r="A15" s="35">
        <v>15</v>
      </c>
      <c r="B15" s="152" t="s">
        <v>423</v>
      </c>
      <c r="C15" s="153" t="s">
        <v>215</v>
      </c>
      <c r="D15" s="153">
        <v>100</v>
      </c>
      <c r="E15" s="153">
        <v>100</v>
      </c>
      <c r="F15" s="153">
        <v>100</v>
      </c>
      <c r="G15" s="153">
        <v>100</v>
      </c>
    </row>
    <row r="16" spans="1:7">
      <c r="A16" s="35">
        <v>16</v>
      </c>
      <c r="B16" s="152" t="s">
        <v>38</v>
      </c>
      <c r="C16" s="153" t="s">
        <v>327</v>
      </c>
      <c r="D16" s="153">
        <v>1</v>
      </c>
      <c r="E16" s="153">
        <v>1</v>
      </c>
      <c r="F16" s="153">
        <v>1</v>
      </c>
      <c r="G16" s="153">
        <v>1</v>
      </c>
    </row>
    <row r="17" spans="1:7" ht="25.5">
      <c r="A17" s="35">
        <v>17</v>
      </c>
      <c r="B17" s="152" t="s">
        <v>206</v>
      </c>
      <c r="C17" s="153" t="s">
        <v>211</v>
      </c>
      <c r="D17" s="153">
        <v>30</v>
      </c>
      <c r="E17" s="153">
        <v>30</v>
      </c>
      <c r="F17" s="153">
        <v>30</v>
      </c>
      <c r="G17" s="153">
        <v>30</v>
      </c>
    </row>
    <row r="18" spans="1:7" ht="25.5">
      <c r="A18" s="35">
        <v>18</v>
      </c>
      <c r="B18" s="152" t="s">
        <v>33</v>
      </c>
      <c r="C18" s="153" t="s">
        <v>211</v>
      </c>
      <c r="D18" s="153">
        <v>3</v>
      </c>
      <c r="E18" s="153">
        <v>3</v>
      </c>
      <c r="F18" s="153">
        <v>3</v>
      </c>
      <c r="G18" s="153">
        <v>3</v>
      </c>
    </row>
    <row r="19" spans="1:7" ht="38.25">
      <c r="A19" s="35">
        <v>19</v>
      </c>
      <c r="B19" s="152" t="s">
        <v>212</v>
      </c>
      <c r="C19" s="153" t="s">
        <v>211</v>
      </c>
      <c r="D19" s="153">
        <v>2</v>
      </c>
      <c r="E19" s="153">
        <v>2</v>
      </c>
      <c r="F19" s="153">
        <v>2</v>
      </c>
      <c r="G19" s="153">
        <v>1</v>
      </c>
    </row>
    <row r="20" spans="1:7" ht="25.5">
      <c r="A20" s="35">
        <v>20</v>
      </c>
      <c r="B20" s="152" t="s">
        <v>214</v>
      </c>
      <c r="C20" s="153" t="s">
        <v>211</v>
      </c>
      <c r="D20" s="153">
        <v>3</v>
      </c>
      <c r="E20" s="153">
        <v>2</v>
      </c>
      <c r="F20" s="153">
        <v>1</v>
      </c>
      <c r="G20" s="153">
        <v>1</v>
      </c>
    </row>
    <row r="21" spans="1:7">
      <c r="A21" s="35">
        <v>21</v>
      </c>
      <c r="B21" s="35" t="s">
        <v>34</v>
      </c>
      <c r="C21" s="36" t="s">
        <v>215</v>
      </c>
      <c r="D21" s="153">
        <v>57</v>
      </c>
      <c r="E21" s="153">
        <v>67</v>
      </c>
      <c r="F21" s="153">
        <v>83</v>
      </c>
      <c r="G21" s="153">
        <v>100</v>
      </c>
    </row>
    <row r="22" spans="1:7" ht="25.5">
      <c r="A22" s="38">
        <v>22</v>
      </c>
      <c r="B22" s="38" t="s">
        <v>35</v>
      </c>
      <c r="C22" s="39" t="s">
        <v>215</v>
      </c>
      <c r="D22" s="40">
        <v>100</v>
      </c>
      <c r="E22" s="40">
        <v>100</v>
      </c>
      <c r="F22" s="40">
        <v>100</v>
      </c>
      <c r="G22" s="40">
        <v>100</v>
      </c>
    </row>
    <row r="23" spans="1:7" ht="25.5">
      <c r="A23" s="38">
        <v>23</v>
      </c>
      <c r="B23" s="38" t="s">
        <v>218</v>
      </c>
      <c r="C23" s="40" t="s">
        <v>215</v>
      </c>
      <c r="D23" s="41">
        <v>100</v>
      </c>
      <c r="E23" s="41">
        <v>100</v>
      </c>
      <c r="F23" s="41">
        <v>100</v>
      </c>
      <c r="G23" s="41">
        <v>100</v>
      </c>
    </row>
    <row r="24" spans="1:7" ht="25.5">
      <c r="A24" s="38">
        <v>24</v>
      </c>
      <c r="B24" s="38" t="s">
        <v>36</v>
      </c>
      <c r="C24" s="40" t="s">
        <v>215</v>
      </c>
      <c r="D24" s="41">
        <v>25</v>
      </c>
      <c r="E24" s="41">
        <v>25</v>
      </c>
      <c r="F24" s="41">
        <v>25</v>
      </c>
      <c r="G24" s="41">
        <v>25</v>
      </c>
    </row>
    <row r="25" spans="1:7" ht="25.5">
      <c r="A25" s="38">
        <v>25</v>
      </c>
      <c r="B25" s="38" t="s">
        <v>37</v>
      </c>
      <c r="C25" s="40" t="s">
        <v>215</v>
      </c>
      <c r="D25" s="41">
        <v>100</v>
      </c>
      <c r="E25" s="41">
        <v>100</v>
      </c>
      <c r="F25" s="41">
        <v>100</v>
      </c>
      <c r="G25" s="41">
        <v>100</v>
      </c>
    </row>
    <row r="26" spans="1:7">
      <c r="A26" s="35">
        <v>26</v>
      </c>
      <c r="B26" s="35" t="s">
        <v>38</v>
      </c>
      <c r="C26" s="36" t="s">
        <v>210</v>
      </c>
      <c r="D26" s="43">
        <v>1</v>
      </c>
      <c r="E26" s="43">
        <v>1</v>
      </c>
      <c r="F26" s="43">
        <v>1</v>
      </c>
      <c r="G26" s="43">
        <v>1</v>
      </c>
    </row>
    <row r="27" spans="1:7" ht="25.5">
      <c r="A27" s="35">
        <v>27</v>
      </c>
      <c r="B27" s="35" t="s">
        <v>279</v>
      </c>
      <c r="C27" s="153" t="s">
        <v>211</v>
      </c>
      <c r="D27" s="153">
        <v>1</v>
      </c>
      <c r="E27" s="153">
        <v>1</v>
      </c>
      <c r="F27" s="153">
        <v>1</v>
      </c>
      <c r="G27" s="153">
        <v>1</v>
      </c>
    </row>
    <row r="28" spans="1:7" ht="25.5">
      <c r="A28" s="154">
        <v>28</v>
      </c>
      <c r="B28" s="154" t="s">
        <v>427</v>
      </c>
      <c r="C28" s="13" t="s">
        <v>211</v>
      </c>
      <c r="D28" s="13">
        <v>1</v>
      </c>
      <c r="E28" s="13">
        <v>1</v>
      </c>
      <c r="F28" s="13">
        <v>1</v>
      </c>
      <c r="G28" s="13">
        <v>1</v>
      </c>
    </row>
    <row r="29" spans="1:7" ht="38.25">
      <c r="A29" s="154">
        <v>29</v>
      </c>
      <c r="B29" s="154" t="s">
        <v>428</v>
      </c>
      <c r="C29" s="13" t="s">
        <v>211</v>
      </c>
      <c r="D29" s="13">
        <v>1</v>
      </c>
      <c r="E29" s="13">
        <v>1</v>
      </c>
      <c r="F29" s="13">
        <v>1</v>
      </c>
      <c r="G29" s="13">
        <v>1</v>
      </c>
    </row>
    <row r="30" spans="1:7">
      <c r="A30" s="38">
        <v>30</v>
      </c>
      <c r="B30" s="38" t="s">
        <v>292</v>
      </c>
      <c r="C30" s="40" t="s">
        <v>215</v>
      </c>
      <c r="D30" s="41">
        <v>100</v>
      </c>
      <c r="E30" s="41">
        <v>100</v>
      </c>
      <c r="F30" s="41">
        <v>100</v>
      </c>
      <c r="G30" s="41">
        <v>100</v>
      </c>
    </row>
    <row r="31" spans="1:7" ht="25.5">
      <c r="A31" s="154">
        <v>31</v>
      </c>
      <c r="B31" s="154" t="s">
        <v>429</v>
      </c>
      <c r="C31" s="13" t="s">
        <v>215</v>
      </c>
      <c r="D31" s="13">
        <v>100</v>
      </c>
      <c r="E31" s="13">
        <v>100</v>
      </c>
      <c r="F31" s="13">
        <v>100</v>
      </c>
      <c r="G31" s="13">
        <v>100</v>
      </c>
    </row>
    <row r="32" spans="1:7" ht="25.5">
      <c r="A32" s="154">
        <v>32</v>
      </c>
      <c r="B32" s="154" t="s">
        <v>42</v>
      </c>
      <c r="C32" s="13" t="s">
        <v>296</v>
      </c>
      <c r="D32" s="13">
        <v>500</v>
      </c>
      <c r="E32" s="13">
        <v>300</v>
      </c>
      <c r="F32" s="13">
        <v>300</v>
      </c>
      <c r="G32" s="13">
        <v>300</v>
      </c>
    </row>
    <row r="33" spans="1:7" ht="25.5">
      <c r="A33" s="154">
        <v>33</v>
      </c>
      <c r="B33" s="154" t="s">
        <v>43</v>
      </c>
      <c r="C33" s="13" t="s">
        <v>215</v>
      </c>
      <c r="D33" s="13">
        <v>100</v>
      </c>
      <c r="E33" s="13">
        <v>100</v>
      </c>
      <c r="F33" s="13">
        <v>100</v>
      </c>
      <c r="G33" s="13">
        <v>100</v>
      </c>
    </row>
    <row r="34" spans="1:7" ht="38.25">
      <c r="A34" s="154">
        <v>34</v>
      </c>
      <c r="B34" s="154" t="s">
        <v>44</v>
      </c>
      <c r="C34" s="13" t="s">
        <v>293</v>
      </c>
      <c r="D34" s="13">
        <v>340</v>
      </c>
      <c r="E34" s="13">
        <v>50</v>
      </c>
      <c r="F34" s="13">
        <v>110</v>
      </c>
      <c r="G34" s="13">
        <v>110</v>
      </c>
    </row>
    <row r="35" spans="1:7" ht="38.25">
      <c r="A35" s="52">
        <v>35</v>
      </c>
      <c r="B35" s="52" t="s">
        <v>39</v>
      </c>
      <c r="C35" s="44" t="s">
        <v>215</v>
      </c>
      <c r="D35" s="41">
        <v>30</v>
      </c>
      <c r="E35" s="41">
        <v>36</v>
      </c>
      <c r="F35" s="41">
        <v>60</v>
      </c>
      <c r="G35" s="41">
        <v>100</v>
      </c>
    </row>
    <row r="36" spans="1:7" ht="38.25">
      <c r="A36" s="52">
        <v>36</v>
      </c>
      <c r="B36" s="52" t="s">
        <v>40</v>
      </c>
      <c r="C36" s="44" t="s">
        <v>215</v>
      </c>
      <c r="D36" s="41">
        <v>100</v>
      </c>
      <c r="E36" s="41">
        <v>100</v>
      </c>
      <c r="F36" s="41">
        <v>100</v>
      </c>
      <c r="G36" s="41">
        <v>100</v>
      </c>
    </row>
    <row r="37" spans="1:7" ht="51">
      <c r="A37" s="155">
        <v>37</v>
      </c>
      <c r="B37" s="155" t="s">
        <v>302</v>
      </c>
      <c r="C37" s="156" t="s">
        <v>211</v>
      </c>
      <c r="D37" s="156">
        <v>1</v>
      </c>
      <c r="E37" s="156">
        <v>1</v>
      </c>
      <c r="F37" s="156">
        <v>1</v>
      </c>
      <c r="G37" s="156">
        <v>1</v>
      </c>
    </row>
    <row r="38" spans="1:7" ht="25.5">
      <c r="A38" s="52">
        <v>38</v>
      </c>
      <c r="B38" s="52" t="s">
        <v>45</v>
      </c>
      <c r="C38" s="44" t="s">
        <v>215</v>
      </c>
      <c r="D38" s="41">
        <v>100</v>
      </c>
      <c r="E38" s="41">
        <v>100</v>
      </c>
      <c r="F38" s="41">
        <v>100</v>
      </c>
      <c r="G38" s="41">
        <v>100</v>
      </c>
    </row>
    <row r="39" spans="1:7" ht="25.5">
      <c r="A39" s="52">
        <v>39</v>
      </c>
      <c r="B39" s="52" t="s">
        <v>47</v>
      </c>
      <c r="C39" s="44" t="s">
        <v>215</v>
      </c>
      <c r="D39" s="41">
        <v>100</v>
      </c>
      <c r="E39" s="41">
        <v>100</v>
      </c>
      <c r="F39" s="41">
        <v>100</v>
      </c>
      <c r="G39" s="41">
        <v>100</v>
      </c>
    </row>
    <row r="40" spans="1:7" ht="25.5">
      <c r="A40" s="52">
        <v>40</v>
      </c>
      <c r="B40" s="52" t="s">
        <v>56</v>
      </c>
      <c r="C40" s="44" t="s">
        <v>215</v>
      </c>
      <c r="D40" s="41">
        <v>20</v>
      </c>
      <c r="E40" s="41">
        <v>60</v>
      </c>
      <c r="F40" s="41">
        <v>80</v>
      </c>
      <c r="G40" s="41">
        <v>100</v>
      </c>
    </row>
    <row r="41" spans="1:7" ht="25.5">
      <c r="A41" s="52">
        <v>41</v>
      </c>
      <c r="B41" s="52" t="s">
        <v>57</v>
      </c>
      <c r="C41" s="44" t="s">
        <v>215</v>
      </c>
      <c r="D41" s="41">
        <v>20</v>
      </c>
      <c r="E41" s="41">
        <v>60</v>
      </c>
      <c r="F41" s="41">
        <v>80</v>
      </c>
      <c r="G41" s="41">
        <v>100</v>
      </c>
    </row>
    <row r="42" spans="1:7" ht="25.5">
      <c r="A42" s="155">
        <v>42</v>
      </c>
      <c r="B42" s="155" t="s">
        <v>58</v>
      </c>
      <c r="C42" s="156" t="s">
        <v>211</v>
      </c>
      <c r="D42" s="156">
        <v>1</v>
      </c>
      <c r="E42" s="156">
        <v>1</v>
      </c>
      <c r="F42" s="156">
        <v>1</v>
      </c>
      <c r="G42" s="156">
        <v>1</v>
      </c>
    </row>
    <row r="43" spans="1:7" ht="25.5">
      <c r="A43" s="155">
        <v>43</v>
      </c>
      <c r="B43" s="155" t="s">
        <v>59</v>
      </c>
      <c r="C43" s="156" t="s">
        <v>211</v>
      </c>
      <c r="D43" s="156">
        <v>0</v>
      </c>
      <c r="E43" s="156">
        <v>0</v>
      </c>
      <c r="F43" s="156">
        <v>6</v>
      </c>
      <c r="G43" s="156">
        <v>7</v>
      </c>
    </row>
    <row r="44" spans="1:7" ht="25.5">
      <c r="A44" s="157">
        <v>44</v>
      </c>
      <c r="B44" s="158" t="s">
        <v>3</v>
      </c>
      <c r="C44" s="40" t="s">
        <v>215</v>
      </c>
      <c r="D44" s="40">
        <v>100</v>
      </c>
      <c r="E44" s="40">
        <v>100</v>
      </c>
      <c r="F44" s="40">
        <v>100</v>
      </c>
      <c r="G44" s="40">
        <v>100</v>
      </c>
    </row>
    <row r="45" spans="1:7" ht="25.5">
      <c r="A45" s="159">
        <v>45</v>
      </c>
      <c r="B45" s="159" t="s">
        <v>54</v>
      </c>
      <c r="C45" s="153" t="s">
        <v>215</v>
      </c>
      <c r="D45" s="160">
        <v>1</v>
      </c>
      <c r="E45" s="160">
        <v>1</v>
      </c>
      <c r="F45" s="160">
        <v>1</v>
      </c>
      <c r="G45" s="160">
        <v>1</v>
      </c>
    </row>
    <row r="46" spans="1:7" ht="25.5">
      <c r="A46" s="161">
        <v>46</v>
      </c>
      <c r="B46" s="161" t="s">
        <v>55</v>
      </c>
      <c r="C46" s="162" t="s">
        <v>215</v>
      </c>
      <c r="D46" s="163">
        <v>0.9</v>
      </c>
      <c r="E46" s="163">
        <v>0.9</v>
      </c>
      <c r="F46" s="163">
        <v>0.9</v>
      </c>
      <c r="G46" s="163">
        <v>0.9</v>
      </c>
    </row>
    <row r="47" spans="1:7" ht="51">
      <c r="A47" s="52">
        <v>47</v>
      </c>
      <c r="B47" s="52" t="s">
        <v>1</v>
      </c>
      <c r="C47" s="128" t="s">
        <v>215</v>
      </c>
      <c r="D47" s="128">
        <v>100</v>
      </c>
      <c r="E47" s="128">
        <v>100</v>
      </c>
      <c r="F47" s="128">
        <v>100</v>
      </c>
      <c r="G47" s="128">
        <v>100</v>
      </c>
    </row>
    <row r="48" spans="1:7" ht="25.5">
      <c r="A48" s="164">
        <v>48</v>
      </c>
      <c r="B48" s="164" t="s">
        <v>0</v>
      </c>
      <c r="C48" s="36" t="s">
        <v>327</v>
      </c>
      <c r="D48" s="36">
        <v>1</v>
      </c>
      <c r="E48" s="36">
        <v>1</v>
      </c>
      <c r="F48" s="36">
        <v>1</v>
      </c>
      <c r="G48" s="36">
        <v>1</v>
      </c>
    </row>
    <row r="49" spans="1:7">
      <c r="A49" s="164">
        <v>49</v>
      </c>
      <c r="B49" s="164" t="s">
        <v>436</v>
      </c>
      <c r="C49" s="36" t="s">
        <v>215</v>
      </c>
      <c r="D49" s="36">
        <v>100</v>
      </c>
      <c r="E49" s="36">
        <v>100</v>
      </c>
      <c r="F49" s="36">
        <v>100</v>
      </c>
      <c r="G49" s="36">
        <v>100</v>
      </c>
    </row>
    <row r="50" spans="1:7">
      <c r="A50" s="165">
        <v>50</v>
      </c>
      <c r="B50" s="165" t="s">
        <v>437</v>
      </c>
      <c r="C50" s="36" t="s">
        <v>215</v>
      </c>
      <c r="D50" s="36">
        <v>100</v>
      </c>
      <c r="E50" s="36">
        <v>100</v>
      </c>
      <c r="F50" s="36">
        <v>100</v>
      </c>
      <c r="G50" s="36">
        <v>100</v>
      </c>
    </row>
    <row r="51" spans="1:7" ht="25.5">
      <c r="A51" s="166">
        <v>51</v>
      </c>
      <c r="B51" s="164" t="s">
        <v>4</v>
      </c>
      <c r="C51" s="153" t="s">
        <v>439</v>
      </c>
      <c r="D51" s="13">
        <v>5</v>
      </c>
      <c r="E51" s="13">
        <v>5</v>
      </c>
      <c r="F51" s="13">
        <v>5</v>
      </c>
      <c r="G51" s="13">
        <v>5</v>
      </c>
    </row>
    <row r="52" spans="1:7" ht="25.5">
      <c r="A52" s="166">
        <v>52</v>
      </c>
      <c r="B52" s="164" t="s">
        <v>0</v>
      </c>
      <c r="C52" s="17" t="s">
        <v>327</v>
      </c>
      <c r="D52" s="13">
        <v>1</v>
      </c>
      <c r="E52" s="13">
        <v>1</v>
      </c>
      <c r="F52" s="13">
        <v>1</v>
      </c>
      <c r="G52" s="13">
        <v>1</v>
      </c>
    </row>
    <row r="53" spans="1:7" ht="38.25">
      <c r="A53" s="52">
        <v>53</v>
      </c>
      <c r="B53" s="52" t="s">
        <v>2</v>
      </c>
      <c r="C53" s="40" t="s">
        <v>215</v>
      </c>
      <c r="D53" s="40">
        <v>100</v>
      </c>
      <c r="E53" s="40">
        <v>100</v>
      </c>
      <c r="F53" s="40">
        <v>100</v>
      </c>
      <c r="G53" s="40">
        <v>100</v>
      </c>
    </row>
    <row r="54" spans="1:7" ht="38.25">
      <c r="A54" s="12">
        <v>54</v>
      </c>
      <c r="B54" s="12" t="s">
        <v>12</v>
      </c>
      <c r="C54" s="13" t="s">
        <v>215</v>
      </c>
      <c r="D54" s="13">
        <v>100</v>
      </c>
      <c r="E54" s="13">
        <v>100</v>
      </c>
      <c r="F54" s="13">
        <v>100</v>
      </c>
      <c r="G54" s="13">
        <v>100</v>
      </c>
    </row>
    <row r="55" spans="1:7">
      <c r="A55" s="15">
        <v>55</v>
      </c>
      <c r="B55" s="15" t="s">
        <v>330</v>
      </c>
      <c r="C55" s="16" t="s">
        <v>215</v>
      </c>
      <c r="D55" s="16">
        <v>100</v>
      </c>
      <c r="E55" s="16">
        <v>100</v>
      </c>
      <c r="F55" s="16">
        <v>100</v>
      </c>
      <c r="G55" s="16">
        <v>100</v>
      </c>
    </row>
    <row r="56" spans="1:7" ht="25.5">
      <c r="A56" s="167">
        <v>56</v>
      </c>
      <c r="B56" s="167" t="s">
        <v>0</v>
      </c>
      <c r="C56" s="19" t="s">
        <v>327</v>
      </c>
      <c r="D56" s="19">
        <v>1</v>
      </c>
      <c r="E56" s="19">
        <v>1</v>
      </c>
      <c r="F56" s="19">
        <v>1</v>
      </c>
      <c r="G56" s="19">
        <v>1</v>
      </c>
    </row>
    <row r="57" spans="1:7" ht="25.5">
      <c r="A57" s="168">
        <v>57</v>
      </c>
      <c r="B57" s="168" t="s">
        <v>6</v>
      </c>
      <c r="C57" s="60" t="s">
        <v>215</v>
      </c>
      <c r="D57" s="60">
        <v>25</v>
      </c>
      <c r="E57" s="60">
        <v>50</v>
      </c>
      <c r="F57" s="60">
        <v>75</v>
      </c>
      <c r="G57" s="60">
        <v>100</v>
      </c>
    </row>
    <row r="58" spans="1:7">
      <c r="A58" s="169">
        <v>58</v>
      </c>
      <c r="B58" s="169" t="s">
        <v>7</v>
      </c>
      <c r="C58" s="19" t="s">
        <v>215</v>
      </c>
      <c r="D58" s="19">
        <v>5</v>
      </c>
      <c r="E58" s="19">
        <v>40</v>
      </c>
      <c r="F58" s="19">
        <v>70</v>
      </c>
      <c r="G58" s="19">
        <v>100</v>
      </c>
    </row>
    <row r="59" spans="1:7" ht="25.5">
      <c r="A59" s="18">
        <v>59</v>
      </c>
      <c r="B59" s="18" t="s">
        <v>8</v>
      </c>
      <c r="C59" s="19" t="s">
        <v>215</v>
      </c>
      <c r="D59" s="19">
        <v>25</v>
      </c>
      <c r="E59" s="19">
        <v>50</v>
      </c>
      <c r="F59" s="19">
        <v>75</v>
      </c>
      <c r="G59" s="19">
        <v>100</v>
      </c>
    </row>
    <row r="60" spans="1:7" ht="25.5">
      <c r="A60" s="18">
        <v>60</v>
      </c>
      <c r="B60" s="18" t="s">
        <v>342</v>
      </c>
      <c r="C60" s="19" t="s">
        <v>215</v>
      </c>
      <c r="D60" s="19">
        <v>20</v>
      </c>
      <c r="E60" s="19">
        <v>60</v>
      </c>
      <c r="F60" s="19">
        <v>80</v>
      </c>
      <c r="G60" s="19">
        <v>100</v>
      </c>
    </row>
    <row r="61" spans="1:7" ht="25.5">
      <c r="A61" s="18">
        <v>61</v>
      </c>
      <c r="B61" s="18" t="s">
        <v>9</v>
      </c>
      <c r="C61" s="19" t="s">
        <v>215</v>
      </c>
      <c r="D61" s="19">
        <v>100</v>
      </c>
      <c r="E61" s="19">
        <v>100</v>
      </c>
      <c r="F61" s="19">
        <v>100</v>
      </c>
      <c r="G61" s="19">
        <v>100</v>
      </c>
    </row>
    <row r="62" spans="1:7" ht="25.5">
      <c r="A62" s="170">
        <v>62</v>
      </c>
      <c r="B62" s="170" t="s">
        <v>0</v>
      </c>
      <c r="C62" s="64" t="s">
        <v>327</v>
      </c>
      <c r="D62" s="64">
        <v>1</v>
      </c>
      <c r="E62" s="64">
        <v>1</v>
      </c>
      <c r="F62" s="64">
        <v>1</v>
      </c>
      <c r="G62" s="64">
        <v>1</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M20"/>
  <sheetViews>
    <sheetView workbookViewId="0">
      <selection activeCell="G14" sqref="G14"/>
    </sheetView>
  </sheetViews>
  <sheetFormatPr baseColWidth="10" defaultRowHeight="15"/>
  <cols>
    <col min="1" max="1" width="7" customWidth="1"/>
    <col min="2" max="2" width="28.28515625" customWidth="1"/>
    <col min="3" max="3" width="11.42578125" customWidth="1"/>
    <col min="4" max="4" width="40.140625" customWidth="1"/>
    <col min="5" max="5" width="22.7109375" customWidth="1"/>
    <col min="6" max="11" width="16.7109375" customWidth="1"/>
    <col min="12" max="12" width="15.42578125" customWidth="1"/>
    <col min="13" max="13" width="20" customWidth="1"/>
    <col min="14" max="14" width="18.85546875" customWidth="1"/>
  </cols>
  <sheetData>
    <row r="1" spans="1:13">
      <c r="A1" s="2225" t="s">
        <v>175</v>
      </c>
      <c r="B1" s="2225"/>
      <c r="C1" s="2225"/>
      <c r="D1" s="2225"/>
      <c r="E1" s="2225"/>
      <c r="F1" s="2225"/>
      <c r="G1" s="2225"/>
      <c r="H1" s="2225"/>
      <c r="I1" s="2225"/>
      <c r="J1" s="2225"/>
      <c r="K1" s="2225"/>
      <c r="L1" s="2225"/>
      <c r="M1" s="2225"/>
    </row>
    <row r="2" spans="1:13" ht="27.95" customHeight="1">
      <c r="A2" s="2212" t="s">
        <v>69</v>
      </c>
      <c r="B2" s="258" t="s">
        <v>13</v>
      </c>
      <c r="C2" s="2212" t="s">
        <v>69</v>
      </c>
      <c r="D2" s="2212" t="s">
        <v>291</v>
      </c>
      <c r="E2" s="2212" t="s">
        <v>352</v>
      </c>
      <c r="F2" s="2226" t="s">
        <v>199</v>
      </c>
      <c r="G2" s="2227"/>
      <c r="H2" s="2227"/>
      <c r="I2" s="2227"/>
      <c r="J2" s="2227"/>
      <c r="K2" s="2227"/>
      <c r="L2" s="2228" t="s">
        <v>395</v>
      </c>
      <c r="M2" s="2228" t="s">
        <v>400</v>
      </c>
    </row>
    <row r="3" spans="1:13">
      <c r="A3" s="2213"/>
      <c r="B3" s="259"/>
      <c r="C3" s="2213"/>
      <c r="D3" s="2213"/>
      <c r="E3" s="2213"/>
      <c r="F3" s="137" t="s">
        <v>203</v>
      </c>
      <c r="G3" s="137" t="s">
        <v>202</v>
      </c>
      <c r="H3" s="137" t="s">
        <v>385</v>
      </c>
      <c r="I3" s="137" t="s">
        <v>455</v>
      </c>
      <c r="J3" s="137" t="s">
        <v>456</v>
      </c>
      <c r="K3" s="137" t="s">
        <v>234</v>
      </c>
      <c r="L3" s="2229"/>
      <c r="M3" s="2229"/>
    </row>
    <row r="4" spans="1:13" ht="28.5">
      <c r="A4" s="2222">
        <v>3201</v>
      </c>
      <c r="B4" s="2223" t="s">
        <v>353</v>
      </c>
      <c r="C4" s="221">
        <v>320101</v>
      </c>
      <c r="D4" s="97" t="s">
        <v>19</v>
      </c>
      <c r="E4" s="98">
        <f t="shared" ref="E4:E19" si="0">SUM(F4:K4)</f>
        <v>195582400</v>
      </c>
      <c r="F4" s="98"/>
      <c r="G4" s="98"/>
      <c r="H4" s="98"/>
      <c r="I4" s="98"/>
      <c r="J4" s="98">
        <v>195582400</v>
      </c>
      <c r="K4" s="98"/>
      <c r="L4" s="98" t="s">
        <v>396</v>
      </c>
      <c r="M4" s="98" t="s">
        <v>401</v>
      </c>
    </row>
    <row r="5" spans="1:13" ht="21" customHeight="1">
      <c r="A5" s="2222"/>
      <c r="B5" s="2223"/>
      <c r="C5" s="221">
        <v>320102</v>
      </c>
      <c r="D5" s="97" t="s">
        <v>21</v>
      </c>
      <c r="E5" s="98">
        <f t="shared" si="0"/>
        <v>300000000</v>
      </c>
      <c r="F5" s="98"/>
      <c r="G5" s="98"/>
      <c r="H5" s="98"/>
      <c r="I5" s="98"/>
      <c r="J5" s="98">
        <v>300000000</v>
      </c>
      <c r="K5" s="98"/>
      <c r="L5" s="98" t="s">
        <v>396</v>
      </c>
      <c r="M5" s="98" t="s">
        <v>402</v>
      </c>
    </row>
    <row r="6" spans="1:13" ht="42.75">
      <c r="A6" s="2222"/>
      <c r="B6" s="2223"/>
      <c r="C6" s="221">
        <v>320103</v>
      </c>
      <c r="D6" s="97" t="s">
        <v>160</v>
      </c>
      <c r="E6" s="98">
        <f t="shared" si="0"/>
        <v>3265675620</v>
      </c>
      <c r="F6" s="98"/>
      <c r="G6" s="98">
        <v>178821938</v>
      </c>
      <c r="H6" s="98"/>
      <c r="I6" s="98">
        <v>54667800</v>
      </c>
      <c r="J6" s="98">
        <v>2183006885</v>
      </c>
      <c r="K6" s="98">
        <v>849178997</v>
      </c>
      <c r="L6" s="98" t="s">
        <v>397</v>
      </c>
      <c r="M6" s="98" t="s">
        <v>413</v>
      </c>
    </row>
    <row r="7" spans="1:13" ht="42.75">
      <c r="A7" s="2201">
        <v>3202</v>
      </c>
      <c r="B7" s="2224" t="s">
        <v>354</v>
      </c>
      <c r="C7" s="219">
        <v>320201</v>
      </c>
      <c r="D7" s="218" t="s">
        <v>125</v>
      </c>
      <c r="E7" s="95">
        <f t="shared" si="0"/>
        <v>3980276607</v>
      </c>
      <c r="F7" s="95">
        <v>280000000</v>
      </c>
      <c r="G7" s="95">
        <v>3520000000</v>
      </c>
      <c r="H7" s="95"/>
      <c r="I7" s="95"/>
      <c r="J7" s="95">
        <v>180276607</v>
      </c>
      <c r="K7" s="95"/>
      <c r="L7" s="144" t="s">
        <v>396</v>
      </c>
      <c r="M7" s="144" t="s">
        <v>410</v>
      </c>
    </row>
    <row r="8" spans="1:13" ht="42.75">
      <c r="A8" s="2201"/>
      <c r="B8" s="2224"/>
      <c r="C8" s="219">
        <v>320202</v>
      </c>
      <c r="D8" s="218" t="s">
        <v>161</v>
      </c>
      <c r="E8" s="95">
        <f t="shared" si="0"/>
        <v>785789335</v>
      </c>
      <c r="F8" s="95">
        <v>41249340</v>
      </c>
      <c r="G8" s="95"/>
      <c r="H8" s="95"/>
      <c r="I8" s="95">
        <v>1272791</v>
      </c>
      <c r="J8" s="95">
        <v>682984437</v>
      </c>
      <c r="K8" s="95">
        <v>60282767</v>
      </c>
      <c r="L8" s="144" t="s">
        <v>397</v>
      </c>
      <c r="M8" s="144" t="s">
        <v>411</v>
      </c>
    </row>
    <row r="9" spans="1:13" ht="57">
      <c r="A9" s="2201"/>
      <c r="B9" s="2224"/>
      <c r="C9" s="219">
        <v>320203</v>
      </c>
      <c r="D9" s="218" t="s">
        <v>162</v>
      </c>
      <c r="E9" s="95">
        <f t="shared" si="0"/>
        <v>942906265</v>
      </c>
      <c r="F9" s="95">
        <v>1860541</v>
      </c>
      <c r="G9" s="95">
        <v>481215554</v>
      </c>
      <c r="H9" s="95"/>
      <c r="I9" s="95">
        <v>447524728</v>
      </c>
      <c r="J9" s="95">
        <v>12305442</v>
      </c>
      <c r="K9" s="95"/>
      <c r="L9" s="144" t="s">
        <v>396</v>
      </c>
      <c r="M9" s="144" t="s">
        <v>403</v>
      </c>
    </row>
    <row r="10" spans="1:13" ht="28.5">
      <c r="A10" s="2214">
        <v>3203</v>
      </c>
      <c r="B10" s="2215" t="s">
        <v>355</v>
      </c>
      <c r="C10" s="221">
        <v>320301</v>
      </c>
      <c r="D10" s="97" t="s">
        <v>17</v>
      </c>
      <c r="E10" s="99">
        <f t="shared" si="0"/>
        <v>9293244698</v>
      </c>
      <c r="F10" s="99">
        <v>1861042477</v>
      </c>
      <c r="G10" s="99">
        <v>2136784444</v>
      </c>
      <c r="H10" s="99">
        <v>2062787847</v>
      </c>
      <c r="I10" s="99"/>
      <c r="J10" s="99">
        <v>3232629930</v>
      </c>
      <c r="K10" s="99"/>
      <c r="L10" s="98" t="s">
        <v>396</v>
      </c>
      <c r="M10" s="98" t="s">
        <v>403</v>
      </c>
    </row>
    <row r="11" spans="1:13" ht="28.5">
      <c r="A11" s="2214"/>
      <c r="B11" s="2215"/>
      <c r="C11" s="221">
        <v>320302</v>
      </c>
      <c r="D11" s="100" t="s">
        <v>164</v>
      </c>
      <c r="E11" s="99">
        <f t="shared" si="0"/>
        <v>1922786223</v>
      </c>
      <c r="F11" s="99">
        <v>385524728</v>
      </c>
      <c r="G11" s="99">
        <v>1213928721</v>
      </c>
      <c r="H11" s="99">
        <v>229198650</v>
      </c>
      <c r="I11" s="99"/>
      <c r="J11" s="99">
        <v>94134124</v>
      </c>
      <c r="K11" s="99"/>
      <c r="L11" s="98" t="s">
        <v>397</v>
      </c>
      <c r="M11" s="98" t="s">
        <v>412</v>
      </c>
    </row>
    <row r="12" spans="1:13" ht="45">
      <c r="A12" s="219">
        <v>3204</v>
      </c>
      <c r="B12" s="220" t="s">
        <v>356</v>
      </c>
      <c r="C12" s="219">
        <v>320401</v>
      </c>
      <c r="D12" s="218" t="s">
        <v>165</v>
      </c>
      <c r="E12" s="95">
        <f t="shared" si="0"/>
        <v>217739488</v>
      </c>
      <c r="F12" s="95"/>
      <c r="G12" s="95"/>
      <c r="H12" s="95"/>
      <c r="I12" s="95"/>
      <c r="J12" s="95">
        <v>88571876</v>
      </c>
      <c r="K12" s="95">
        <v>129167612</v>
      </c>
      <c r="L12" s="144" t="s">
        <v>397</v>
      </c>
      <c r="M12" s="144" t="s">
        <v>414</v>
      </c>
    </row>
    <row r="13" spans="1:13" ht="42.75">
      <c r="A13" s="2216">
        <v>3205</v>
      </c>
      <c r="B13" s="2219" t="s">
        <v>357</v>
      </c>
      <c r="C13" s="221">
        <v>320501</v>
      </c>
      <c r="D13" s="97" t="s">
        <v>23</v>
      </c>
      <c r="E13" s="101">
        <f t="shared" si="0"/>
        <v>230101756</v>
      </c>
      <c r="F13" s="101"/>
      <c r="G13" s="101"/>
      <c r="H13" s="101"/>
      <c r="I13" s="101"/>
      <c r="J13" s="101">
        <v>230101756</v>
      </c>
      <c r="K13" s="101"/>
      <c r="L13" s="98" t="s">
        <v>398</v>
      </c>
      <c r="M13" s="145" t="s">
        <v>404</v>
      </c>
    </row>
    <row r="14" spans="1:13" ht="42.75">
      <c r="A14" s="2217"/>
      <c r="B14" s="2220"/>
      <c r="C14" s="221">
        <v>320502</v>
      </c>
      <c r="D14" s="97" t="s">
        <v>169</v>
      </c>
      <c r="E14" s="101">
        <f t="shared" si="0"/>
        <v>1671309671</v>
      </c>
      <c r="F14" s="101"/>
      <c r="G14" s="101">
        <v>1372171368</v>
      </c>
      <c r="H14" s="101"/>
      <c r="I14" s="101"/>
      <c r="J14" s="101">
        <v>299138303</v>
      </c>
      <c r="K14" s="101"/>
      <c r="L14" s="98" t="s">
        <v>397</v>
      </c>
      <c r="M14" s="98" t="s">
        <v>405</v>
      </c>
    </row>
    <row r="15" spans="1:13" ht="34.5" customHeight="1">
      <c r="A15" s="2217"/>
      <c r="B15" s="2220"/>
      <c r="C15" s="221">
        <v>320503</v>
      </c>
      <c r="D15" s="97" t="s">
        <v>177</v>
      </c>
      <c r="E15" s="101">
        <f t="shared" si="0"/>
        <v>250000000</v>
      </c>
      <c r="F15" s="101"/>
      <c r="G15" s="101">
        <v>150000000</v>
      </c>
      <c r="H15" s="101"/>
      <c r="I15" s="101"/>
      <c r="J15" s="101">
        <v>100000000</v>
      </c>
      <c r="K15" s="101"/>
      <c r="L15" s="98" t="s">
        <v>396</v>
      </c>
      <c r="M15" s="145" t="s">
        <v>406</v>
      </c>
    </row>
    <row r="16" spans="1:13" ht="57">
      <c r="A16" s="2218"/>
      <c r="B16" s="2221"/>
      <c r="C16" s="146">
        <v>320504</v>
      </c>
      <c r="D16" s="147" t="s">
        <v>393</v>
      </c>
      <c r="E16" s="148">
        <f t="shared" si="0"/>
        <v>0</v>
      </c>
      <c r="F16" s="148"/>
      <c r="G16" s="148"/>
      <c r="H16" s="148"/>
      <c r="I16" s="148"/>
      <c r="J16" s="148"/>
      <c r="K16" s="148"/>
      <c r="L16" s="149" t="s">
        <v>397</v>
      </c>
      <c r="M16" s="149" t="s">
        <v>405</v>
      </c>
    </row>
    <row r="17" spans="1:13" ht="63.95" customHeight="1">
      <c r="A17" s="219">
        <v>3206</v>
      </c>
      <c r="B17" s="220" t="s">
        <v>358</v>
      </c>
      <c r="C17" s="219">
        <v>320601</v>
      </c>
      <c r="D17" s="218" t="s">
        <v>166</v>
      </c>
      <c r="E17" s="95">
        <f t="shared" si="0"/>
        <v>157127600</v>
      </c>
      <c r="F17" s="95"/>
      <c r="G17" s="95"/>
      <c r="H17" s="95"/>
      <c r="I17" s="95"/>
      <c r="J17" s="95">
        <v>157127600</v>
      </c>
      <c r="K17" s="95"/>
      <c r="L17" s="144" t="s">
        <v>398</v>
      </c>
      <c r="M17" s="150" t="s">
        <v>407</v>
      </c>
    </row>
    <row r="18" spans="1:13">
      <c r="A18" s="221">
        <v>3208</v>
      </c>
      <c r="B18" s="222" t="s">
        <v>359</v>
      </c>
      <c r="C18" s="221">
        <v>320801</v>
      </c>
      <c r="D18" s="97" t="s">
        <v>32</v>
      </c>
      <c r="E18" s="101">
        <f t="shared" si="0"/>
        <v>740138303</v>
      </c>
      <c r="F18" s="101"/>
      <c r="G18" s="101"/>
      <c r="H18" s="101"/>
      <c r="I18" s="101"/>
      <c r="J18" s="101">
        <v>740138303</v>
      </c>
      <c r="K18" s="101"/>
      <c r="L18" s="98" t="s">
        <v>396</v>
      </c>
      <c r="M18" s="98" t="s">
        <v>408</v>
      </c>
    </row>
    <row r="19" spans="1:13" ht="60">
      <c r="A19" s="219">
        <v>3299</v>
      </c>
      <c r="B19" s="220" t="s">
        <v>360</v>
      </c>
      <c r="C19" s="219">
        <v>329901</v>
      </c>
      <c r="D19" s="218" t="s">
        <v>30</v>
      </c>
      <c r="E19" s="95">
        <f t="shared" si="0"/>
        <v>921189221</v>
      </c>
      <c r="F19" s="95"/>
      <c r="G19" s="95"/>
      <c r="H19" s="95"/>
      <c r="I19" s="95"/>
      <c r="J19" s="95">
        <v>749989221</v>
      </c>
      <c r="K19" s="95">
        <v>171200000</v>
      </c>
      <c r="L19" s="144" t="s">
        <v>398</v>
      </c>
      <c r="M19" s="150" t="s">
        <v>409</v>
      </c>
    </row>
    <row r="20" spans="1:13">
      <c r="A20" s="2210" t="s">
        <v>10</v>
      </c>
      <c r="B20" s="2211"/>
      <c r="C20" s="2210" t="s">
        <v>10</v>
      </c>
      <c r="D20" s="2211"/>
      <c r="E20" s="102">
        <f>SUM(E4:E19)</f>
        <v>24873867187</v>
      </c>
      <c r="F20" s="102"/>
      <c r="G20" s="102"/>
      <c r="H20" s="102"/>
      <c r="I20" s="102"/>
      <c r="J20" s="102"/>
      <c r="K20" s="102"/>
      <c r="L20" s="102"/>
      <c r="M20" s="102"/>
    </row>
  </sheetData>
  <mergeCells count="18">
    <mergeCell ref="A1:M1"/>
    <mergeCell ref="C2:C3"/>
    <mergeCell ref="D2:D3"/>
    <mergeCell ref="E2:E3"/>
    <mergeCell ref="F2:K2"/>
    <mergeCell ref="L2:L3"/>
    <mergeCell ref="M2:M3"/>
    <mergeCell ref="A20:B20"/>
    <mergeCell ref="C20:D20"/>
    <mergeCell ref="A2:A3"/>
    <mergeCell ref="A10:A11"/>
    <mergeCell ref="B10:B11"/>
    <mergeCell ref="A13:A16"/>
    <mergeCell ref="B13:B16"/>
    <mergeCell ref="A4:A6"/>
    <mergeCell ref="B4:B6"/>
    <mergeCell ref="A7:A9"/>
    <mergeCell ref="B7:B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N123"/>
  <sheetViews>
    <sheetView topLeftCell="A88" workbookViewId="0">
      <selection activeCell="C118" sqref="C118"/>
    </sheetView>
  </sheetViews>
  <sheetFormatPr baseColWidth="10" defaultColWidth="23" defaultRowHeight="12.75"/>
  <cols>
    <col min="1" max="1" width="4.140625" style="182" customWidth="1"/>
    <col min="2" max="2" width="4.42578125" style="1" bestFit="1" customWidth="1"/>
    <col min="3" max="3" width="43.85546875" style="3" customWidth="1"/>
    <col min="4" max="4" width="63" style="1" customWidth="1"/>
    <col min="5" max="9" width="9.140625" style="1" customWidth="1"/>
    <col min="10" max="16384" width="23" style="1"/>
  </cols>
  <sheetData>
    <row r="1" spans="1:9" ht="20.25">
      <c r="B1" s="2241" t="s">
        <v>168</v>
      </c>
      <c r="C1" s="2242"/>
      <c r="D1" s="2242"/>
      <c r="E1" s="2242"/>
      <c r="F1" s="2242"/>
      <c r="G1" s="2242"/>
      <c r="H1" s="2242"/>
      <c r="I1" s="2243"/>
    </row>
    <row r="2" spans="1:9" ht="23.25" customHeight="1">
      <c r="B2" s="2244" t="s">
        <v>131</v>
      </c>
      <c r="C2" s="2244"/>
      <c r="D2" s="2244"/>
      <c r="E2" s="2244"/>
      <c r="F2" s="2244"/>
      <c r="G2" s="2244"/>
      <c r="H2" s="2244"/>
      <c r="I2" s="2244"/>
    </row>
    <row r="3" spans="1:9">
      <c r="B3" s="78"/>
      <c r="C3" s="72"/>
      <c r="D3" s="78"/>
      <c r="E3" s="78"/>
      <c r="F3" s="78"/>
      <c r="G3" s="78"/>
      <c r="H3" s="78"/>
      <c r="I3" s="78"/>
    </row>
    <row r="4" spans="1:9" ht="28.5" customHeight="1">
      <c r="B4" s="2244" t="s">
        <v>130</v>
      </c>
      <c r="C4" s="2244"/>
      <c r="D4" s="2244"/>
      <c r="E4" s="2244"/>
      <c r="F4" s="2244"/>
      <c r="G4" s="2244"/>
      <c r="H4" s="2244"/>
      <c r="I4" s="2244"/>
    </row>
    <row r="5" spans="1:9" ht="33.75" customHeight="1">
      <c r="B5" s="79" t="s">
        <v>69</v>
      </c>
      <c r="C5" s="73" t="s">
        <v>62</v>
      </c>
      <c r="D5" s="73" t="s">
        <v>63</v>
      </c>
      <c r="E5" s="73" t="s">
        <v>138</v>
      </c>
      <c r="F5" s="73" t="s">
        <v>139</v>
      </c>
      <c r="G5" s="73" t="s">
        <v>140</v>
      </c>
      <c r="H5" s="73" t="s">
        <v>141</v>
      </c>
      <c r="I5" s="73" t="s">
        <v>142</v>
      </c>
    </row>
    <row r="6" spans="1:9" s="2" customFormat="1" ht="25.5">
      <c r="A6" s="2084"/>
      <c r="B6" s="72">
        <v>1</v>
      </c>
      <c r="C6" s="74" t="s">
        <v>84</v>
      </c>
      <c r="D6" s="72" t="s">
        <v>11</v>
      </c>
      <c r="E6" s="75">
        <v>100</v>
      </c>
      <c r="F6" s="75">
        <v>100</v>
      </c>
      <c r="G6" s="75">
        <v>100</v>
      </c>
      <c r="H6" s="75">
        <v>100</v>
      </c>
      <c r="I6" s="75">
        <v>100</v>
      </c>
    </row>
    <row r="7" spans="1:9" s="2" customFormat="1" ht="40.5" customHeight="1">
      <c r="A7" s="2084"/>
      <c r="B7" s="72">
        <v>2</v>
      </c>
      <c r="C7" s="72" t="s">
        <v>85</v>
      </c>
      <c r="D7" s="67" t="s">
        <v>0</v>
      </c>
      <c r="E7" s="72">
        <v>1</v>
      </c>
      <c r="F7" s="72">
        <v>1</v>
      </c>
      <c r="G7" s="72">
        <v>1</v>
      </c>
      <c r="H7" s="72">
        <v>1</v>
      </c>
      <c r="I7" s="72">
        <v>1</v>
      </c>
    </row>
    <row r="8" spans="1:9" ht="18.75" customHeight="1">
      <c r="B8" s="2244" t="s">
        <v>132</v>
      </c>
      <c r="C8" s="2244"/>
      <c r="D8" s="2244"/>
      <c r="E8" s="2244"/>
      <c r="F8" s="2244"/>
      <c r="G8" s="2244"/>
      <c r="H8" s="2244"/>
      <c r="I8" s="2244"/>
    </row>
    <row r="9" spans="1:9" ht="12.75" customHeight="1">
      <c r="B9" s="79" t="s">
        <v>69</v>
      </c>
      <c r="C9" s="73" t="s">
        <v>62</v>
      </c>
      <c r="D9" s="73" t="s">
        <v>63</v>
      </c>
      <c r="E9" s="73" t="s">
        <v>138</v>
      </c>
      <c r="F9" s="73" t="s">
        <v>139</v>
      </c>
      <c r="G9" s="73" t="s">
        <v>140</v>
      </c>
      <c r="H9" s="73" t="s">
        <v>141</v>
      </c>
      <c r="I9" s="73" t="s">
        <v>142</v>
      </c>
    </row>
    <row r="10" spans="1:9" s="2" customFormat="1" ht="25.5">
      <c r="A10" s="2084"/>
      <c r="B10" s="72">
        <v>3</v>
      </c>
      <c r="C10" s="74" t="s">
        <v>86</v>
      </c>
      <c r="D10" s="72" t="s">
        <v>148</v>
      </c>
      <c r="E10" s="72">
        <v>100</v>
      </c>
      <c r="F10" s="72">
        <v>100</v>
      </c>
      <c r="G10" s="72">
        <v>100</v>
      </c>
      <c r="H10" s="72">
        <v>100</v>
      </c>
      <c r="I10" s="72">
        <v>100</v>
      </c>
    </row>
    <row r="11" spans="1:9" ht="38.25">
      <c r="B11" s="72">
        <v>4</v>
      </c>
      <c r="C11" s="72" t="s">
        <v>5</v>
      </c>
      <c r="D11" s="67" t="s">
        <v>0</v>
      </c>
      <c r="E11" s="72">
        <v>1</v>
      </c>
      <c r="F11" s="72">
        <v>1</v>
      </c>
      <c r="G11" s="72">
        <v>1</v>
      </c>
      <c r="H11" s="72">
        <v>1</v>
      </c>
      <c r="I11" s="72">
        <v>1</v>
      </c>
    </row>
    <row r="12" spans="1:9" ht="23.25" customHeight="1">
      <c r="B12" s="2244" t="s">
        <v>153</v>
      </c>
      <c r="C12" s="2244"/>
      <c r="D12" s="2244"/>
      <c r="E12" s="2244"/>
      <c r="F12" s="2244"/>
      <c r="G12" s="2244"/>
      <c r="H12" s="2244"/>
      <c r="I12" s="2244"/>
    </row>
    <row r="13" spans="1:9" ht="33.75" customHeight="1">
      <c r="B13" s="79" t="s">
        <v>69</v>
      </c>
      <c r="C13" s="73" t="s">
        <v>62</v>
      </c>
      <c r="D13" s="73" t="s">
        <v>63</v>
      </c>
      <c r="E13" s="73" t="s">
        <v>138</v>
      </c>
      <c r="F13" s="73" t="s">
        <v>139</v>
      </c>
      <c r="G13" s="73" t="s">
        <v>140</v>
      </c>
      <c r="H13" s="73" t="s">
        <v>141</v>
      </c>
      <c r="I13" s="73" t="s">
        <v>142</v>
      </c>
    </row>
    <row r="14" spans="1:9" ht="38.25">
      <c r="B14" s="74">
        <v>5</v>
      </c>
      <c r="C14" s="72" t="s">
        <v>95</v>
      </c>
      <c r="D14" s="72" t="s">
        <v>46</v>
      </c>
      <c r="E14" s="72">
        <v>100</v>
      </c>
      <c r="F14" s="72">
        <v>100</v>
      </c>
      <c r="G14" s="72">
        <v>100</v>
      </c>
      <c r="H14" s="72">
        <v>100</v>
      </c>
      <c r="I14" s="72">
        <v>100</v>
      </c>
    </row>
    <row r="15" spans="1:9" ht="38.25">
      <c r="B15" s="74">
        <v>6</v>
      </c>
      <c r="C15" s="72" t="s">
        <v>97</v>
      </c>
      <c r="D15" s="72" t="s">
        <v>48</v>
      </c>
      <c r="E15" s="72">
        <v>100</v>
      </c>
      <c r="F15" s="72">
        <v>100</v>
      </c>
      <c r="G15" s="72">
        <v>100</v>
      </c>
      <c r="H15" s="72">
        <v>100</v>
      </c>
      <c r="I15" s="72">
        <v>100</v>
      </c>
    </row>
    <row r="16" spans="1:9" ht="19.5" customHeight="1">
      <c r="B16" s="74">
        <v>7</v>
      </c>
      <c r="C16" s="72" t="s">
        <v>98</v>
      </c>
      <c r="D16" s="72" t="s">
        <v>49</v>
      </c>
      <c r="E16" s="72">
        <v>70</v>
      </c>
      <c r="F16" s="72">
        <v>80</v>
      </c>
      <c r="G16" s="72">
        <v>90</v>
      </c>
      <c r="H16" s="72">
        <v>100</v>
      </c>
      <c r="I16" s="72">
        <v>100</v>
      </c>
    </row>
    <row r="17" spans="2:9" ht="38.25">
      <c r="B17" s="74">
        <v>8</v>
      </c>
      <c r="C17" s="72" t="s">
        <v>99</v>
      </c>
      <c r="D17" s="72" t="s">
        <v>50</v>
      </c>
      <c r="E17" s="72">
        <v>60</v>
      </c>
      <c r="F17" s="72">
        <v>60</v>
      </c>
      <c r="G17" s="72">
        <v>60</v>
      </c>
      <c r="H17" s="72">
        <v>60</v>
      </c>
      <c r="I17" s="72">
        <v>60</v>
      </c>
    </row>
    <row r="18" spans="2:9" ht="25.5">
      <c r="B18" s="74">
        <v>9</v>
      </c>
      <c r="C18" s="72" t="s">
        <v>100</v>
      </c>
      <c r="D18" s="72" t="s">
        <v>51</v>
      </c>
      <c r="E18" s="72">
        <v>70</v>
      </c>
      <c r="F18" s="72">
        <v>80</v>
      </c>
      <c r="G18" s="72">
        <v>80</v>
      </c>
      <c r="H18" s="72">
        <v>80</v>
      </c>
      <c r="I18" s="72">
        <v>80</v>
      </c>
    </row>
    <row r="19" spans="2:9" ht="19.5" customHeight="1">
      <c r="B19" s="74">
        <v>10</v>
      </c>
      <c r="C19" s="72" t="s">
        <v>101</v>
      </c>
      <c r="D19" s="72" t="s">
        <v>52</v>
      </c>
      <c r="E19" s="72">
        <v>20</v>
      </c>
      <c r="F19" s="72">
        <v>25</v>
      </c>
      <c r="G19" s="72">
        <v>30</v>
      </c>
      <c r="H19" s="72">
        <v>35</v>
      </c>
      <c r="I19" s="72">
        <v>35</v>
      </c>
    </row>
    <row r="20" spans="2:9" ht="51.75" customHeight="1">
      <c r="B20" s="74">
        <v>11</v>
      </c>
      <c r="C20" s="72" t="s">
        <v>103</v>
      </c>
      <c r="D20" s="72" t="s">
        <v>143</v>
      </c>
      <c r="E20" s="72">
        <v>60</v>
      </c>
      <c r="F20" s="72">
        <v>120</v>
      </c>
      <c r="G20" s="72">
        <v>120</v>
      </c>
      <c r="H20" s="72">
        <v>120</v>
      </c>
      <c r="I20" s="72">
        <v>420</v>
      </c>
    </row>
    <row r="21" spans="2:9" ht="39" customHeight="1">
      <c r="B21" s="74">
        <v>12</v>
      </c>
      <c r="C21" s="72" t="s">
        <v>104</v>
      </c>
      <c r="D21" s="72" t="s">
        <v>144</v>
      </c>
      <c r="E21" s="72">
        <v>1</v>
      </c>
      <c r="F21" s="72">
        <v>1</v>
      </c>
      <c r="G21" s="72">
        <v>1</v>
      </c>
      <c r="H21" s="72">
        <v>1</v>
      </c>
      <c r="I21" s="72">
        <v>1</v>
      </c>
    </row>
    <row r="22" spans="2:9" ht="25.5">
      <c r="B22" s="74">
        <v>13</v>
      </c>
      <c r="C22" s="72" t="s">
        <v>145</v>
      </c>
      <c r="D22" s="72" t="s">
        <v>53</v>
      </c>
      <c r="E22" s="72">
        <v>0</v>
      </c>
      <c r="F22" s="72">
        <v>1</v>
      </c>
      <c r="G22" s="72">
        <v>1</v>
      </c>
      <c r="H22" s="72">
        <v>0</v>
      </c>
      <c r="I22" s="72">
        <v>2</v>
      </c>
    </row>
    <row r="23" spans="2:9" ht="25.5">
      <c r="B23" s="74">
        <v>14</v>
      </c>
      <c r="C23" s="72" t="s">
        <v>105</v>
      </c>
      <c r="D23" s="72" t="s">
        <v>146</v>
      </c>
      <c r="E23" s="72">
        <v>100</v>
      </c>
      <c r="F23" s="72">
        <v>100</v>
      </c>
      <c r="G23" s="72">
        <v>100</v>
      </c>
      <c r="H23" s="72">
        <v>100</v>
      </c>
      <c r="I23" s="72">
        <v>100</v>
      </c>
    </row>
    <row r="24" spans="2:9" ht="25.5">
      <c r="B24" s="74">
        <v>15</v>
      </c>
      <c r="C24" s="72" t="s">
        <v>106</v>
      </c>
      <c r="D24" s="72" t="s">
        <v>147</v>
      </c>
      <c r="E24" s="72">
        <v>100</v>
      </c>
      <c r="F24" s="72">
        <v>100</v>
      </c>
      <c r="G24" s="72">
        <v>100</v>
      </c>
      <c r="H24" s="72">
        <v>100</v>
      </c>
      <c r="I24" s="72">
        <v>100</v>
      </c>
    </row>
    <row r="25" spans="2:9" ht="25.5">
      <c r="B25" s="76">
        <v>16</v>
      </c>
      <c r="C25" s="77" t="s">
        <v>38</v>
      </c>
      <c r="D25" s="67" t="s">
        <v>0</v>
      </c>
      <c r="E25" s="72">
        <v>1</v>
      </c>
      <c r="F25" s="72">
        <f>+E25</f>
        <v>1</v>
      </c>
      <c r="G25" s="72">
        <f>+F25</f>
        <v>1</v>
      </c>
      <c r="H25" s="72">
        <f>+G25</f>
        <v>1</v>
      </c>
      <c r="I25" s="72">
        <v>1</v>
      </c>
    </row>
    <row r="26" spans="2:9" ht="23.25" customHeight="1">
      <c r="B26" s="2235" t="s">
        <v>167</v>
      </c>
      <c r="C26" s="2235"/>
      <c r="D26" s="2235"/>
      <c r="E26" s="2235"/>
      <c r="F26" s="2235"/>
      <c r="G26" s="2235"/>
      <c r="H26" s="2235"/>
      <c r="I26" s="2235"/>
    </row>
    <row r="27" spans="2:9">
      <c r="B27" s="80"/>
      <c r="C27" s="74"/>
      <c r="D27" s="80"/>
      <c r="E27" s="80"/>
      <c r="F27" s="80"/>
      <c r="G27" s="80"/>
      <c r="H27" s="80"/>
      <c r="I27" s="80"/>
    </row>
    <row r="28" spans="2:9" ht="26.25" customHeight="1">
      <c r="B28" s="2235" t="s">
        <v>155</v>
      </c>
      <c r="C28" s="2235"/>
      <c r="D28" s="2235"/>
      <c r="E28" s="2235"/>
      <c r="F28" s="2235"/>
      <c r="G28" s="2235"/>
      <c r="H28" s="2235"/>
      <c r="I28" s="2235"/>
    </row>
    <row r="29" spans="2:9" ht="12.75" customHeight="1">
      <c r="B29" s="79" t="s">
        <v>69</v>
      </c>
      <c r="C29" s="73" t="s">
        <v>62</v>
      </c>
      <c r="D29" s="73" t="s">
        <v>63</v>
      </c>
      <c r="E29" s="73" t="s">
        <v>138</v>
      </c>
      <c r="F29" s="73" t="s">
        <v>139</v>
      </c>
      <c r="G29" s="73" t="s">
        <v>140</v>
      </c>
      <c r="H29" s="73" t="s">
        <v>141</v>
      </c>
      <c r="I29" s="73" t="s">
        <v>142</v>
      </c>
    </row>
    <row r="30" spans="2:9" ht="25.5">
      <c r="B30" s="74">
        <v>17</v>
      </c>
      <c r="C30" s="72" t="s">
        <v>64</v>
      </c>
      <c r="D30" s="72" t="s">
        <v>65</v>
      </c>
      <c r="E30" s="72">
        <v>30</v>
      </c>
      <c r="F30" s="72">
        <v>30</v>
      </c>
      <c r="G30" s="72">
        <v>30</v>
      </c>
      <c r="H30" s="72">
        <v>30</v>
      </c>
      <c r="I30" s="72">
        <v>120</v>
      </c>
    </row>
    <row r="31" spans="2:9" ht="38.25">
      <c r="B31" s="74">
        <v>18</v>
      </c>
      <c r="C31" s="72" t="s">
        <v>66</v>
      </c>
      <c r="D31" s="72" t="s">
        <v>33</v>
      </c>
      <c r="E31" s="72">
        <v>3</v>
      </c>
      <c r="F31" s="72">
        <v>3</v>
      </c>
      <c r="G31" s="72">
        <v>3</v>
      </c>
      <c r="H31" s="72">
        <v>3</v>
      </c>
      <c r="I31" s="72">
        <v>3</v>
      </c>
    </row>
    <row r="32" spans="2:9" ht="51">
      <c r="B32" s="74">
        <v>19</v>
      </c>
      <c r="C32" s="72" t="s">
        <v>67</v>
      </c>
      <c r="D32" s="72" t="s">
        <v>149</v>
      </c>
      <c r="E32" s="72">
        <v>2</v>
      </c>
      <c r="F32" s="72">
        <v>2</v>
      </c>
      <c r="G32" s="72">
        <v>2</v>
      </c>
      <c r="H32" s="72">
        <v>1</v>
      </c>
      <c r="I32" s="72">
        <v>7</v>
      </c>
    </row>
    <row r="33" spans="1:14" ht="51">
      <c r="B33" s="74">
        <v>20</v>
      </c>
      <c r="C33" s="72" t="s">
        <v>68</v>
      </c>
      <c r="D33" s="72" t="s">
        <v>150</v>
      </c>
      <c r="E33" s="2085">
        <v>3</v>
      </c>
      <c r="F33" s="2085">
        <v>2</v>
      </c>
      <c r="G33" s="2085">
        <v>1</v>
      </c>
      <c r="H33" s="2085">
        <v>1</v>
      </c>
      <c r="I33" s="2085">
        <v>7</v>
      </c>
      <c r="N33" s="275"/>
    </row>
    <row r="34" spans="1:14" ht="25.5">
      <c r="B34" s="74">
        <v>21</v>
      </c>
      <c r="C34" s="72" t="s">
        <v>70</v>
      </c>
      <c r="D34" s="72" t="s">
        <v>34</v>
      </c>
      <c r="E34" s="72">
        <v>57</v>
      </c>
      <c r="F34" s="72">
        <v>67</v>
      </c>
      <c r="G34" s="72">
        <v>83</v>
      </c>
      <c r="H34" s="72">
        <v>100</v>
      </c>
      <c r="I34" s="72">
        <v>100</v>
      </c>
      <c r="J34"/>
      <c r="K34"/>
      <c r="L34"/>
      <c r="M34"/>
      <c r="N34"/>
    </row>
    <row r="35" spans="1:14" ht="25.5">
      <c r="B35" s="74">
        <v>22</v>
      </c>
      <c r="C35" s="72" t="s">
        <v>71</v>
      </c>
      <c r="D35" s="72" t="s">
        <v>35</v>
      </c>
      <c r="E35" s="72">
        <v>100</v>
      </c>
      <c r="F35" s="72">
        <v>100</v>
      </c>
      <c r="G35" s="72">
        <v>100</v>
      </c>
      <c r="H35" s="72">
        <v>100</v>
      </c>
      <c r="I35" s="72">
        <v>100</v>
      </c>
    </row>
    <row r="36" spans="1:14" ht="25.5">
      <c r="B36" s="74">
        <v>23</v>
      </c>
      <c r="C36" s="72" t="s">
        <v>72</v>
      </c>
      <c r="D36" s="72" t="s">
        <v>73</v>
      </c>
      <c r="E36" s="72">
        <v>100</v>
      </c>
      <c r="F36" s="72">
        <v>100</v>
      </c>
      <c r="G36" s="72">
        <v>100</v>
      </c>
      <c r="H36" s="72">
        <v>100</v>
      </c>
      <c r="I36" s="72">
        <v>100</v>
      </c>
    </row>
    <row r="37" spans="1:14" ht="27.75" customHeight="1">
      <c r="B37" s="74">
        <v>24</v>
      </c>
      <c r="C37" s="75" t="s">
        <v>74</v>
      </c>
      <c r="D37" s="72" t="s">
        <v>36</v>
      </c>
      <c r="E37" s="72">
        <v>25</v>
      </c>
      <c r="F37" s="72">
        <v>25</v>
      </c>
      <c r="G37" s="72">
        <v>25</v>
      </c>
      <c r="H37" s="72">
        <v>25</v>
      </c>
      <c r="I37" s="72">
        <v>100</v>
      </c>
    </row>
    <row r="38" spans="1:14" ht="25.5">
      <c r="B38" s="74">
        <v>25</v>
      </c>
      <c r="C38" s="72" t="s">
        <v>75</v>
      </c>
      <c r="D38" s="72" t="s">
        <v>37</v>
      </c>
      <c r="E38" s="72">
        <v>100</v>
      </c>
      <c r="F38" s="72">
        <v>100</v>
      </c>
      <c r="G38" s="72">
        <v>100</v>
      </c>
      <c r="H38" s="72">
        <v>100</v>
      </c>
      <c r="I38" s="72">
        <v>100</v>
      </c>
    </row>
    <row r="39" spans="1:14" ht="25.5">
      <c r="B39" s="74">
        <v>26</v>
      </c>
      <c r="C39" s="77" t="s">
        <v>38</v>
      </c>
      <c r="D39" s="67" t="s">
        <v>0</v>
      </c>
      <c r="E39" s="72">
        <v>1</v>
      </c>
      <c r="F39" s="72">
        <f>+E39</f>
        <v>1</v>
      </c>
      <c r="G39" s="72">
        <f>+F39</f>
        <v>1</v>
      </c>
      <c r="H39" s="72">
        <f>+G39</f>
        <v>1</v>
      </c>
      <c r="I39" s="72">
        <v>1</v>
      </c>
    </row>
    <row r="40" spans="1:14" ht="27" customHeight="1">
      <c r="B40" s="2235" t="s">
        <v>151</v>
      </c>
      <c r="C40" s="2235"/>
      <c r="D40" s="2235"/>
      <c r="E40" s="2235"/>
      <c r="F40" s="2235"/>
      <c r="G40" s="2235"/>
      <c r="H40" s="2235"/>
      <c r="I40" s="2235"/>
    </row>
    <row r="41" spans="1:14" ht="12.75" customHeight="1">
      <c r="B41" s="79" t="s">
        <v>69</v>
      </c>
      <c r="C41" s="73" t="s">
        <v>62</v>
      </c>
      <c r="D41" s="73" t="s">
        <v>63</v>
      </c>
      <c r="E41" s="73" t="s">
        <v>138</v>
      </c>
      <c r="F41" s="73" t="s">
        <v>139</v>
      </c>
      <c r="G41" s="73" t="s">
        <v>140</v>
      </c>
      <c r="H41" s="73" t="s">
        <v>141</v>
      </c>
      <c r="I41" s="73" t="s">
        <v>142</v>
      </c>
    </row>
    <row r="42" spans="1:14" ht="38.25">
      <c r="B42" s="74">
        <v>27</v>
      </c>
      <c r="C42" s="72" t="s">
        <v>102</v>
      </c>
      <c r="D42" s="72" t="s">
        <v>133</v>
      </c>
      <c r="E42" s="72">
        <v>1</v>
      </c>
      <c r="F42" s="72">
        <v>1</v>
      </c>
      <c r="G42" s="72">
        <v>1</v>
      </c>
      <c r="H42" s="72">
        <v>1</v>
      </c>
      <c r="I42" s="72">
        <v>1</v>
      </c>
    </row>
    <row r="43" spans="1:14" ht="44.25" customHeight="1">
      <c r="B43" s="74">
        <v>28</v>
      </c>
      <c r="C43" s="72" t="s">
        <v>135</v>
      </c>
      <c r="D43" s="72" t="s">
        <v>134</v>
      </c>
      <c r="E43" s="72">
        <v>1</v>
      </c>
      <c r="F43" s="72">
        <v>1</v>
      </c>
      <c r="G43" s="72">
        <v>1</v>
      </c>
      <c r="H43" s="72">
        <v>1</v>
      </c>
      <c r="I43" s="72">
        <v>1</v>
      </c>
    </row>
    <row r="44" spans="1:14" ht="51">
      <c r="B44" s="74">
        <v>29</v>
      </c>
      <c r="C44" s="72" t="s">
        <v>136</v>
      </c>
      <c r="D44" s="72" t="s">
        <v>137</v>
      </c>
      <c r="E44" s="72">
        <v>1</v>
      </c>
      <c r="F44" s="72">
        <v>1</v>
      </c>
      <c r="G44" s="72">
        <v>1</v>
      </c>
      <c r="H44" s="72">
        <v>1</v>
      </c>
      <c r="I44" s="72">
        <v>1</v>
      </c>
    </row>
    <row r="45" spans="1:14" ht="31.5" customHeight="1">
      <c r="B45" s="2235" t="s">
        <v>163</v>
      </c>
      <c r="C45" s="2235"/>
      <c r="D45" s="2235"/>
      <c r="E45" s="2235"/>
      <c r="F45" s="2235"/>
      <c r="G45" s="2235"/>
      <c r="H45" s="2235"/>
      <c r="I45" s="2235"/>
    </row>
    <row r="46" spans="1:14">
      <c r="B46" s="80"/>
      <c r="C46" s="74"/>
      <c r="D46" s="80"/>
      <c r="E46" s="80"/>
      <c r="F46" s="80"/>
      <c r="G46" s="80"/>
      <c r="H46" s="80"/>
      <c r="I46" s="80"/>
    </row>
    <row r="47" spans="1:14" ht="12.75" customHeight="1">
      <c r="B47" s="79" t="s">
        <v>69</v>
      </c>
      <c r="C47" s="73" t="s">
        <v>62</v>
      </c>
      <c r="D47" s="73" t="s">
        <v>63</v>
      </c>
      <c r="E47" s="73" t="s">
        <v>152</v>
      </c>
      <c r="F47" s="73" t="s">
        <v>139</v>
      </c>
      <c r="G47" s="73" t="s">
        <v>140</v>
      </c>
      <c r="H47" s="73" t="s">
        <v>141</v>
      </c>
      <c r="I47" s="73" t="s">
        <v>142</v>
      </c>
    </row>
    <row r="48" spans="1:14" s="2" customFormat="1" ht="30.75" customHeight="1">
      <c r="A48" s="2084"/>
      <c r="B48" s="72">
        <v>30</v>
      </c>
      <c r="C48" s="72" t="s">
        <v>154</v>
      </c>
      <c r="D48" s="72" t="s">
        <v>78</v>
      </c>
      <c r="E48" s="72">
        <v>100</v>
      </c>
      <c r="F48" s="72">
        <v>100</v>
      </c>
      <c r="G48" s="72">
        <v>100</v>
      </c>
      <c r="H48" s="72">
        <v>100</v>
      </c>
      <c r="I48" s="72">
        <v>100</v>
      </c>
    </row>
    <row r="49" spans="1:9" s="2" customFormat="1" ht="25.5">
      <c r="A49" s="2084"/>
      <c r="B49" s="72">
        <v>31</v>
      </c>
      <c r="C49" s="75" t="s">
        <v>79</v>
      </c>
      <c r="D49" s="72" t="s">
        <v>60</v>
      </c>
      <c r="E49" s="72">
        <v>100</v>
      </c>
      <c r="F49" s="72">
        <v>100</v>
      </c>
      <c r="G49" s="72">
        <v>100</v>
      </c>
      <c r="H49" s="72">
        <v>100</v>
      </c>
      <c r="I49" s="72">
        <v>100</v>
      </c>
    </row>
    <row r="50" spans="1:9" s="2" customFormat="1" ht="25.5">
      <c r="A50" s="2084"/>
      <c r="B50" s="72">
        <v>32</v>
      </c>
      <c r="C50" s="75" t="s">
        <v>80</v>
      </c>
      <c r="D50" s="72" t="s">
        <v>42</v>
      </c>
      <c r="E50" s="72">
        <v>500</v>
      </c>
      <c r="F50" s="72">
        <v>300</v>
      </c>
      <c r="G50" s="72">
        <v>300</v>
      </c>
      <c r="H50" s="72">
        <v>300</v>
      </c>
      <c r="I50" s="72">
        <v>1400</v>
      </c>
    </row>
    <row r="51" spans="1:9" s="2" customFormat="1" ht="38.25" customHeight="1">
      <c r="A51" s="2084"/>
      <c r="B51" s="72">
        <v>33</v>
      </c>
      <c r="C51" s="75" t="s">
        <v>81</v>
      </c>
      <c r="D51" s="72" t="s">
        <v>43</v>
      </c>
      <c r="E51" s="72">
        <v>100</v>
      </c>
      <c r="F51" s="72">
        <v>100</v>
      </c>
      <c r="G51" s="72">
        <v>100</v>
      </c>
      <c r="H51" s="72">
        <v>100</v>
      </c>
      <c r="I51" s="72">
        <v>100</v>
      </c>
    </row>
    <row r="52" spans="1:9" s="2" customFormat="1" ht="59.25" customHeight="1">
      <c r="A52" s="2084"/>
      <c r="B52" s="72">
        <v>34</v>
      </c>
      <c r="C52" s="75" t="s">
        <v>82</v>
      </c>
      <c r="D52" s="72" t="s">
        <v>44</v>
      </c>
      <c r="E52" s="72">
        <v>340</v>
      </c>
      <c r="F52" s="72">
        <v>50</v>
      </c>
      <c r="G52" s="72">
        <v>110</v>
      </c>
      <c r="H52" s="72">
        <v>110</v>
      </c>
      <c r="I52" s="72">
        <f>SUM(E52:H52)</f>
        <v>610</v>
      </c>
    </row>
    <row r="53" spans="1:9" s="2" customFormat="1" ht="12.75" customHeight="1">
      <c r="A53" s="2084"/>
      <c r="B53" s="80"/>
      <c r="C53" s="74"/>
      <c r="D53" s="80"/>
      <c r="E53" s="80"/>
      <c r="F53" s="80"/>
      <c r="G53" s="80"/>
      <c r="H53" s="80"/>
      <c r="I53" s="80"/>
    </row>
    <row r="54" spans="1:9" ht="22.5" customHeight="1">
      <c r="B54" s="2236" t="s">
        <v>61</v>
      </c>
      <c r="C54" s="2236"/>
      <c r="D54" s="2236"/>
      <c r="E54" s="2236"/>
      <c r="F54" s="2236"/>
      <c r="G54" s="2236"/>
      <c r="H54" s="2236"/>
      <c r="I54" s="2236"/>
    </row>
    <row r="55" spans="1:9" s="1628" customFormat="1">
      <c r="A55" s="2086"/>
      <c r="B55" s="81"/>
      <c r="C55" s="81"/>
      <c r="D55" s="81"/>
      <c r="E55" s="81"/>
      <c r="F55" s="81"/>
      <c r="G55" s="81"/>
      <c r="H55" s="81"/>
      <c r="I55" s="81"/>
    </row>
    <row r="56" spans="1:9" ht="18.75" customHeight="1">
      <c r="B56" s="2237" t="s">
        <v>128</v>
      </c>
      <c r="C56" s="2237"/>
      <c r="D56" s="2237"/>
      <c r="E56" s="2237"/>
      <c r="F56" s="2237"/>
      <c r="G56" s="2237"/>
      <c r="H56" s="2237"/>
      <c r="I56" s="2237"/>
    </row>
    <row r="57" spans="1:9" ht="25.5">
      <c r="B57" s="79" t="s">
        <v>69</v>
      </c>
      <c r="C57" s="73" t="s">
        <v>62</v>
      </c>
      <c r="D57" s="73" t="s">
        <v>63</v>
      </c>
      <c r="E57" s="73" t="s">
        <v>138</v>
      </c>
      <c r="F57" s="73" t="s">
        <v>139</v>
      </c>
      <c r="G57" s="73" t="s">
        <v>140</v>
      </c>
      <c r="H57" s="73" t="s">
        <v>141</v>
      </c>
      <c r="I57" s="73" t="s">
        <v>142</v>
      </c>
    </row>
    <row r="58" spans="1:9" ht="12.75" customHeight="1">
      <c r="B58" s="72">
        <v>35</v>
      </c>
      <c r="C58" s="72" t="s">
        <v>76</v>
      </c>
      <c r="D58" s="72" t="s">
        <v>39</v>
      </c>
      <c r="E58" s="72">
        <v>30</v>
      </c>
      <c r="F58" s="72">
        <v>36</v>
      </c>
      <c r="G58" s="72">
        <v>60</v>
      </c>
      <c r="H58" s="72">
        <v>100</v>
      </c>
      <c r="I58" s="72">
        <v>100</v>
      </c>
    </row>
    <row r="59" spans="1:9" s="2" customFormat="1" ht="51">
      <c r="A59" s="2084"/>
      <c r="B59" s="72">
        <v>36</v>
      </c>
      <c r="C59" s="72" t="s">
        <v>77</v>
      </c>
      <c r="D59" s="72" t="s">
        <v>40</v>
      </c>
      <c r="E59" s="72">
        <v>100</v>
      </c>
      <c r="F59" s="72">
        <v>100</v>
      </c>
      <c r="G59" s="72">
        <v>100</v>
      </c>
      <c r="H59" s="72">
        <v>100</v>
      </c>
      <c r="I59" s="72">
        <v>100</v>
      </c>
    </row>
    <row r="60" spans="1:9" s="2" customFormat="1" ht="76.5">
      <c r="A60" s="2084"/>
      <c r="B60" s="72">
        <v>37</v>
      </c>
      <c r="C60" s="75" t="s">
        <v>83</v>
      </c>
      <c r="D60" s="75" t="s">
        <v>415</v>
      </c>
      <c r="E60" s="75">
        <v>1</v>
      </c>
      <c r="F60" s="72">
        <v>1</v>
      </c>
      <c r="G60" s="72">
        <v>1</v>
      </c>
      <c r="H60" s="72">
        <v>1</v>
      </c>
      <c r="I60" s="75">
        <v>1</v>
      </c>
    </row>
    <row r="61" spans="1:9" s="2" customFormat="1" ht="15.75" customHeight="1">
      <c r="A61" s="2084"/>
      <c r="B61" s="74"/>
      <c r="C61" s="75"/>
      <c r="D61" s="72"/>
      <c r="E61" s="72"/>
      <c r="F61" s="72"/>
      <c r="G61" s="72"/>
      <c r="H61" s="72"/>
      <c r="I61" s="72"/>
    </row>
    <row r="62" spans="1:9" ht="22.5" customHeight="1">
      <c r="B62" s="2238" t="s">
        <v>129</v>
      </c>
      <c r="C62" s="2238"/>
      <c r="D62" s="2238"/>
      <c r="E62" s="2238"/>
      <c r="F62" s="2238"/>
      <c r="G62" s="2238"/>
      <c r="H62" s="2238"/>
      <c r="I62" s="2238"/>
    </row>
    <row r="63" spans="1:9" ht="15.75" customHeight="1">
      <c r="B63" s="79" t="s">
        <v>69</v>
      </c>
      <c r="C63" s="73" t="s">
        <v>62</v>
      </c>
      <c r="D63" s="73" t="s">
        <v>63</v>
      </c>
      <c r="E63" s="73" t="s">
        <v>138</v>
      </c>
      <c r="F63" s="73" t="s">
        <v>139</v>
      </c>
      <c r="G63" s="73" t="s">
        <v>140</v>
      </c>
      <c r="H63" s="73" t="s">
        <v>141</v>
      </c>
      <c r="I63" s="73" t="s">
        <v>142</v>
      </c>
    </row>
    <row r="64" spans="1:9" ht="12.75" customHeight="1">
      <c r="B64" s="74">
        <v>38</v>
      </c>
      <c r="C64" s="72" t="s">
        <v>93</v>
      </c>
      <c r="D64" s="72" t="s">
        <v>45</v>
      </c>
      <c r="E64" s="72">
        <v>100</v>
      </c>
      <c r="F64" s="72">
        <v>100</v>
      </c>
      <c r="G64" s="72">
        <v>100</v>
      </c>
      <c r="H64" s="72">
        <v>100</v>
      </c>
      <c r="I64" s="75">
        <v>100</v>
      </c>
    </row>
    <row r="65" spans="1:9" ht="25.5">
      <c r="B65" s="74">
        <v>39</v>
      </c>
      <c r="C65" s="72" t="s">
        <v>96</v>
      </c>
      <c r="D65" s="72" t="s">
        <v>47</v>
      </c>
      <c r="E65" s="72">
        <v>100</v>
      </c>
      <c r="F65" s="72">
        <v>100</v>
      </c>
      <c r="G65" s="72">
        <v>100</v>
      </c>
      <c r="H65" s="72">
        <v>100</v>
      </c>
      <c r="I65" s="75">
        <v>100</v>
      </c>
    </row>
    <row r="66" spans="1:9" ht="25.5">
      <c r="B66" s="74">
        <v>40</v>
      </c>
      <c r="C66" s="72" t="s">
        <v>109</v>
      </c>
      <c r="D66" s="72" t="s">
        <v>56</v>
      </c>
      <c r="E66" s="72">
        <v>20</v>
      </c>
      <c r="F66" s="72">
        <v>60</v>
      </c>
      <c r="G66" s="72">
        <v>80</v>
      </c>
      <c r="H66" s="72">
        <v>100</v>
      </c>
      <c r="I66" s="75">
        <v>100</v>
      </c>
    </row>
    <row r="67" spans="1:9" ht="38.25" customHeight="1">
      <c r="B67" s="74">
        <v>41</v>
      </c>
      <c r="C67" s="72" t="s">
        <v>110</v>
      </c>
      <c r="D67" s="72" t="s">
        <v>57</v>
      </c>
      <c r="E67" s="72">
        <v>20</v>
      </c>
      <c r="F67" s="72">
        <v>60</v>
      </c>
      <c r="G67" s="72">
        <v>80</v>
      </c>
      <c r="H67" s="72">
        <v>100</v>
      </c>
      <c r="I67" s="75">
        <v>100</v>
      </c>
    </row>
    <row r="68" spans="1:9" ht="42.75" customHeight="1">
      <c r="B68" s="74">
        <v>42</v>
      </c>
      <c r="C68" s="72" t="s">
        <v>58</v>
      </c>
      <c r="D68" s="72" t="s">
        <v>58</v>
      </c>
      <c r="E68" s="72">
        <v>1</v>
      </c>
      <c r="F68" s="72">
        <v>1</v>
      </c>
      <c r="G68" s="72">
        <v>1</v>
      </c>
      <c r="H68" s="72">
        <v>1</v>
      </c>
      <c r="I68" s="75">
        <v>1</v>
      </c>
    </row>
    <row r="69" spans="1:9" ht="25.5">
      <c r="B69" s="74">
        <v>43</v>
      </c>
      <c r="C69" s="72" t="s">
        <v>111</v>
      </c>
      <c r="D69" s="72" t="s">
        <v>59</v>
      </c>
      <c r="E69" s="72">
        <v>0</v>
      </c>
      <c r="F69" s="72">
        <v>0</v>
      </c>
      <c r="G69" s="72">
        <v>6</v>
      </c>
      <c r="H69" s="72">
        <v>7</v>
      </c>
      <c r="I69" s="75">
        <v>13</v>
      </c>
    </row>
    <row r="70" spans="1:9">
      <c r="B70" s="72">
        <v>44</v>
      </c>
      <c r="C70" s="72" t="s">
        <v>89</v>
      </c>
      <c r="D70" s="75" t="s">
        <v>3</v>
      </c>
      <c r="E70" s="72">
        <v>100</v>
      </c>
      <c r="F70" s="75">
        <v>100</v>
      </c>
      <c r="G70" s="75">
        <v>100</v>
      </c>
      <c r="H70" s="75">
        <v>100</v>
      </c>
      <c r="I70" s="75">
        <v>100</v>
      </c>
    </row>
    <row r="71" spans="1:9" s="2" customFormat="1" ht="13.5" customHeight="1">
      <c r="A71" s="2084"/>
      <c r="B71" s="80"/>
      <c r="C71" s="74"/>
      <c r="D71" s="80"/>
      <c r="E71" s="80"/>
      <c r="F71" s="80"/>
      <c r="G71" s="80"/>
      <c r="H71" s="80"/>
      <c r="I71" s="80"/>
    </row>
    <row r="72" spans="1:9" ht="21" customHeight="1">
      <c r="B72" s="2239" t="s">
        <v>120</v>
      </c>
      <c r="C72" s="2239"/>
      <c r="D72" s="2239"/>
      <c r="E72" s="2239"/>
      <c r="F72" s="2239"/>
      <c r="G72" s="2239"/>
      <c r="H72" s="2239"/>
      <c r="I72" s="2239"/>
    </row>
    <row r="73" spans="1:9" s="1628" customFormat="1">
      <c r="A73" s="2086"/>
      <c r="B73" s="87"/>
      <c r="C73" s="87"/>
      <c r="D73" s="87"/>
      <c r="E73" s="87"/>
      <c r="F73" s="87"/>
      <c r="G73" s="87"/>
      <c r="H73" s="87"/>
      <c r="I73" s="87"/>
    </row>
    <row r="74" spans="1:9" ht="21.75" customHeight="1">
      <c r="B74" s="2240" t="s">
        <v>349</v>
      </c>
      <c r="C74" s="2240"/>
      <c r="D74" s="2240"/>
      <c r="E74" s="2240"/>
      <c r="F74" s="2240"/>
      <c r="G74" s="2240"/>
      <c r="H74" s="2240"/>
      <c r="I74" s="2240"/>
    </row>
    <row r="75" spans="1:9" ht="25.5">
      <c r="B75" s="79" t="s">
        <v>94</v>
      </c>
      <c r="C75" s="73" t="s">
        <v>62</v>
      </c>
      <c r="D75" s="73" t="s">
        <v>63</v>
      </c>
      <c r="E75" s="73" t="s">
        <v>138</v>
      </c>
      <c r="F75" s="73" t="s">
        <v>139</v>
      </c>
      <c r="G75" s="73" t="s">
        <v>140</v>
      </c>
      <c r="H75" s="73" t="s">
        <v>141</v>
      </c>
      <c r="I75" s="73" t="s">
        <v>142</v>
      </c>
    </row>
    <row r="76" spans="1:9" ht="12.75" customHeight="1">
      <c r="B76" s="74">
        <v>45</v>
      </c>
      <c r="C76" s="74" t="s">
        <v>107</v>
      </c>
      <c r="D76" s="74" t="s">
        <v>54</v>
      </c>
      <c r="E76" s="74">
        <v>100</v>
      </c>
      <c r="F76" s="74">
        <v>100</v>
      </c>
      <c r="G76" s="74">
        <v>100</v>
      </c>
      <c r="H76" s="74">
        <v>100</v>
      </c>
      <c r="I76" s="82">
        <v>100</v>
      </c>
    </row>
    <row r="77" spans="1:9" ht="25.5">
      <c r="B77" s="74">
        <v>46</v>
      </c>
      <c r="C77" s="74" t="s">
        <v>108</v>
      </c>
      <c r="D77" s="72" t="s">
        <v>55</v>
      </c>
      <c r="E77" s="72">
        <v>90</v>
      </c>
      <c r="F77" s="72">
        <v>90</v>
      </c>
      <c r="G77" s="72">
        <v>90</v>
      </c>
      <c r="H77" s="72">
        <v>90</v>
      </c>
      <c r="I77" s="75">
        <v>90</v>
      </c>
    </row>
    <row r="78" spans="1:9">
      <c r="B78" s="80"/>
      <c r="C78" s="74"/>
      <c r="D78" s="80"/>
      <c r="E78" s="80"/>
      <c r="F78" s="80"/>
      <c r="G78" s="80"/>
      <c r="H78" s="80"/>
      <c r="I78" s="80"/>
    </row>
    <row r="79" spans="1:9" ht="24.75" customHeight="1">
      <c r="B79" s="2231" t="s">
        <v>157</v>
      </c>
      <c r="C79" s="2231"/>
      <c r="D79" s="2231"/>
      <c r="E79" s="2231"/>
      <c r="F79" s="2231"/>
      <c r="G79" s="2231"/>
      <c r="H79" s="2231"/>
      <c r="I79" s="2231"/>
    </row>
    <row r="80" spans="1:9" ht="12.75" customHeight="1">
      <c r="B80" s="80"/>
      <c r="C80" s="83"/>
      <c r="D80" s="84"/>
      <c r="E80" s="84"/>
      <c r="F80" s="84"/>
      <c r="G80" s="84"/>
      <c r="H80" s="84"/>
      <c r="I80" s="84"/>
    </row>
    <row r="81" spans="1:9" ht="21.75" customHeight="1">
      <c r="B81" s="2231" t="s">
        <v>156</v>
      </c>
      <c r="C81" s="2231"/>
      <c r="D81" s="2231"/>
      <c r="E81" s="2231"/>
      <c r="F81" s="2231"/>
      <c r="G81" s="2231"/>
      <c r="H81" s="2231"/>
      <c r="I81" s="2231"/>
    </row>
    <row r="82" spans="1:9" ht="25.5">
      <c r="B82" s="79" t="s">
        <v>69</v>
      </c>
      <c r="C82" s="73" t="s">
        <v>62</v>
      </c>
      <c r="D82" s="73" t="s">
        <v>63</v>
      </c>
      <c r="E82" s="73" t="s">
        <v>138</v>
      </c>
      <c r="F82" s="73" t="s">
        <v>139</v>
      </c>
      <c r="G82" s="73" t="s">
        <v>140</v>
      </c>
      <c r="H82" s="73" t="s">
        <v>141</v>
      </c>
      <c r="I82" s="73" t="s">
        <v>142</v>
      </c>
    </row>
    <row r="83" spans="1:9" ht="12.75" customHeight="1">
      <c r="B83" s="74">
        <v>47</v>
      </c>
      <c r="C83" s="74" t="s">
        <v>87</v>
      </c>
      <c r="D83" s="72" t="s">
        <v>1</v>
      </c>
      <c r="E83" s="72">
        <v>100</v>
      </c>
      <c r="F83" s="72">
        <v>100</v>
      </c>
      <c r="G83" s="72">
        <v>100</v>
      </c>
      <c r="H83" s="72">
        <v>100</v>
      </c>
      <c r="I83" s="72">
        <v>100</v>
      </c>
    </row>
    <row r="84" spans="1:9" ht="25.5">
      <c r="B84" s="85">
        <v>48</v>
      </c>
      <c r="C84" s="85" t="s">
        <v>0</v>
      </c>
      <c r="D84" s="67" t="s">
        <v>0</v>
      </c>
      <c r="E84" s="37">
        <v>1</v>
      </c>
      <c r="F84" s="37">
        <v>1</v>
      </c>
      <c r="G84" s="37">
        <v>1</v>
      </c>
      <c r="H84" s="37">
        <v>1</v>
      </c>
      <c r="I84" s="86">
        <v>1</v>
      </c>
    </row>
    <row r="85" spans="1:9" s="5" customFormat="1" ht="14.25" customHeight="1">
      <c r="A85" s="2087"/>
      <c r="B85" s="80"/>
      <c r="C85" s="74"/>
      <c r="D85" s="72"/>
      <c r="E85" s="72"/>
      <c r="F85" s="72"/>
      <c r="G85" s="72"/>
      <c r="H85" s="72"/>
      <c r="I85" s="72"/>
    </row>
    <row r="86" spans="1:9" ht="20.25" customHeight="1">
      <c r="B86" s="2231" t="s">
        <v>170</v>
      </c>
      <c r="C86" s="2231"/>
      <c r="D86" s="2231"/>
      <c r="E86" s="2231"/>
      <c r="F86" s="2231"/>
      <c r="G86" s="2231"/>
      <c r="H86" s="2231"/>
      <c r="I86" s="2231"/>
    </row>
    <row r="87" spans="1:9" ht="34.5" customHeight="1">
      <c r="B87" s="79" t="s">
        <v>69</v>
      </c>
      <c r="C87" s="73" t="s">
        <v>62</v>
      </c>
      <c r="D87" s="73" t="s">
        <v>63</v>
      </c>
      <c r="E87" s="73" t="s">
        <v>138</v>
      </c>
      <c r="F87" s="73" t="s">
        <v>139</v>
      </c>
      <c r="G87" s="73" t="s">
        <v>140</v>
      </c>
      <c r="H87" s="73" t="s">
        <v>141</v>
      </c>
      <c r="I87" s="73" t="s">
        <v>142</v>
      </c>
    </row>
    <row r="88" spans="1:9" ht="12.75" customHeight="1">
      <c r="B88" s="74">
        <v>49</v>
      </c>
      <c r="C88" s="74" t="s">
        <v>90</v>
      </c>
      <c r="D88" s="75" t="s">
        <v>173</v>
      </c>
      <c r="E88" s="75">
        <v>100</v>
      </c>
      <c r="F88" s="75">
        <v>100</v>
      </c>
      <c r="G88" s="75">
        <v>100</v>
      </c>
      <c r="H88" s="75">
        <v>100</v>
      </c>
      <c r="I88" s="75">
        <v>100</v>
      </c>
    </row>
    <row r="89" spans="1:9">
      <c r="B89" s="74">
        <v>50</v>
      </c>
      <c r="C89" s="82" t="s">
        <v>91</v>
      </c>
      <c r="D89" s="75" t="s">
        <v>174</v>
      </c>
      <c r="E89" s="75">
        <v>100</v>
      </c>
      <c r="F89" s="75">
        <v>100</v>
      </c>
      <c r="G89" s="75">
        <v>100</v>
      </c>
      <c r="H89" s="75">
        <v>100</v>
      </c>
      <c r="I89" s="75">
        <v>100</v>
      </c>
    </row>
    <row r="90" spans="1:9" ht="20.25" customHeight="1">
      <c r="B90" s="2231" t="s">
        <v>176</v>
      </c>
      <c r="C90" s="2231"/>
      <c r="D90" s="2231"/>
      <c r="E90" s="2231"/>
      <c r="F90" s="2231"/>
      <c r="G90" s="2231"/>
      <c r="H90" s="2231"/>
      <c r="I90" s="2231"/>
    </row>
    <row r="91" spans="1:9" ht="12.75" customHeight="1">
      <c r="B91" s="80"/>
      <c r="C91" s="83"/>
      <c r="D91" s="84"/>
      <c r="E91" s="84"/>
      <c r="F91" s="84"/>
      <c r="G91" s="84"/>
      <c r="H91" s="84"/>
      <c r="I91" s="84"/>
    </row>
    <row r="92" spans="1:9" ht="25.5">
      <c r="B92" s="79" t="s">
        <v>69</v>
      </c>
      <c r="C92" s="73" t="s">
        <v>62</v>
      </c>
      <c r="D92" s="73" t="s">
        <v>63</v>
      </c>
      <c r="E92" s="73" t="s">
        <v>138</v>
      </c>
      <c r="F92" s="73" t="s">
        <v>139</v>
      </c>
      <c r="G92" s="73" t="s">
        <v>140</v>
      </c>
      <c r="H92" s="73" t="s">
        <v>141</v>
      </c>
      <c r="I92" s="73" t="s">
        <v>142</v>
      </c>
    </row>
    <row r="93" spans="1:9" ht="12.75" customHeight="1">
      <c r="B93" s="74">
        <v>51</v>
      </c>
      <c r="C93" s="74" t="s">
        <v>92</v>
      </c>
      <c r="D93" s="74" t="s">
        <v>4</v>
      </c>
      <c r="E93" s="72">
        <v>5</v>
      </c>
      <c r="F93" s="72">
        <v>5</v>
      </c>
      <c r="G93" s="72">
        <v>5</v>
      </c>
      <c r="H93" s="72">
        <v>5</v>
      </c>
      <c r="I93" s="72">
        <v>20</v>
      </c>
    </row>
    <row r="94" spans="1:9" ht="25.5">
      <c r="B94" s="80">
        <v>52</v>
      </c>
      <c r="C94" s="74" t="s">
        <v>350</v>
      </c>
      <c r="D94" s="67" t="s">
        <v>0</v>
      </c>
      <c r="E94" s="80">
        <v>1</v>
      </c>
      <c r="F94" s="80">
        <v>1</v>
      </c>
      <c r="G94" s="80">
        <v>1</v>
      </c>
      <c r="H94" s="80">
        <v>1</v>
      </c>
      <c r="I94" s="80">
        <v>1</v>
      </c>
    </row>
    <row r="95" spans="1:9">
      <c r="B95" s="80"/>
      <c r="C95" s="74"/>
      <c r="D95" s="1810"/>
      <c r="E95" s="80"/>
      <c r="F95" s="80"/>
      <c r="G95" s="80"/>
      <c r="H95" s="80"/>
      <c r="I95" s="80"/>
    </row>
    <row r="96" spans="1:9" ht="19.5" customHeight="1">
      <c r="A96" s="2088"/>
      <c r="B96" s="2231" t="s">
        <v>1203</v>
      </c>
      <c r="C96" s="2231"/>
      <c r="D96" s="2231"/>
      <c r="E96" s="2231"/>
      <c r="F96" s="2231"/>
      <c r="G96" s="2231"/>
      <c r="H96" s="2231"/>
      <c r="I96" s="2231"/>
    </row>
    <row r="97" spans="1:9" ht="12.75" customHeight="1">
      <c r="A97" s="2088"/>
      <c r="B97" s="79" t="s">
        <v>69</v>
      </c>
      <c r="C97" s="73" t="s">
        <v>62</v>
      </c>
      <c r="D97" s="73" t="s">
        <v>63</v>
      </c>
      <c r="E97" s="73" t="s">
        <v>138</v>
      </c>
      <c r="F97" s="73" t="s">
        <v>139</v>
      </c>
      <c r="G97" s="73" t="s">
        <v>140</v>
      </c>
      <c r="H97" s="73" t="s">
        <v>141</v>
      </c>
      <c r="I97" s="73" t="s">
        <v>142</v>
      </c>
    </row>
    <row r="98" spans="1:9" s="1628" customFormat="1" ht="12.75" customHeight="1">
      <c r="A98" s="2088">
        <v>53</v>
      </c>
      <c r="B98" s="2070"/>
      <c r="C98" s="2070" t="s">
        <v>391</v>
      </c>
      <c r="D98" s="2070" t="s">
        <v>1204</v>
      </c>
      <c r="E98" s="2089">
        <v>100</v>
      </c>
      <c r="F98" s="2089">
        <v>100</v>
      </c>
      <c r="G98" s="2089">
        <v>100</v>
      </c>
      <c r="H98" s="2089">
        <v>100</v>
      </c>
      <c r="I98" s="2089">
        <v>100</v>
      </c>
    </row>
    <row r="99" spans="1:9" s="1628" customFormat="1" ht="12.75" customHeight="1">
      <c r="A99" s="2086"/>
      <c r="B99" s="87"/>
      <c r="C99" s="87"/>
      <c r="D99" s="87"/>
      <c r="E99" s="87"/>
      <c r="F99" s="87"/>
      <c r="G99" s="87"/>
      <c r="H99" s="87"/>
      <c r="I99" s="87"/>
    </row>
    <row r="100" spans="1:9" ht="21.75" customHeight="1">
      <c r="B100" s="2232" t="s">
        <v>158</v>
      </c>
      <c r="C100" s="2232"/>
      <c r="D100" s="2232"/>
      <c r="E100" s="2232"/>
      <c r="F100" s="2232"/>
      <c r="G100" s="2232"/>
      <c r="H100" s="2232"/>
      <c r="I100" s="2232"/>
    </row>
    <row r="101" spans="1:9" s="1628" customFormat="1">
      <c r="A101" s="2086"/>
      <c r="B101" s="87"/>
      <c r="C101" s="87"/>
      <c r="D101" s="87"/>
      <c r="E101" s="87"/>
      <c r="F101" s="87"/>
      <c r="G101" s="87"/>
      <c r="H101" s="87"/>
      <c r="I101" s="87"/>
    </row>
    <row r="102" spans="1:9" ht="21.75" customHeight="1">
      <c r="B102" s="2232" t="s">
        <v>159</v>
      </c>
      <c r="C102" s="2232"/>
      <c r="D102" s="2232"/>
      <c r="E102" s="2232"/>
      <c r="F102" s="2232"/>
      <c r="G102" s="2232"/>
      <c r="H102" s="2232"/>
      <c r="I102" s="2232"/>
    </row>
    <row r="103" spans="1:9" s="1628" customFormat="1" ht="25.5">
      <c r="A103" s="2086"/>
      <c r="B103" s="79" t="s">
        <v>69</v>
      </c>
      <c r="C103" s="73" t="s">
        <v>62</v>
      </c>
      <c r="D103" s="73" t="s">
        <v>63</v>
      </c>
      <c r="E103" s="73" t="s">
        <v>138</v>
      </c>
      <c r="F103" s="73" t="s">
        <v>139</v>
      </c>
      <c r="G103" s="73" t="s">
        <v>140</v>
      </c>
      <c r="H103" s="73" t="s">
        <v>141</v>
      </c>
      <c r="I103" s="73" t="s">
        <v>142</v>
      </c>
    </row>
    <row r="104" spans="1:9" ht="63.75">
      <c r="A104" s="182">
        <v>54</v>
      </c>
      <c r="B104" s="74">
        <v>53</v>
      </c>
      <c r="C104" s="72" t="s">
        <v>88</v>
      </c>
      <c r="D104" s="72" t="s">
        <v>2</v>
      </c>
      <c r="E104" s="72">
        <v>100</v>
      </c>
      <c r="F104" s="72">
        <v>100</v>
      </c>
      <c r="G104" s="72">
        <v>100</v>
      </c>
      <c r="H104" s="72">
        <v>100</v>
      </c>
      <c r="I104" s="72">
        <v>100</v>
      </c>
    </row>
    <row r="105" spans="1:9" ht="12.75" customHeight="1">
      <c r="A105" s="182">
        <v>55</v>
      </c>
      <c r="B105" s="74">
        <v>54</v>
      </c>
      <c r="C105" s="72" t="s">
        <v>12</v>
      </c>
      <c r="D105" s="72" t="s">
        <v>171</v>
      </c>
      <c r="E105" s="72">
        <v>100</v>
      </c>
      <c r="F105" s="72">
        <v>100</v>
      </c>
      <c r="G105" s="72">
        <v>100</v>
      </c>
      <c r="H105" s="72">
        <v>100</v>
      </c>
      <c r="I105" s="72">
        <v>100</v>
      </c>
    </row>
    <row r="106" spans="1:9">
      <c r="B106" s="80"/>
      <c r="C106" s="72"/>
      <c r="D106" s="72"/>
      <c r="E106" s="72"/>
      <c r="F106" s="72"/>
      <c r="G106" s="72"/>
      <c r="H106" s="72"/>
      <c r="I106" s="72"/>
    </row>
    <row r="107" spans="1:9" ht="21.75" customHeight="1">
      <c r="B107" s="2233" t="s">
        <v>123</v>
      </c>
      <c r="C107" s="2233"/>
      <c r="D107" s="2233"/>
      <c r="E107" s="2233"/>
      <c r="F107" s="2233"/>
      <c r="G107" s="2233"/>
      <c r="H107" s="2233"/>
      <c r="I107" s="2233"/>
    </row>
    <row r="108" spans="1:9" s="1628" customFormat="1" ht="11.25" customHeight="1">
      <c r="A108" s="2086"/>
      <c r="B108" s="88"/>
      <c r="C108" s="88"/>
      <c r="D108" s="88"/>
      <c r="E108" s="88"/>
      <c r="F108" s="88"/>
      <c r="G108" s="88"/>
      <c r="H108" s="88"/>
      <c r="I108" s="88"/>
    </row>
    <row r="109" spans="1:9" ht="23.25" customHeight="1">
      <c r="B109" s="2234" t="s">
        <v>124</v>
      </c>
      <c r="C109" s="2234"/>
      <c r="D109" s="2234"/>
      <c r="E109" s="2234"/>
      <c r="F109" s="2234"/>
      <c r="G109" s="2234"/>
      <c r="H109" s="2234"/>
      <c r="I109" s="2234"/>
    </row>
    <row r="110" spans="1:9" ht="25.5">
      <c r="B110" s="79" t="s">
        <v>69</v>
      </c>
      <c r="C110" s="73" t="s">
        <v>62</v>
      </c>
      <c r="D110" s="73" t="s">
        <v>63</v>
      </c>
      <c r="E110" s="73" t="s">
        <v>138</v>
      </c>
      <c r="F110" s="73" t="s">
        <v>139</v>
      </c>
      <c r="G110" s="73" t="s">
        <v>140</v>
      </c>
      <c r="H110" s="73" t="s">
        <v>141</v>
      </c>
      <c r="I110" s="73" t="s">
        <v>142</v>
      </c>
    </row>
    <row r="111" spans="1:9">
      <c r="A111" s="182">
        <f>+B111+1</f>
        <v>56</v>
      </c>
      <c r="B111" s="74">
        <v>55</v>
      </c>
      <c r="C111" s="74" t="s">
        <v>118</v>
      </c>
      <c r="D111" s="72" t="s">
        <v>172</v>
      </c>
      <c r="E111" s="72">
        <v>100</v>
      </c>
      <c r="F111" s="72">
        <v>100</v>
      </c>
      <c r="G111" s="72">
        <v>100</v>
      </c>
      <c r="H111" s="72">
        <v>100</v>
      </c>
      <c r="I111" s="72">
        <v>100</v>
      </c>
    </row>
    <row r="112" spans="1:9" ht="12.75" customHeight="1">
      <c r="A112" s="182">
        <f>+B112+1</f>
        <v>57</v>
      </c>
      <c r="B112" s="72">
        <v>56</v>
      </c>
      <c r="C112" s="72" t="s">
        <v>119</v>
      </c>
      <c r="D112" s="67" t="s">
        <v>0</v>
      </c>
      <c r="E112" s="72">
        <v>1</v>
      </c>
      <c r="F112" s="72">
        <v>1</v>
      </c>
      <c r="G112" s="72">
        <v>1</v>
      </c>
      <c r="H112" s="72">
        <v>1</v>
      </c>
      <c r="I112" s="72">
        <v>1</v>
      </c>
    </row>
    <row r="113" spans="1:9">
      <c r="A113" s="182">
        <f t="shared" ref="A113:A123" si="0">+B113+1</f>
        <v>1</v>
      </c>
      <c r="B113" s="80"/>
      <c r="C113" s="74"/>
      <c r="D113" s="80"/>
      <c r="E113" s="80"/>
      <c r="F113" s="80"/>
      <c r="G113" s="80"/>
      <c r="H113" s="80"/>
      <c r="I113" s="80"/>
    </row>
    <row r="114" spans="1:9" s="2" customFormat="1" ht="21" customHeight="1">
      <c r="A114" s="182"/>
      <c r="B114" s="2230" t="s">
        <v>121</v>
      </c>
      <c r="C114" s="2230"/>
      <c r="D114" s="2230"/>
      <c r="E114" s="2230"/>
      <c r="F114" s="2230"/>
      <c r="G114" s="2230"/>
      <c r="H114" s="2230"/>
      <c r="I114" s="2230"/>
    </row>
    <row r="115" spans="1:9" s="1628" customFormat="1">
      <c r="A115" s="182">
        <f t="shared" si="0"/>
        <v>1</v>
      </c>
      <c r="B115" s="87"/>
      <c r="C115" s="87"/>
      <c r="D115" s="87"/>
      <c r="E115" s="87"/>
      <c r="F115" s="87"/>
      <c r="G115" s="87"/>
      <c r="H115" s="87"/>
      <c r="I115" s="87"/>
    </row>
    <row r="116" spans="1:9" ht="23.25" customHeight="1">
      <c r="B116" s="2230" t="s">
        <v>122</v>
      </c>
      <c r="C116" s="2230"/>
      <c r="D116" s="2230"/>
      <c r="E116" s="2230"/>
      <c r="F116" s="2230"/>
      <c r="G116" s="2230"/>
      <c r="H116" s="2230"/>
      <c r="I116" s="2230"/>
    </row>
    <row r="117" spans="1:9" ht="21.75" customHeight="1">
      <c r="B117" s="79" t="s">
        <v>69</v>
      </c>
      <c r="C117" s="73" t="s">
        <v>62</v>
      </c>
      <c r="D117" s="73" t="s">
        <v>63</v>
      </c>
      <c r="E117" s="73" t="s">
        <v>138</v>
      </c>
      <c r="F117" s="73" t="s">
        <v>139</v>
      </c>
      <c r="G117" s="73" t="s">
        <v>140</v>
      </c>
      <c r="H117" s="73" t="s">
        <v>141</v>
      </c>
      <c r="I117" s="73" t="s">
        <v>142</v>
      </c>
    </row>
    <row r="118" spans="1:9" s="1628" customFormat="1" ht="31.5" customHeight="1">
      <c r="A118" s="182">
        <f t="shared" si="0"/>
        <v>58</v>
      </c>
      <c r="B118" s="74">
        <v>57</v>
      </c>
      <c r="C118" s="74" t="s">
        <v>112</v>
      </c>
      <c r="D118" s="74" t="s">
        <v>6</v>
      </c>
      <c r="E118" s="74">
        <v>25</v>
      </c>
      <c r="F118" s="74">
        <v>50</v>
      </c>
      <c r="G118" s="74">
        <v>75</v>
      </c>
      <c r="H118" s="74">
        <v>100</v>
      </c>
      <c r="I118" s="74">
        <v>100</v>
      </c>
    </row>
    <row r="119" spans="1:9" ht="24.75" customHeight="1">
      <c r="A119" s="182">
        <f t="shared" si="0"/>
        <v>59</v>
      </c>
      <c r="B119" s="74">
        <v>58</v>
      </c>
      <c r="C119" s="74" t="s">
        <v>113</v>
      </c>
      <c r="D119" s="74" t="s">
        <v>7</v>
      </c>
      <c r="E119" s="74">
        <v>5</v>
      </c>
      <c r="F119" s="74">
        <v>40</v>
      </c>
      <c r="G119" s="74">
        <v>70</v>
      </c>
      <c r="H119" s="74">
        <v>100</v>
      </c>
      <c r="I119" s="74">
        <v>100</v>
      </c>
    </row>
    <row r="120" spans="1:9" ht="12.75" customHeight="1">
      <c r="A120" s="182">
        <f t="shared" si="0"/>
        <v>60</v>
      </c>
      <c r="B120" s="74">
        <v>59</v>
      </c>
      <c r="C120" s="74" t="s">
        <v>114</v>
      </c>
      <c r="D120" s="74" t="s">
        <v>8</v>
      </c>
      <c r="E120" s="74">
        <v>25</v>
      </c>
      <c r="F120" s="74">
        <v>50</v>
      </c>
      <c r="G120" s="74">
        <v>75</v>
      </c>
      <c r="H120" s="74">
        <v>100</v>
      </c>
      <c r="I120" s="74">
        <v>100</v>
      </c>
    </row>
    <row r="121" spans="1:9" ht="25.5">
      <c r="A121" s="182">
        <f t="shared" si="0"/>
        <v>61</v>
      </c>
      <c r="B121" s="74">
        <v>60</v>
      </c>
      <c r="C121" s="82" t="s">
        <v>115</v>
      </c>
      <c r="D121" s="74" t="s">
        <v>116</v>
      </c>
      <c r="E121" s="74">
        <v>20</v>
      </c>
      <c r="F121" s="74">
        <v>60</v>
      </c>
      <c r="G121" s="74">
        <v>80</v>
      </c>
      <c r="H121" s="74">
        <v>100</v>
      </c>
      <c r="I121" s="74">
        <v>100</v>
      </c>
    </row>
    <row r="122" spans="1:9" ht="38.25">
      <c r="A122" s="182">
        <f t="shared" si="0"/>
        <v>62</v>
      </c>
      <c r="B122" s="74">
        <v>61</v>
      </c>
      <c r="C122" s="82" t="s">
        <v>117</v>
      </c>
      <c r="D122" s="74" t="s">
        <v>9</v>
      </c>
      <c r="E122" s="74">
        <v>100</v>
      </c>
      <c r="F122" s="74">
        <v>100</v>
      </c>
      <c r="G122" s="74">
        <v>100</v>
      </c>
      <c r="H122" s="74">
        <v>100</v>
      </c>
      <c r="I122" s="74">
        <v>100</v>
      </c>
    </row>
    <row r="123" spans="1:9" ht="25.5">
      <c r="A123" s="182">
        <f t="shared" si="0"/>
        <v>63</v>
      </c>
      <c r="B123" s="72">
        <v>62</v>
      </c>
      <c r="C123" s="72" t="s">
        <v>0</v>
      </c>
      <c r="D123" s="67" t="s">
        <v>0</v>
      </c>
      <c r="E123" s="72">
        <v>1</v>
      </c>
      <c r="F123" s="72">
        <v>1</v>
      </c>
      <c r="G123" s="72">
        <v>1</v>
      </c>
      <c r="H123" s="72">
        <v>1</v>
      </c>
      <c r="I123" s="72">
        <v>1</v>
      </c>
    </row>
  </sheetData>
  <mergeCells count="25">
    <mergeCell ref="B26:I26"/>
    <mergeCell ref="B1:I1"/>
    <mergeCell ref="B2:I2"/>
    <mergeCell ref="B4:I4"/>
    <mergeCell ref="B8:I8"/>
    <mergeCell ref="B12:I12"/>
    <mergeCell ref="B90:I90"/>
    <mergeCell ref="B28:I28"/>
    <mergeCell ref="B40:I40"/>
    <mergeCell ref="B45:I45"/>
    <mergeCell ref="B54:I54"/>
    <mergeCell ref="B56:I56"/>
    <mergeCell ref="B62:I62"/>
    <mergeCell ref="B72:I72"/>
    <mergeCell ref="B74:I74"/>
    <mergeCell ref="B79:I79"/>
    <mergeCell ref="B81:I81"/>
    <mergeCell ref="B86:I86"/>
    <mergeCell ref="B116:I116"/>
    <mergeCell ref="B96:I96"/>
    <mergeCell ref="B100:I100"/>
    <mergeCell ref="B102:I102"/>
    <mergeCell ref="B107:I107"/>
    <mergeCell ref="B109:I109"/>
    <mergeCell ref="B114:I114"/>
  </mergeCells>
  <pageMargins left="0.70866141732283472" right="0.70866141732283472" top="0.74803149606299213" bottom="0.74803149606299213" header="0.31496062992125984" footer="0.31496062992125984"/>
  <pageSetup scale="80" orientation="portrait" verticalDpi="597"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S116"/>
  <sheetViews>
    <sheetView topLeftCell="A64" workbookViewId="0">
      <selection activeCell="G85" sqref="G85"/>
    </sheetView>
  </sheetViews>
  <sheetFormatPr baseColWidth="10" defaultRowHeight="15"/>
  <cols>
    <col min="1" max="1" width="4" customWidth="1"/>
    <col min="2" max="2" width="38" customWidth="1"/>
    <col min="3" max="3" width="13.5703125" customWidth="1"/>
    <col min="4" max="6" width="11.42578125" customWidth="1"/>
    <col min="7" max="7" width="10.85546875" customWidth="1"/>
    <col min="8" max="8" width="19.28515625" customWidth="1"/>
    <col min="9" max="9" width="8.5703125" style="2093" customWidth="1"/>
    <col min="10" max="10" width="19.85546875" customWidth="1"/>
    <col min="11" max="11" width="8.5703125" style="2093" customWidth="1"/>
    <col min="12" max="12" width="19.140625" customWidth="1"/>
    <col min="13" max="13" width="15.42578125" customWidth="1"/>
  </cols>
  <sheetData>
    <row r="1" spans="1:13" ht="18.75">
      <c r="A1" s="2252" t="s">
        <v>827</v>
      </c>
      <c r="B1" s="2253"/>
      <c r="C1" s="2253"/>
      <c r="D1" s="2253"/>
      <c r="E1" s="2253"/>
      <c r="F1" s="2253"/>
      <c r="G1" s="2253"/>
      <c r="H1" s="2253"/>
      <c r="I1" s="2253"/>
      <c r="J1" s="2253"/>
      <c r="K1" s="2253"/>
      <c r="L1" s="2253"/>
    </row>
    <row r="2" spans="1:13" ht="15" customHeight="1">
      <c r="A2" s="2250" t="s">
        <v>69</v>
      </c>
      <c r="B2" s="2248" t="s">
        <v>198</v>
      </c>
      <c r="C2" s="2257" t="s">
        <v>200</v>
      </c>
      <c r="D2" s="2248">
        <v>2020</v>
      </c>
      <c r="E2" s="2248">
        <v>2021</v>
      </c>
      <c r="F2" s="2248">
        <v>2022</v>
      </c>
      <c r="G2" s="2248">
        <v>2023</v>
      </c>
      <c r="H2" s="2248">
        <v>2020</v>
      </c>
      <c r="I2" s="2246" t="s">
        <v>215</v>
      </c>
      <c r="J2" s="2248">
        <v>2021</v>
      </c>
      <c r="K2" s="2246" t="s">
        <v>215</v>
      </c>
      <c r="L2" s="2248">
        <v>2022</v>
      </c>
      <c r="M2" s="2245"/>
    </row>
    <row r="3" spans="1:13">
      <c r="A3" s="2251"/>
      <c r="B3" s="2249"/>
      <c r="C3" s="2258"/>
      <c r="D3" s="2249"/>
      <c r="E3" s="2249"/>
      <c r="F3" s="2249"/>
      <c r="G3" s="2249"/>
      <c r="H3" s="2249"/>
      <c r="I3" s="2247"/>
      <c r="J3" s="2249"/>
      <c r="K3" s="2247"/>
      <c r="L3" s="2249"/>
      <c r="M3" s="2245"/>
    </row>
    <row r="4" spans="1:13" ht="15.75">
      <c r="A4" s="2254" t="s">
        <v>416</v>
      </c>
      <c r="B4" s="2255"/>
      <c r="C4" s="2255"/>
      <c r="D4" s="2255"/>
      <c r="E4" s="2255"/>
      <c r="F4" s="2255"/>
      <c r="G4" s="2255"/>
      <c r="H4" s="2255"/>
      <c r="I4" s="2255"/>
      <c r="J4" s="2255"/>
      <c r="K4" s="2255"/>
      <c r="L4" s="2256"/>
      <c r="M4" s="2090"/>
    </row>
    <row r="5" spans="1:13" ht="15.75">
      <c r="A5" s="2254" t="s">
        <v>417</v>
      </c>
      <c r="B5" s="2255"/>
      <c r="C5" s="2255"/>
      <c r="D5" s="2255"/>
      <c r="E5" s="2255"/>
      <c r="F5" s="2255"/>
      <c r="G5" s="2255"/>
      <c r="H5" s="362">
        <f>SUM(H6:H7)</f>
        <v>92397396</v>
      </c>
      <c r="I5" s="2091">
        <f>+(J5-H5)/H5</f>
        <v>1.1167522946209436</v>
      </c>
      <c r="J5" s="362">
        <f>SUM(J6:J7)</f>
        <v>195582400</v>
      </c>
      <c r="K5" s="2091">
        <f>+(L5-J5)/J5</f>
        <v>7.2817206456204653E-2</v>
      </c>
      <c r="L5" s="362">
        <f>SUM(L6:L7)</f>
        <v>209824164</v>
      </c>
      <c r="M5" s="2090"/>
    </row>
    <row r="6" spans="1:13" ht="38.25">
      <c r="A6" s="38">
        <v>1</v>
      </c>
      <c r="B6" s="38" t="s">
        <v>11</v>
      </c>
      <c r="C6" s="128" t="s">
        <v>215</v>
      </c>
      <c r="D6" s="128">
        <v>100</v>
      </c>
      <c r="E6" s="128">
        <v>100</v>
      </c>
      <c r="F6" s="128">
        <v>100</v>
      </c>
      <c r="G6" s="128">
        <v>100</v>
      </c>
      <c r="H6" s="361">
        <v>72999300</v>
      </c>
      <c r="I6" s="2092">
        <f>+(J6-H6)/H6</f>
        <v>0.38369811765318296</v>
      </c>
      <c r="J6" s="361">
        <v>101008994</v>
      </c>
      <c r="K6" s="2092">
        <f>+(L6-J6)/J6</f>
        <v>0.14695619085167802</v>
      </c>
      <c r="L6" s="361">
        <f>+'320101'!F7</f>
        <v>115852891</v>
      </c>
    </row>
    <row r="7" spans="1:13" ht="25.5">
      <c r="A7" s="35">
        <v>2</v>
      </c>
      <c r="B7" s="35" t="s">
        <v>241</v>
      </c>
      <c r="C7" s="13" t="s">
        <v>327</v>
      </c>
      <c r="D7" s="13">
        <v>1</v>
      </c>
      <c r="E7" s="13">
        <v>1</v>
      </c>
      <c r="F7" s="13">
        <v>1</v>
      </c>
      <c r="G7" s="13">
        <v>1</v>
      </c>
      <c r="H7" s="361">
        <v>19398096</v>
      </c>
      <c r="I7" s="2092">
        <f t="shared" ref="I7:K69" si="0">+(J7-H7)/H7</f>
        <v>3.8753963275570964</v>
      </c>
      <c r="J7" s="361">
        <v>94573406</v>
      </c>
      <c r="K7" s="2092">
        <f t="shared" si="0"/>
        <v>-6.3668321303771164E-3</v>
      </c>
      <c r="L7" s="361">
        <f>+'320101'!F15</f>
        <v>93971273</v>
      </c>
    </row>
    <row r="8" spans="1:13" ht="15.75">
      <c r="A8" s="2266" t="s">
        <v>418</v>
      </c>
      <c r="B8" s="2267"/>
      <c r="C8" s="2267"/>
      <c r="D8" s="2267"/>
      <c r="E8" s="2267"/>
      <c r="F8" s="2267"/>
      <c r="G8" s="2268"/>
      <c r="H8" s="362">
        <f>SUM(H9:H10)</f>
        <v>130991497</v>
      </c>
      <c r="I8" s="2091">
        <f>+(J8-H8)/H8</f>
        <v>1.2902249907106567</v>
      </c>
      <c r="J8" s="362">
        <f>SUM(J9:J10)</f>
        <v>300000000</v>
      </c>
      <c r="K8" s="2091">
        <f>+(L8-J8)/J8</f>
        <v>5.763091E-2</v>
      </c>
      <c r="L8" s="362">
        <f>SUM(L9:L10)</f>
        <v>317289273</v>
      </c>
      <c r="M8" s="62"/>
    </row>
    <row r="9" spans="1:13" ht="38.25">
      <c r="A9" s="38">
        <v>3</v>
      </c>
      <c r="B9" s="38" t="s">
        <v>235</v>
      </c>
      <c r="C9" s="128" t="s">
        <v>215</v>
      </c>
      <c r="D9" s="128">
        <v>100</v>
      </c>
      <c r="E9" s="128">
        <v>100</v>
      </c>
      <c r="F9" s="128">
        <v>100</v>
      </c>
      <c r="G9" s="128">
        <v>100</v>
      </c>
      <c r="H9" s="361">
        <v>111593401</v>
      </c>
      <c r="I9" s="2092">
        <f t="shared" si="0"/>
        <v>0.80168359596818817</v>
      </c>
      <c r="J9" s="361">
        <v>201056000</v>
      </c>
      <c r="K9" s="2092">
        <f t="shared" si="0"/>
        <v>4.2314010574168434E-2</v>
      </c>
      <c r="L9" s="361">
        <f>+'320102'!F7</f>
        <v>209563485.71000001</v>
      </c>
    </row>
    <row r="10" spans="1:13" ht="25.5">
      <c r="A10" s="35">
        <v>4</v>
      </c>
      <c r="B10" s="35" t="s">
        <v>241</v>
      </c>
      <c r="C10" s="13" t="s">
        <v>327</v>
      </c>
      <c r="D10" s="13">
        <v>1</v>
      </c>
      <c r="E10" s="13">
        <v>1</v>
      </c>
      <c r="F10" s="13">
        <v>1</v>
      </c>
      <c r="G10" s="13">
        <v>1</v>
      </c>
      <c r="H10" s="361">
        <v>19398096</v>
      </c>
      <c r="I10" s="2092">
        <f t="shared" si="0"/>
        <v>4.1007067910170152</v>
      </c>
      <c r="J10" s="361">
        <v>98944000</v>
      </c>
      <c r="K10" s="2092">
        <f t="shared" si="0"/>
        <v>8.8755127041558773E-2</v>
      </c>
      <c r="L10" s="361">
        <f>+'320102'!F12</f>
        <v>107725787.28999999</v>
      </c>
    </row>
    <row r="11" spans="1:13" ht="15.75">
      <c r="A11" s="2265" t="s">
        <v>419</v>
      </c>
      <c r="B11" s="2265"/>
      <c r="C11" s="2265"/>
      <c r="D11" s="2265"/>
      <c r="E11" s="2265"/>
      <c r="F11" s="2265"/>
      <c r="G11" s="2265"/>
      <c r="H11" s="362">
        <f>SUM(H12:H23)</f>
        <v>999121714</v>
      </c>
      <c r="I11" s="2091">
        <f>+(J11-H11)/H11</f>
        <v>2.2685463386432509</v>
      </c>
      <c r="J11" s="362">
        <f>SUM(J12:J23)</f>
        <v>3265675620.1536694</v>
      </c>
      <c r="K11" s="2091">
        <f>+(L11-J11)/J11</f>
        <v>0.12477504791254967</v>
      </c>
      <c r="L11" s="362">
        <f>SUM(L12:L23)</f>
        <v>3673150452.1251888</v>
      </c>
      <c r="M11" s="62"/>
    </row>
    <row r="12" spans="1:13" ht="51">
      <c r="A12" s="38">
        <v>5</v>
      </c>
      <c r="B12" s="38" t="s">
        <v>46</v>
      </c>
      <c r="C12" s="23" t="s">
        <v>215</v>
      </c>
      <c r="D12" s="23">
        <v>100</v>
      </c>
      <c r="E12" s="23">
        <v>100</v>
      </c>
      <c r="F12" s="23">
        <v>100</v>
      </c>
      <c r="G12" s="23">
        <v>100</v>
      </c>
      <c r="H12" s="361">
        <v>26400000</v>
      </c>
      <c r="I12" s="2092">
        <f t="shared" si="0"/>
        <v>0.34350309439393945</v>
      </c>
      <c r="J12" s="361">
        <v>35468481.692000002</v>
      </c>
      <c r="K12" s="2092">
        <f t="shared" si="0"/>
        <v>-0.12525464638093151</v>
      </c>
      <c r="L12" s="361">
        <f>+'320103'!I7</f>
        <v>31025889.559999999</v>
      </c>
    </row>
    <row r="13" spans="1:13" ht="51">
      <c r="A13" s="35">
        <v>6</v>
      </c>
      <c r="B13" s="152" t="s">
        <v>48</v>
      </c>
      <c r="C13" s="153" t="s">
        <v>215</v>
      </c>
      <c r="D13" s="153">
        <v>100</v>
      </c>
      <c r="E13" s="153">
        <v>100</v>
      </c>
      <c r="F13" s="153">
        <v>100</v>
      </c>
      <c r="G13" s="153">
        <v>100</v>
      </c>
      <c r="H13" s="361">
        <v>71278795</v>
      </c>
      <c r="I13" s="2092">
        <f t="shared" si="0"/>
        <v>-0.41460514308638352</v>
      </c>
      <c r="J13" s="361">
        <v>41726240</v>
      </c>
      <c r="K13" s="2092">
        <f t="shared" si="0"/>
        <v>0.2267047785757835</v>
      </c>
      <c r="L13" s="361">
        <f>+'320103'!I9</f>
        <v>51185778</v>
      </c>
    </row>
    <row r="14" spans="1:13" ht="25.5">
      <c r="A14" s="38">
        <v>7</v>
      </c>
      <c r="B14" s="38" t="s">
        <v>49</v>
      </c>
      <c r="C14" s="128" t="s">
        <v>215</v>
      </c>
      <c r="D14" s="128">
        <v>70</v>
      </c>
      <c r="E14" s="128">
        <v>80</v>
      </c>
      <c r="F14" s="128">
        <v>90</v>
      </c>
      <c r="G14" s="128">
        <v>100</v>
      </c>
      <c r="H14" s="361">
        <v>456579463</v>
      </c>
      <c r="I14" s="2092">
        <f t="shared" si="0"/>
        <v>2.5986416432401082E-2</v>
      </c>
      <c r="J14" s="361">
        <v>468444327.06000006</v>
      </c>
      <c r="K14" s="2092">
        <f t="shared" si="0"/>
        <v>0.14023720844444626</v>
      </c>
      <c r="L14" s="361">
        <f>+'320103'!I11</f>
        <v>534137651.79853165</v>
      </c>
    </row>
    <row r="15" spans="1:13" ht="38.25">
      <c r="A15" s="38">
        <v>8</v>
      </c>
      <c r="B15" s="38" t="s">
        <v>50</v>
      </c>
      <c r="C15" s="128" t="s">
        <v>1210</v>
      </c>
      <c r="D15" s="128">
        <v>60</v>
      </c>
      <c r="E15" s="128">
        <v>60</v>
      </c>
      <c r="F15" s="128">
        <v>60</v>
      </c>
      <c r="G15" s="128">
        <v>60</v>
      </c>
      <c r="H15" s="361">
        <v>0</v>
      </c>
      <c r="I15" s="2092"/>
      <c r="J15" s="361">
        <v>0</v>
      </c>
      <c r="K15" s="2092"/>
      <c r="L15" s="361">
        <f>+'320103'!I13</f>
        <v>0</v>
      </c>
      <c r="M15" s="32"/>
    </row>
    <row r="16" spans="1:13" ht="25.5">
      <c r="A16" s="35">
        <v>9</v>
      </c>
      <c r="B16" s="152" t="s">
        <v>51</v>
      </c>
      <c r="C16" s="153" t="s">
        <v>215</v>
      </c>
      <c r="D16" s="153">
        <v>70</v>
      </c>
      <c r="E16" s="153">
        <v>80</v>
      </c>
      <c r="F16" s="153">
        <v>80</v>
      </c>
      <c r="G16" s="153">
        <v>80</v>
      </c>
      <c r="H16" s="361">
        <v>72216869</v>
      </c>
      <c r="I16" s="2092">
        <f t="shared" si="0"/>
        <v>3.3181317308287066</v>
      </c>
      <c r="J16" s="361">
        <v>311841953.52999997</v>
      </c>
      <c r="K16" s="2092">
        <f t="shared" si="0"/>
        <v>0.53164818855734985</v>
      </c>
      <c r="L16" s="361">
        <f>+'320103'!I15</f>
        <v>477632163.24040973</v>
      </c>
    </row>
    <row r="17" spans="1:13" ht="25.5">
      <c r="A17" s="38">
        <v>10</v>
      </c>
      <c r="B17" s="38" t="s">
        <v>52</v>
      </c>
      <c r="C17" s="128" t="s">
        <v>215</v>
      </c>
      <c r="D17" s="128">
        <v>20</v>
      </c>
      <c r="E17" s="128">
        <v>25</v>
      </c>
      <c r="F17" s="128">
        <v>30</v>
      </c>
      <c r="G17" s="128">
        <v>35</v>
      </c>
      <c r="H17" s="361">
        <v>222367667</v>
      </c>
      <c r="I17" s="2092">
        <f t="shared" si="0"/>
        <v>0.97815685356810433</v>
      </c>
      <c r="J17" s="361">
        <v>439878124.48799998</v>
      </c>
      <c r="K17" s="2092">
        <f t="shared" si="0"/>
        <v>1.9062604167084718E-2</v>
      </c>
      <c r="L17" s="361">
        <f>+'320103'!I18</f>
        <v>448263347.05687433</v>
      </c>
    </row>
    <row r="18" spans="1:13" ht="51">
      <c r="A18" s="35">
        <v>11</v>
      </c>
      <c r="B18" s="152" t="s">
        <v>420</v>
      </c>
      <c r="C18" s="153" t="s">
        <v>211</v>
      </c>
      <c r="D18" s="153">
        <v>60</v>
      </c>
      <c r="E18" s="153">
        <v>120</v>
      </c>
      <c r="F18" s="153">
        <v>120</v>
      </c>
      <c r="G18" s="153">
        <v>120</v>
      </c>
      <c r="H18" s="361">
        <v>20538687</v>
      </c>
      <c r="I18" s="2092">
        <f t="shared" si="0"/>
        <v>-1</v>
      </c>
      <c r="J18" s="361"/>
      <c r="K18" s="2092" t="e">
        <f t="shared" si="0"/>
        <v>#DIV/0!</v>
      </c>
      <c r="L18" s="361">
        <f>+'320103'!I21</f>
        <v>0</v>
      </c>
    </row>
    <row r="19" spans="1:13" ht="25.5">
      <c r="A19" s="35">
        <v>12</v>
      </c>
      <c r="B19" s="152" t="s">
        <v>421</v>
      </c>
      <c r="C19" s="153" t="s">
        <v>211</v>
      </c>
      <c r="D19" s="153">
        <v>1</v>
      </c>
      <c r="E19" s="153">
        <v>1</v>
      </c>
      <c r="F19" s="153">
        <v>1</v>
      </c>
      <c r="G19" s="153">
        <v>1</v>
      </c>
      <c r="H19" s="361">
        <v>16522687</v>
      </c>
      <c r="I19" s="2092">
        <f t="shared" si="0"/>
        <v>-1</v>
      </c>
      <c r="J19" s="361">
        <v>0</v>
      </c>
      <c r="K19" s="2092" t="e">
        <f t="shared" si="0"/>
        <v>#DIV/0!</v>
      </c>
      <c r="L19" s="361">
        <f>+'320103'!I24</f>
        <v>0</v>
      </c>
    </row>
    <row r="20" spans="1:13" ht="25.5">
      <c r="A20" s="35">
        <v>13</v>
      </c>
      <c r="B20" s="152" t="s">
        <v>272</v>
      </c>
      <c r="C20" s="153" t="s">
        <v>211</v>
      </c>
      <c r="D20" s="153">
        <v>0</v>
      </c>
      <c r="E20" s="153">
        <v>1</v>
      </c>
      <c r="F20" s="153">
        <v>1</v>
      </c>
      <c r="G20" s="153">
        <v>0</v>
      </c>
      <c r="H20" s="361">
        <v>0</v>
      </c>
      <c r="I20" s="2092"/>
      <c r="J20" s="361"/>
      <c r="K20" s="2092"/>
      <c r="L20" s="361">
        <f>+'320103'!I27</f>
        <v>0</v>
      </c>
    </row>
    <row r="21" spans="1:13" ht="38.25">
      <c r="A21" s="35">
        <v>14</v>
      </c>
      <c r="B21" s="152" t="s">
        <v>422</v>
      </c>
      <c r="C21" s="153" t="s">
        <v>215</v>
      </c>
      <c r="D21" s="153">
        <v>100</v>
      </c>
      <c r="E21" s="153">
        <v>100</v>
      </c>
      <c r="F21" s="153">
        <v>100</v>
      </c>
      <c r="G21" s="153">
        <v>100</v>
      </c>
      <c r="H21" s="361">
        <v>70000000</v>
      </c>
      <c r="I21" s="2092">
        <f t="shared" si="0"/>
        <v>-0.3136942857142857</v>
      </c>
      <c r="J21" s="361">
        <v>48041400</v>
      </c>
      <c r="K21" s="2092">
        <f t="shared" si="0"/>
        <v>-0.49513102823814464</v>
      </c>
      <c r="L21" s="361">
        <f>+'320103'!I29</f>
        <v>24254612.219999999</v>
      </c>
    </row>
    <row r="22" spans="1:13" ht="38.25">
      <c r="A22" s="35">
        <v>15</v>
      </c>
      <c r="B22" s="152" t="s">
        <v>423</v>
      </c>
      <c r="C22" s="153" t="s">
        <v>215</v>
      </c>
      <c r="D22" s="153">
        <v>100</v>
      </c>
      <c r="E22" s="153">
        <v>100</v>
      </c>
      <c r="F22" s="153">
        <v>100</v>
      </c>
      <c r="G22" s="153">
        <v>100</v>
      </c>
      <c r="H22" s="361">
        <v>12000000</v>
      </c>
      <c r="I22" s="2092">
        <f t="shared" si="0"/>
        <v>1.2156738333333332</v>
      </c>
      <c r="J22" s="361">
        <v>26588086</v>
      </c>
      <c r="K22" s="2092">
        <f t="shared" si="0"/>
        <v>-0.21211782600673099</v>
      </c>
      <c r="L22" s="361">
        <f>+'320103'!I31</f>
        <v>20948279</v>
      </c>
    </row>
    <row r="23" spans="1:13" ht="25.5">
      <c r="A23" s="35">
        <v>16</v>
      </c>
      <c r="B23" s="152" t="s">
        <v>38</v>
      </c>
      <c r="C23" s="153" t="s">
        <v>327</v>
      </c>
      <c r="D23" s="153">
        <v>1</v>
      </c>
      <c r="E23" s="153">
        <v>1</v>
      </c>
      <c r="F23" s="153">
        <v>1</v>
      </c>
      <c r="G23" s="153">
        <v>1</v>
      </c>
      <c r="H23" s="361">
        <v>31217546</v>
      </c>
      <c r="I23" s="2092">
        <f t="shared" si="0"/>
        <v>59.660982364970955</v>
      </c>
      <c r="J23" s="361">
        <v>1893687007.3836696</v>
      </c>
      <c r="K23" s="2092">
        <f t="shared" si="0"/>
        <v>0.10139781448413354</v>
      </c>
      <c r="L23" s="363">
        <f>+'320103'!I33</f>
        <v>2085702731.249373</v>
      </c>
      <c r="M23" s="62"/>
    </row>
    <row r="24" spans="1:13" ht="15.75">
      <c r="A24" s="2254" t="s">
        <v>425</v>
      </c>
      <c r="B24" s="2255"/>
      <c r="C24" s="2255"/>
      <c r="D24" s="2255"/>
      <c r="E24" s="2255"/>
      <c r="F24" s="2255"/>
      <c r="G24" s="2255"/>
      <c r="H24" s="2255"/>
      <c r="I24" s="2255"/>
      <c r="J24" s="2255"/>
      <c r="K24" s="2255"/>
      <c r="L24" s="2255"/>
    </row>
    <row r="25" spans="1:13" ht="15.75">
      <c r="A25" s="2262" t="s">
        <v>182</v>
      </c>
      <c r="B25" s="2262"/>
      <c r="C25" s="2262"/>
      <c r="D25" s="2262"/>
      <c r="E25" s="2262"/>
      <c r="F25" s="2262"/>
      <c r="G25" s="2262"/>
      <c r="H25" s="362">
        <f>SUM(H26:H35)</f>
        <v>3990284306</v>
      </c>
      <c r="I25" s="2091">
        <f>+(J25-H25)/H25</f>
        <v>-2.5080167708731774E-3</v>
      </c>
      <c r="J25" s="362">
        <f>SUM(J26:J35)</f>
        <v>3980276606.04</v>
      </c>
      <c r="K25" s="2091">
        <f>+(L25-J25)/J25</f>
        <v>-0.10356195746518866</v>
      </c>
      <c r="L25" s="362">
        <f>SUM(L26:L35)</f>
        <v>3568071369.4656</v>
      </c>
    </row>
    <row r="26" spans="1:13" ht="38.25">
      <c r="A26" s="35">
        <v>17</v>
      </c>
      <c r="B26" s="152" t="s">
        <v>206</v>
      </c>
      <c r="C26" s="153" t="s">
        <v>211</v>
      </c>
      <c r="D26" s="153">
        <v>30</v>
      </c>
      <c r="E26" s="153">
        <v>30</v>
      </c>
      <c r="F26" s="153">
        <v>30</v>
      </c>
      <c r="G26" s="153">
        <v>30</v>
      </c>
      <c r="H26" s="361">
        <v>128377245</v>
      </c>
      <c r="I26" s="2092">
        <f t="shared" si="0"/>
        <v>-0.39756112510437508</v>
      </c>
      <c r="J26" s="361">
        <v>77339443.039999992</v>
      </c>
      <c r="K26" s="2092">
        <f t="shared" si="0"/>
        <v>1.7486615805036709</v>
      </c>
      <c r="L26" s="361">
        <f>+'320201'!H7</f>
        <v>212579955.74160001</v>
      </c>
    </row>
    <row r="27" spans="1:13" ht="25.5">
      <c r="A27" s="35">
        <v>18</v>
      </c>
      <c r="B27" s="152" t="s">
        <v>33</v>
      </c>
      <c r="C27" s="153" t="s">
        <v>211</v>
      </c>
      <c r="D27" s="153">
        <v>3</v>
      </c>
      <c r="E27" s="153">
        <v>3</v>
      </c>
      <c r="F27" s="153">
        <v>3</v>
      </c>
      <c r="G27" s="153">
        <v>3</v>
      </c>
      <c r="H27" s="361">
        <v>105000000</v>
      </c>
      <c r="I27" s="2092">
        <f t="shared" si="0"/>
        <v>4.8000000000000001E-2</v>
      </c>
      <c r="J27" s="361">
        <v>110040000</v>
      </c>
      <c r="K27" s="2092">
        <f t="shared" si="0"/>
        <v>7.1271372500908763</v>
      </c>
      <c r="L27" s="361">
        <f>+'320201'!H10</f>
        <v>894310183</v>
      </c>
    </row>
    <row r="28" spans="1:13" ht="51">
      <c r="A28" s="35">
        <v>19</v>
      </c>
      <c r="B28" s="152" t="s">
        <v>212</v>
      </c>
      <c r="C28" s="153" t="s">
        <v>211</v>
      </c>
      <c r="D28" s="153">
        <v>2</v>
      </c>
      <c r="E28" s="153">
        <v>2</v>
      </c>
      <c r="F28" s="153">
        <v>2</v>
      </c>
      <c r="G28" s="153">
        <v>1</v>
      </c>
      <c r="H28" s="361">
        <v>327379758</v>
      </c>
      <c r="I28" s="2092">
        <f t="shared" si="0"/>
        <v>-0.720274315188418</v>
      </c>
      <c r="J28" s="361">
        <v>91576527</v>
      </c>
      <c r="K28" s="2092">
        <f t="shared" si="0"/>
        <v>3.7383739175869818E-2</v>
      </c>
      <c r="L28" s="361">
        <f>+'320201'!H12</f>
        <v>95000000</v>
      </c>
    </row>
    <row r="29" spans="1:13" ht="38.25">
      <c r="A29" s="35">
        <v>20</v>
      </c>
      <c r="B29" s="152" t="s">
        <v>214</v>
      </c>
      <c r="C29" s="153" t="s">
        <v>211</v>
      </c>
      <c r="D29" s="153">
        <v>3</v>
      </c>
      <c r="E29" s="153">
        <v>2</v>
      </c>
      <c r="F29" s="153">
        <v>1</v>
      </c>
      <c r="G29" s="153">
        <v>1</v>
      </c>
      <c r="H29" s="361">
        <v>500000000</v>
      </c>
      <c r="I29" s="2092">
        <f t="shared" si="0"/>
        <v>-2.3782080000000001E-3</v>
      </c>
      <c r="J29" s="361">
        <v>498810896</v>
      </c>
      <c r="K29" s="2092">
        <f t="shared" si="0"/>
        <v>0.10219318409596244</v>
      </c>
      <c r="L29" s="361">
        <f>+'320201'!H14</f>
        <v>549785969.72399998</v>
      </c>
    </row>
    <row r="30" spans="1:13" ht="25.5">
      <c r="A30" s="35">
        <v>21</v>
      </c>
      <c r="B30" s="35" t="s">
        <v>34</v>
      </c>
      <c r="C30" s="36" t="s">
        <v>215</v>
      </c>
      <c r="D30" s="153">
        <v>57</v>
      </c>
      <c r="E30" s="153">
        <v>67</v>
      </c>
      <c r="F30" s="153">
        <v>83</v>
      </c>
      <c r="G30" s="153">
        <v>100</v>
      </c>
      <c r="H30" s="361">
        <v>123000000</v>
      </c>
      <c r="I30" s="2092">
        <f t="shared" si="0"/>
        <v>-0.23917439024390244</v>
      </c>
      <c r="J30" s="361">
        <v>93581550</v>
      </c>
      <c r="K30" s="2092">
        <f t="shared" si="0"/>
        <v>-0.83657740227641031</v>
      </c>
      <c r="L30" s="361">
        <f>+'320201'!H16</f>
        <v>15293340</v>
      </c>
    </row>
    <row r="31" spans="1:13" ht="38.25">
      <c r="A31" s="38">
        <v>22</v>
      </c>
      <c r="B31" s="38" t="s">
        <v>35</v>
      </c>
      <c r="C31" s="39" t="s">
        <v>215</v>
      </c>
      <c r="D31" s="40">
        <v>100</v>
      </c>
      <c r="E31" s="40">
        <v>100</v>
      </c>
      <c r="F31" s="40">
        <v>100</v>
      </c>
      <c r="G31" s="40">
        <v>100</v>
      </c>
      <c r="H31" s="361">
        <v>5000000</v>
      </c>
      <c r="I31" s="2092">
        <f t="shared" si="0"/>
        <v>-0.5</v>
      </c>
      <c r="J31" s="361">
        <v>2500000</v>
      </c>
      <c r="K31" s="2092">
        <f t="shared" si="0"/>
        <v>4.3121368000000002</v>
      </c>
      <c r="L31" s="361">
        <f>+'320201'!H18</f>
        <v>13280342</v>
      </c>
    </row>
    <row r="32" spans="1:13" ht="25.5">
      <c r="A32" s="38">
        <v>23</v>
      </c>
      <c r="B32" s="38" t="s">
        <v>218</v>
      </c>
      <c r="C32" s="40" t="s">
        <v>215</v>
      </c>
      <c r="D32" s="41">
        <v>100</v>
      </c>
      <c r="E32" s="41">
        <v>100</v>
      </c>
      <c r="F32" s="41">
        <v>100</v>
      </c>
      <c r="G32" s="41">
        <v>100</v>
      </c>
      <c r="H32" s="361">
        <v>2100000000</v>
      </c>
      <c r="I32" s="2092">
        <f t="shared" si="0"/>
        <v>0.12530565761904761</v>
      </c>
      <c r="J32" s="361">
        <v>2363141881</v>
      </c>
      <c r="K32" s="2092">
        <f t="shared" si="0"/>
        <v>-0.55082300494339209</v>
      </c>
      <c r="L32" s="361">
        <f>+'320201'!H20</f>
        <v>1061468969</v>
      </c>
    </row>
    <row r="33" spans="1:13" ht="38.25">
      <c r="A33" s="38">
        <v>24</v>
      </c>
      <c r="B33" s="38" t="s">
        <v>36</v>
      </c>
      <c r="C33" s="40" t="s">
        <v>215</v>
      </c>
      <c r="D33" s="41">
        <v>25</v>
      </c>
      <c r="E33" s="41">
        <v>25</v>
      </c>
      <c r="F33" s="41">
        <v>25</v>
      </c>
      <c r="G33" s="41">
        <v>25</v>
      </c>
      <c r="H33" s="361">
        <v>500000000</v>
      </c>
      <c r="I33" s="2092">
        <f t="shared" si="0"/>
        <v>-0.25798542800000002</v>
      </c>
      <c r="J33" s="361">
        <v>371007286</v>
      </c>
      <c r="K33" s="2092">
        <f t="shared" si="0"/>
        <v>-0.27355189730694401</v>
      </c>
      <c r="L33" s="361">
        <f>+'320201'!H24</f>
        <v>269517539</v>
      </c>
    </row>
    <row r="34" spans="1:13" ht="38.25">
      <c r="A34" s="38">
        <v>25</v>
      </c>
      <c r="B34" s="38" t="s">
        <v>37</v>
      </c>
      <c r="C34" s="40" t="s">
        <v>215</v>
      </c>
      <c r="D34" s="41">
        <v>100</v>
      </c>
      <c r="E34" s="41">
        <v>100</v>
      </c>
      <c r="F34" s="41">
        <v>100</v>
      </c>
      <c r="G34" s="41">
        <v>100</v>
      </c>
      <c r="H34" s="361">
        <v>150000000</v>
      </c>
      <c r="I34" s="2092">
        <f t="shared" si="0"/>
        <v>0.34668278000000002</v>
      </c>
      <c r="J34" s="361">
        <v>202002417</v>
      </c>
      <c r="K34" s="2092">
        <f t="shared" si="0"/>
        <v>0.21983705274179963</v>
      </c>
      <c r="L34" s="361">
        <f>+'320201'!H27</f>
        <v>246410033</v>
      </c>
    </row>
    <row r="35" spans="1:13" ht="25.5">
      <c r="A35" s="35">
        <v>26</v>
      </c>
      <c r="B35" s="35" t="s">
        <v>38</v>
      </c>
      <c r="C35" s="36" t="s">
        <v>210</v>
      </c>
      <c r="D35" s="43">
        <v>1</v>
      </c>
      <c r="E35" s="43">
        <v>1</v>
      </c>
      <c r="F35" s="43">
        <v>1</v>
      </c>
      <c r="G35" s="43">
        <v>1</v>
      </c>
      <c r="H35" s="361">
        <v>51527303</v>
      </c>
      <c r="I35" s="2092">
        <f t="shared" si="0"/>
        <v>2.3045899180867275</v>
      </c>
      <c r="J35" s="361">
        <v>170276606</v>
      </c>
      <c r="K35" s="2092">
        <f t="shared" si="0"/>
        <v>0.23578360494218448</v>
      </c>
      <c r="L35" s="361">
        <f>+'320201'!H30</f>
        <v>210425038</v>
      </c>
    </row>
    <row r="36" spans="1:13" ht="15.75">
      <c r="A36" s="2269" t="s">
        <v>426</v>
      </c>
      <c r="B36" s="2269"/>
      <c r="C36" s="2269"/>
      <c r="D36" s="2269"/>
      <c r="E36" s="2269"/>
      <c r="F36" s="2269"/>
      <c r="G36" s="2269"/>
      <c r="H36" s="362">
        <f>SUM(H37:H39)</f>
        <v>1216211306</v>
      </c>
      <c r="I36" s="2091">
        <f>+(J36-H36)/H36</f>
        <v>-0.35390393856114999</v>
      </c>
      <c r="J36" s="362">
        <f>SUM(J37:J39)</f>
        <v>785789334.68400002</v>
      </c>
      <c r="K36" s="2091">
        <f>+(L36-J36)/J36</f>
        <v>0.25467356387125922</v>
      </c>
      <c r="L36" s="362">
        <f>SUM(L37:L39)</f>
        <v>985909105</v>
      </c>
      <c r="M36" s="62"/>
    </row>
    <row r="37" spans="1:13" ht="51">
      <c r="A37" s="35">
        <v>27</v>
      </c>
      <c r="B37" s="35" t="s">
        <v>279</v>
      </c>
      <c r="C37" s="153" t="s">
        <v>211</v>
      </c>
      <c r="D37" s="153">
        <v>1</v>
      </c>
      <c r="E37" s="153">
        <v>1</v>
      </c>
      <c r="F37" s="153">
        <v>1</v>
      </c>
      <c r="G37" s="153">
        <v>1</v>
      </c>
      <c r="H37" s="361">
        <v>910151839</v>
      </c>
      <c r="I37" s="2092">
        <f t="shared" si="0"/>
        <v>-0.46642805532583231</v>
      </c>
      <c r="J37" s="361">
        <v>485631486.68399996</v>
      </c>
      <c r="K37" s="2092">
        <f t="shared" si="0"/>
        <v>0.26482137132694517</v>
      </c>
      <c r="L37" s="361">
        <f>+'320202'!H7</f>
        <v>614237082.94719994</v>
      </c>
    </row>
    <row r="38" spans="1:13" ht="51">
      <c r="A38" s="154">
        <v>28</v>
      </c>
      <c r="B38" s="154" t="s">
        <v>427</v>
      </c>
      <c r="C38" s="13" t="s">
        <v>211</v>
      </c>
      <c r="D38" s="13">
        <v>1</v>
      </c>
      <c r="E38" s="13">
        <v>1</v>
      </c>
      <c r="F38" s="13">
        <v>1</v>
      </c>
      <c r="G38" s="13">
        <v>1</v>
      </c>
      <c r="H38" s="361">
        <v>27108000</v>
      </c>
      <c r="I38" s="2092">
        <f t="shared" si="0"/>
        <v>0.22222222222222221</v>
      </c>
      <c r="J38" s="361">
        <v>33132000</v>
      </c>
      <c r="K38" s="2092">
        <f t="shared" si="0"/>
        <v>1.1777589090909095</v>
      </c>
      <c r="L38" s="361">
        <f>+'320202'!H11</f>
        <v>72153508.176000014</v>
      </c>
    </row>
    <row r="39" spans="1:13" ht="51">
      <c r="A39" s="154">
        <v>29</v>
      </c>
      <c r="B39" s="154" t="s">
        <v>428</v>
      </c>
      <c r="C39" s="13" t="s">
        <v>211</v>
      </c>
      <c r="D39" s="13">
        <v>1</v>
      </c>
      <c r="E39" s="13">
        <v>1</v>
      </c>
      <c r="F39" s="13">
        <v>1</v>
      </c>
      <c r="G39" s="13">
        <v>1</v>
      </c>
      <c r="H39" s="361">
        <v>278951467</v>
      </c>
      <c r="I39" s="2092">
        <f t="shared" si="0"/>
        <v>-4.2751590906671945E-2</v>
      </c>
      <c r="J39" s="361">
        <v>267025848</v>
      </c>
      <c r="K39" s="2092">
        <f t="shared" si="0"/>
        <v>0.12168359774968325</v>
      </c>
      <c r="L39" s="361">
        <f>+'320202'!H14</f>
        <v>299518513.87680006</v>
      </c>
    </row>
    <row r="40" spans="1:13" ht="15.75" customHeight="1">
      <c r="A40" s="2270" t="s">
        <v>384</v>
      </c>
      <c r="B40" s="2270"/>
      <c r="C40" s="2270"/>
      <c r="D40" s="2270"/>
      <c r="E40" s="2270"/>
      <c r="F40" s="2270"/>
      <c r="G40" s="2270"/>
      <c r="H40" s="362">
        <f>SUM(H41:H45)</f>
        <v>1863599822</v>
      </c>
      <c r="I40" s="2091">
        <f>+(J40-H40)/H40</f>
        <v>-0.49404037558445313</v>
      </c>
      <c r="J40" s="362">
        <f>SUM(J41:J45)</f>
        <v>942906266</v>
      </c>
      <c r="K40" s="2091">
        <f>+(L40-J40)/J40</f>
        <v>0.19818104804067554</v>
      </c>
      <c r="L40" s="362">
        <f>SUM(L41:L45)</f>
        <v>1129772418</v>
      </c>
      <c r="M40" s="62"/>
    </row>
    <row r="41" spans="1:13" ht="25.5">
      <c r="A41" s="38">
        <v>30</v>
      </c>
      <c r="B41" s="38" t="s">
        <v>292</v>
      </c>
      <c r="C41" s="40" t="s">
        <v>215</v>
      </c>
      <c r="D41" s="41">
        <v>100</v>
      </c>
      <c r="E41" s="41">
        <v>100</v>
      </c>
      <c r="F41" s="41">
        <v>100</v>
      </c>
      <c r="G41" s="41">
        <v>100</v>
      </c>
      <c r="H41" s="361">
        <v>163787200</v>
      </c>
      <c r="I41" s="2092">
        <f t="shared" si="0"/>
        <v>-0.51156134301093126</v>
      </c>
      <c r="J41" s="361">
        <v>80000000</v>
      </c>
      <c r="K41" s="2092">
        <f t="shared" si="0"/>
        <v>0.50285741250000004</v>
      </c>
      <c r="L41" s="361">
        <f>+'320203'!H7</f>
        <v>120228593</v>
      </c>
    </row>
    <row r="42" spans="1:13" ht="38.25">
      <c r="A42" s="154">
        <v>31</v>
      </c>
      <c r="B42" s="154" t="s">
        <v>429</v>
      </c>
      <c r="C42" s="13" t="s">
        <v>215</v>
      </c>
      <c r="D42" s="13">
        <v>100</v>
      </c>
      <c r="E42" s="13">
        <v>100</v>
      </c>
      <c r="F42" s="13">
        <v>100</v>
      </c>
      <c r="G42" s="13">
        <v>100</v>
      </c>
      <c r="H42" s="361">
        <v>304823665</v>
      </c>
      <c r="I42" s="2092">
        <f t="shared" si="0"/>
        <v>6.2757814423627503E-2</v>
      </c>
      <c r="J42" s="361">
        <v>323953732</v>
      </c>
      <c r="K42" s="2092">
        <f t="shared" si="0"/>
        <v>4.8712218570768004E-2</v>
      </c>
      <c r="L42" s="361">
        <f>+'320203'!H9</f>
        <v>339734237</v>
      </c>
    </row>
    <row r="43" spans="1:13" ht="25.5">
      <c r="A43" s="154">
        <v>32</v>
      </c>
      <c r="B43" s="154" t="s">
        <v>42</v>
      </c>
      <c r="C43" s="13" t="s">
        <v>296</v>
      </c>
      <c r="D43" s="13">
        <v>500</v>
      </c>
      <c r="E43" s="13">
        <v>300</v>
      </c>
      <c r="F43" s="13">
        <v>300</v>
      </c>
      <c r="G43" s="13">
        <v>300</v>
      </c>
      <c r="H43" s="361">
        <v>678407316</v>
      </c>
      <c r="I43" s="2092">
        <f t="shared" si="0"/>
        <v>-0.7320803185442063</v>
      </c>
      <c r="J43" s="361">
        <v>181758672</v>
      </c>
      <c r="K43" s="2092">
        <f t="shared" si="0"/>
        <v>2.6171736113917029E-3</v>
      </c>
      <c r="L43" s="361">
        <f>+'320203'!H12</f>
        <v>182234366</v>
      </c>
    </row>
    <row r="44" spans="1:13" ht="38.25">
      <c r="A44" s="154">
        <v>33</v>
      </c>
      <c r="B44" s="154" t="s">
        <v>43</v>
      </c>
      <c r="C44" s="13" t="s">
        <v>215</v>
      </c>
      <c r="D44" s="13">
        <v>100</v>
      </c>
      <c r="E44" s="13">
        <v>100</v>
      </c>
      <c r="F44" s="13">
        <v>100</v>
      </c>
      <c r="G44" s="13">
        <v>100</v>
      </c>
      <c r="H44" s="361">
        <v>337051099</v>
      </c>
      <c r="I44" s="2092">
        <f t="shared" si="0"/>
        <v>-0.18409997529781086</v>
      </c>
      <c r="J44" s="361">
        <v>275000000</v>
      </c>
      <c r="K44" s="2092">
        <f t="shared" si="0"/>
        <v>8.2549218181818179E-2</v>
      </c>
      <c r="L44" s="361">
        <f>+'320203'!H15</f>
        <v>297701035</v>
      </c>
    </row>
    <row r="45" spans="1:13" ht="63.75">
      <c r="A45" s="154">
        <v>34</v>
      </c>
      <c r="B45" s="154" t="s">
        <v>44</v>
      </c>
      <c r="C45" s="13" t="s">
        <v>293</v>
      </c>
      <c r="D45" s="13">
        <v>340</v>
      </c>
      <c r="E45" s="13">
        <v>50</v>
      </c>
      <c r="F45" s="13">
        <v>110</v>
      </c>
      <c r="G45" s="13">
        <v>110</v>
      </c>
      <c r="H45" s="361">
        <v>379530542</v>
      </c>
      <c r="I45" s="2092">
        <f t="shared" si="0"/>
        <v>-0.78343281263514231</v>
      </c>
      <c r="J45" s="361">
        <v>82193862</v>
      </c>
      <c r="K45" s="2092">
        <f t="shared" si="0"/>
        <v>1.3100774483622633</v>
      </c>
      <c r="L45" s="361">
        <f>+'320203'!H17</f>
        <v>189874187</v>
      </c>
    </row>
    <row r="46" spans="1:13" ht="15.75">
      <c r="A46" s="2254" t="s">
        <v>430</v>
      </c>
      <c r="B46" s="2255"/>
      <c r="C46" s="2255"/>
      <c r="D46" s="2255"/>
      <c r="E46" s="2255"/>
      <c r="F46" s="2255"/>
      <c r="G46" s="2255"/>
      <c r="H46" s="2255"/>
      <c r="I46" s="2255"/>
      <c r="J46" s="2255"/>
      <c r="K46" s="2255"/>
      <c r="L46" s="2255"/>
      <c r="M46" s="62"/>
    </row>
    <row r="47" spans="1:13" ht="15.75">
      <c r="A47" s="2262" t="s">
        <v>431</v>
      </c>
      <c r="B47" s="2262"/>
      <c r="C47" s="2262"/>
      <c r="D47" s="2262"/>
      <c r="E47" s="2262"/>
      <c r="F47" s="2262"/>
      <c r="G47" s="2262"/>
      <c r="H47" s="362">
        <f>SUM(H48:H50)</f>
        <v>8870865331</v>
      </c>
      <c r="I47" s="2091">
        <f>+(J47-H47)/H47</f>
        <v>4.7614223893576543E-2</v>
      </c>
      <c r="J47" s="362">
        <f>SUM(J48:J50)</f>
        <v>9293244699</v>
      </c>
      <c r="K47" s="2091">
        <f>+(L47-J47)/J47</f>
        <v>4.5319209843825412E-2</v>
      </c>
      <c r="L47" s="362">
        <f>SUM(L48:L50)</f>
        <v>9714407205.6439991</v>
      </c>
    </row>
    <row r="48" spans="1:13" ht="63.75">
      <c r="A48" s="52">
        <v>35</v>
      </c>
      <c r="B48" s="52" t="s">
        <v>39</v>
      </c>
      <c r="C48" s="44" t="s">
        <v>215</v>
      </c>
      <c r="D48" s="41">
        <v>30</v>
      </c>
      <c r="E48" s="41">
        <v>36</v>
      </c>
      <c r="F48" s="41">
        <v>60</v>
      </c>
      <c r="G48" s="41">
        <v>100</v>
      </c>
      <c r="H48" s="361">
        <v>670782143</v>
      </c>
      <c r="I48" s="2092">
        <f t="shared" si="0"/>
        <v>1.1883508309194808</v>
      </c>
      <c r="J48" s="361">
        <v>1467906660</v>
      </c>
      <c r="K48" s="2092">
        <f t="shared" si="0"/>
        <v>0.68788505574870795</v>
      </c>
      <c r="L48" s="361">
        <f>+'320301'!I7</f>
        <v>2477657714.6479998</v>
      </c>
    </row>
    <row r="49" spans="1:13" ht="63.75">
      <c r="A49" s="52">
        <v>36</v>
      </c>
      <c r="B49" s="52" t="s">
        <v>40</v>
      </c>
      <c r="C49" s="44" t="s">
        <v>215</v>
      </c>
      <c r="D49" s="41">
        <v>100</v>
      </c>
      <c r="E49" s="41">
        <v>100</v>
      </c>
      <c r="F49" s="41">
        <v>100</v>
      </c>
      <c r="G49" s="41">
        <v>100</v>
      </c>
      <c r="H49" s="361">
        <v>4623119916</v>
      </c>
      <c r="I49" s="2092">
        <f t="shared" si="0"/>
        <v>0.24646349147392524</v>
      </c>
      <c r="J49" s="361">
        <v>5762550192</v>
      </c>
      <c r="K49" s="2092">
        <f t="shared" si="0"/>
        <v>-0.18515402772287048</v>
      </c>
      <c r="L49" s="361">
        <f>+'320301'!I9</f>
        <v>4695590813.9959993</v>
      </c>
    </row>
    <row r="50" spans="1:13" ht="89.25">
      <c r="A50" s="155">
        <v>37</v>
      </c>
      <c r="B50" s="155" t="s">
        <v>302</v>
      </c>
      <c r="C50" s="156" t="s">
        <v>211</v>
      </c>
      <c r="D50" s="156">
        <v>1</v>
      </c>
      <c r="E50" s="156">
        <v>1</v>
      </c>
      <c r="F50" s="156">
        <v>1</v>
      </c>
      <c r="G50" s="156">
        <v>1</v>
      </c>
      <c r="H50" s="361">
        <v>3576963272</v>
      </c>
      <c r="I50" s="2092">
        <f t="shared" si="0"/>
        <v>-0.42331310384223592</v>
      </c>
      <c r="J50" s="361">
        <v>2062787847</v>
      </c>
      <c r="K50" s="2092">
        <f t="shared" si="0"/>
        <v>0.23190500695246727</v>
      </c>
      <c r="L50" s="361">
        <f>+'320301'!I11</f>
        <v>2541158677</v>
      </c>
    </row>
    <row r="51" spans="1:13" ht="15.75">
      <c r="A51" s="2265" t="s">
        <v>186</v>
      </c>
      <c r="B51" s="2265"/>
      <c r="C51" s="2265"/>
      <c r="D51" s="2265"/>
      <c r="E51" s="2265"/>
      <c r="F51" s="2265"/>
      <c r="G51" s="2265"/>
      <c r="H51" s="362">
        <f>SUM(H52:H58)</f>
        <v>2750155284</v>
      </c>
      <c r="I51" s="2091">
        <f>+(J51-H51)/H51</f>
        <v>-0.30084448842053096</v>
      </c>
      <c r="J51" s="362">
        <f>SUM(J52:J58)</f>
        <v>1922786224.5079999</v>
      </c>
      <c r="K51" s="2091">
        <f>+(L51-J51)/J51</f>
        <v>0.16943623597387278</v>
      </c>
      <c r="L51" s="362">
        <f>SUM(L52:L58)</f>
        <v>2248575884.9710493</v>
      </c>
      <c r="M51" s="62"/>
    </row>
    <row r="52" spans="1:13" ht="38.25">
      <c r="A52" s="52">
        <v>38</v>
      </c>
      <c r="B52" s="52" t="s">
        <v>45</v>
      </c>
      <c r="C52" s="44" t="s">
        <v>215</v>
      </c>
      <c r="D52" s="41">
        <v>100</v>
      </c>
      <c r="E52" s="41">
        <v>100</v>
      </c>
      <c r="F52" s="41">
        <v>100</v>
      </c>
      <c r="G52" s="41">
        <v>100</v>
      </c>
      <c r="H52" s="361">
        <v>26400000</v>
      </c>
      <c r="I52" s="2092">
        <f t="shared" si="0"/>
        <v>-0.74899998484848496</v>
      </c>
      <c r="J52" s="361">
        <v>6626400.4000000004</v>
      </c>
      <c r="K52" s="2092">
        <f t="shared" si="0"/>
        <v>0.56869990530605408</v>
      </c>
      <c r="L52" s="361">
        <f>+'320302'!H7</f>
        <v>10394833.68</v>
      </c>
    </row>
    <row r="53" spans="1:13" ht="38.25">
      <c r="A53" s="52">
        <v>39</v>
      </c>
      <c r="B53" s="52" t="s">
        <v>47</v>
      </c>
      <c r="C53" s="44" t="s">
        <v>215</v>
      </c>
      <c r="D53" s="41">
        <v>100</v>
      </c>
      <c r="E53" s="41">
        <v>100</v>
      </c>
      <c r="F53" s="41">
        <v>100</v>
      </c>
      <c r="G53" s="41">
        <v>100</v>
      </c>
      <c r="H53" s="361">
        <v>26400000</v>
      </c>
      <c r="I53" s="2092">
        <f t="shared" si="0"/>
        <v>-0.74899998484848496</v>
      </c>
      <c r="J53" s="361">
        <v>6626400.4000000004</v>
      </c>
      <c r="K53" s="2092">
        <f t="shared" si="0"/>
        <v>4.5799936870702794E-2</v>
      </c>
      <c r="L53" s="361">
        <f>+'320302'!H9</f>
        <v>6929889.1200000001</v>
      </c>
    </row>
    <row r="54" spans="1:13" ht="25.5">
      <c r="A54" s="52">
        <v>40</v>
      </c>
      <c r="B54" s="52" t="s">
        <v>56</v>
      </c>
      <c r="C54" s="44" t="s">
        <v>215</v>
      </c>
      <c r="D54" s="41">
        <v>20</v>
      </c>
      <c r="E54" s="41">
        <v>60</v>
      </c>
      <c r="F54" s="41">
        <v>80</v>
      </c>
      <c r="G54" s="41">
        <v>100</v>
      </c>
      <c r="H54" s="361">
        <v>199288633</v>
      </c>
      <c r="I54" s="2092">
        <f t="shared" si="0"/>
        <v>0.38121296398274868</v>
      </c>
      <c r="J54" s="361">
        <v>275260043.47400022</v>
      </c>
      <c r="K54" s="2092">
        <f t="shared" si="0"/>
        <v>-0.99200755775435379</v>
      </c>
      <c r="L54" s="361">
        <f>+'320302'!H11</f>
        <v>2200000</v>
      </c>
    </row>
    <row r="55" spans="1:13" ht="38.25">
      <c r="A55" s="52">
        <v>41</v>
      </c>
      <c r="B55" s="52" t="s">
        <v>57</v>
      </c>
      <c r="C55" s="44" t="s">
        <v>215</v>
      </c>
      <c r="D55" s="41">
        <v>20</v>
      </c>
      <c r="E55" s="41">
        <v>60</v>
      </c>
      <c r="F55" s="41">
        <v>80</v>
      </c>
      <c r="G55" s="41">
        <v>100</v>
      </c>
      <c r="H55" s="361">
        <v>324995200</v>
      </c>
      <c r="I55" s="2092">
        <f t="shared" si="0"/>
        <v>-0.11531626856642815</v>
      </c>
      <c r="J55" s="361">
        <v>287517966.23399997</v>
      </c>
      <c r="K55" s="2092">
        <f t="shared" si="0"/>
        <v>0.39931454006098682</v>
      </c>
      <c r="L55" s="361">
        <f>+'320302'!H13</f>
        <v>402328070.68000001</v>
      </c>
    </row>
    <row r="56" spans="1:13" ht="38.25">
      <c r="A56" s="155">
        <v>42</v>
      </c>
      <c r="B56" s="155" t="s">
        <v>58</v>
      </c>
      <c r="C56" s="156" t="s">
        <v>211</v>
      </c>
      <c r="D56" s="156">
        <v>1</v>
      </c>
      <c r="E56" s="156">
        <v>1</v>
      </c>
      <c r="F56" s="156">
        <v>1</v>
      </c>
      <c r="G56" s="156">
        <v>1</v>
      </c>
      <c r="H56" s="361">
        <v>1576566831</v>
      </c>
      <c r="I56" s="2092">
        <f t="shared" si="0"/>
        <v>-0.35465541490134267</v>
      </c>
      <c r="J56" s="361">
        <v>1017428867.432</v>
      </c>
      <c r="K56" s="2092">
        <f t="shared" si="0"/>
        <v>0.52141878291186772</v>
      </c>
      <c r="L56" s="361">
        <f>+'320302'!H16</f>
        <v>1547935389.1877935</v>
      </c>
    </row>
    <row r="57" spans="1:13" ht="38.25">
      <c r="A57" s="155">
        <v>43</v>
      </c>
      <c r="B57" s="155" t="s">
        <v>59</v>
      </c>
      <c r="C57" s="156" t="s">
        <v>211</v>
      </c>
      <c r="D57" s="156">
        <v>0</v>
      </c>
      <c r="E57" s="156">
        <v>0</v>
      </c>
      <c r="F57" s="156">
        <v>6</v>
      </c>
      <c r="G57" s="156">
        <v>7</v>
      </c>
      <c r="H57" s="361">
        <v>0</v>
      </c>
      <c r="I57" s="2092"/>
      <c r="J57" s="361">
        <v>0</v>
      </c>
      <c r="K57" s="2092"/>
      <c r="L57" s="361">
        <f>+'320302'!H20</f>
        <v>278658189.30325603</v>
      </c>
    </row>
    <row r="58" spans="1:13" ht="25.5">
      <c r="A58" s="157">
        <v>44</v>
      </c>
      <c r="B58" s="158" t="s">
        <v>3</v>
      </c>
      <c r="C58" s="40" t="s">
        <v>215</v>
      </c>
      <c r="D58" s="40">
        <v>100</v>
      </c>
      <c r="E58" s="40">
        <v>100</v>
      </c>
      <c r="F58" s="40">
        <v>100</v>
      </c>
      <c r="G58" s="40">
        <v>100</v>
      </c>
      <c r="H58" s="361">
        <v>596504620</v>
      </c>
      <c r="I58" s="2092">
        <f t="shared" si="0"/>
        <v>-0.44790612591064266</v>
      </c>
      <c r="J58" s="361">
        <v>329326546.56799996</v>
      </c>
      <c r="K58" s="2092">
        <f t="shared" si="0"/>
        <v>-0.99960673379856657</v>
      </c>
      <c r="L58" s="361">
        <f>+'320302'!H22</f>
        <v>129513</v>
      </c>
    </row>
    <row r="59" spans="1:13" ht="16.5" customHeight="1">
      <c r="A59" s="2263" t="s">
        <v>432</v>
      </c>
      <c r="B59" s="2264"/>
      <c r="C59" s="2264"/>
      <c r="D59" s="2264"/>
      <c r="E59" s="2264"/>
      <c r="F59" s="2264"/>
      <c r="G59" s="2264"/>
      <c r="H59" s="2264"/>
      <c r="I59" s="2264"/>
      <c r="J59" s="2264"/>
      <c r="K59" s="2264"/>
      <c r="L59" s="2264"/>
    </row>
    <row r="60" spans="1:13" ht="15.75">
      <c r="A60" s="2262" t="s">
        <v>188</v>
      </c>
      <c r="B60" s="2262"/>
      <c r="C60" s="2262"/>
      <c r="D60" s="2262"/>
      <c r="E60" s="2262"/>
      <c r="F60" s="2262"/>
      <c r="G60" s="2262"/>
      <c r="H60" s="362">
        <f>SUM(H61:H62)</f>
        <v>227759591</v>
      </c>
      <c r="I60" s="2091">
        <f>+(J60-H60)/H60</f>
        <v>-4.3994208788335945E-2</v>
      </c>
      <c r="J60" s="362">
        <f>SUM(J61:J62)</f>
        <v>217739488</v>
      </c>
      <c r="K60" s="2091">
        <f>+(L60-J60)/J60</f>
        <v>0.17401591975820213</v>
      </c>
      <c r="L60" s="362">
        <f>SUM(L61:L62)</f>
        <v>255629625.27200001</v>
      </c>
    </row>
    <row r="61" spans="1:13" ht="51">
      <c r="A61" s="159">
        <v>45</v>
      </c>
      <c r="B61" s="159" t="s">
        <v>54</v>
      </c>
      <c r="C61" s="153" t="s">
        <v>215</v>
      </c>
      <c r="D61" s="160">
        <v>1</v>
      </c>
      <c r="E61" s="160">
        <v>1</v>
      </c>
      <c r="F61" s="160">
        <v>1</v>
      </c>
      <c r="G61" s="160">
        <v>1</v>
      </c>
      <c r="H61" s="361">
        <v>191281761</v>
      </c>
      <c r="I61" s="2092">
        <f t="shared" si="0"/>
        <v>-0.22148725931062502</v>
      </c>
      <c r="J61" s="361">
        <v>148915288</v>
      </c>
      <c r="K61" s="2092">
        <f t="shared" si="0"/>
        <v>0.35772144893545138</v>
      </c>
      <c r="L61" s="361">
        <f>+'320401'!G8</f>
        <v>202185480.59200004</v>
      </c>
    </row>
    <row r="62" spans="1:13" ht="25.5">
      <c r="A62" s="161">
        <v>46</v>
      </c>
      <c r="B62" s="161" t="s">
        <v>55</v>
      </c>
      <c r="C62" s="162" t="s">
        <v>215</v>
      </c>
      <c r="D62" s="163">
        <v>0.9</v>
      </c>
      <c r="E62" s="163">
        <v>0.9</v>
      </c>
      <c r="F62" s="163">
        <v>0.9</v>
      </c>
      <c r="G62" s="163">
        <v>0.9</v>
      </c>
      <c r="H62" s="361">
        <v>36477830</v>
      </c>
      <c r="I62" s="2092">
        <f t="shared" si="0"/>
        <v>0.88674052157159566</v>
      </c>
      <c r="J62" s="361">
        <v>68824200</v>
      </c>
      <c r="K62" s="2092">
        <f t="shared" si="0"/>
        <v>-0.2234687118775083</v>
      </c>
      <c r="L62" s="361">
        <f>+'320401'!G10</f>
        <v>53444144.679999992</v>
      </c>
    </row>
    <row r="63" spans="1:13" ht="15.75">
      <c r="A63" s="2254" t="s">
        <v>433</v>
      </c>
      <c r="B63" s="2255"/>
      <c r="C63" s="2255"/>
      <c r="D63" s="2255"/>
      <c r="E63" s="2255"/>
      <c r="F63" s="2255"/>
      <c r="G63" s="2255"/>
      <c r="H63" s="2255"/>
      <c r="I63" s="2255"/>
      <c r="J63" s="2255"/>
      <c r="K63" s="2255"/>
      <c r="L63" s="2255"/>
    </row>
    <row r="64" spans="1:13" ht="15.75">
      <c r="A64" s="2261" t="s">
        <v>434</v>
      </c>
      <c r="B64" s="2261"/>
      <c r="C64" s="2261"/>
      <c r="D64" s="2261"/>
      <c r="E64" s="2261"/>
      <c r="F64" s="2261"/>
      <c r="G64" s="2261"/>
      <c r="H64" s="362">
        <f>SUM(H65:H66)</f>
        <v>139387741</v>
      </c>
      <c r="I64" s="2091">
        <f>+(J64-H64)/H64</f>
        <v>0.65080339453955283</v>
      </c>
      <c r="J64" s="362">
        <f>SUM(J65:J66)</f>
        <v>230101756</v>
      </c>
      <c r="K64" s="2091">
        <f>+(L64-J64)/J64</f>
        <v>1.1562101681657744</v>
      </c>
      <c r="L64" s="362">
        <f>SUM(L65:L66)</f>
        <v>496147746</v>
      </c>
    </row>
    <row r="65" spans="1:12" ht="89.25">
      <c r="A65" s="52">
        <v>47</v>
      </c>
      <c r="B65" s="52" t="s">
        <v>1</v>
      </c>
      <c r="C65" s="128" t="s">
        <v>215</v>
      </c>
      <c r="D65" s="128">
        <v>100</v>
      </c>
      <c r="E65" s="128">
        <v>100</v>
      </c>
      <c r="F65" s="128">
        <v>100</v>
      </c>
      <c r="G65" s="128">
        <v>100</v>
      </c>
      <c r="H65" s="361">
        <v>122413704</v>
      </c>
      <c r="I65" s="2092">
        <f t="shared" si="0"/>
        <v>6.0544250829956098E-2</v>
      </c>
      <c r="J65" s="361">
        <v>129825150</v>
      </c>
      <c r="K65" s="2092">
        <f t="shared" si="0"/>
        <v>2.036363039549733</v>
      </c>
      <c r="L65" s="361">
        <f>+'320501'!E7+'320501'!F7+'320501'!G7</f>
        <v>394196287.06400001</v>
      </c>
    </row>
    <row r="66" spans="1:12" ht="25.5">
      <c r="A66" s="164">
        <v>48</v>
      </c>
      <c r="B66" s="164" t="s">
        <v>0</v>
      </c>
      <c r="C66" s="36" t="s">
        <v>327</v>
      </c>
      <c r="D66" s="36">
        <v>1</v>
      </c>
      <c r="E66" s="36">
        <v>1</v>
      </c>
      <c r="F66" s="36">
        <v>1</v>
      </c>
      <c r="G66" s="36">
        <v>1</v>
      </c>
      <c r="H66" s="361">
        <v>16974037</v>
      </c>
      <c r="I66" s="2092">
        <f t="shared" si="0"/>
        <v>4.9076462482083665</v>
      </c>
      <c r="J66" s="361">
        <v>100276606</v>
      </c>
      <c r="K66" s="2092">
        <f t="shared" si="0"/>
        <v>1.6702329713871693E-2</v>
      </c>
      <c r="L66" s="361">
        <f>+'320501'!E9</f>
        <v>101951458.936</v>
      </c>
    </row>
    <row r="67" spans="1:12" ht="15.75">
      <c r="A67" s="2262" t="s">
        <v>435</v>
      </c>
      <c r="B67" s="2262"/>
      <c r="C67" s="2262"/>
      <c r="D67" s="2262"/>
      <c r="E67" s="2262"/>
      <c r="F67" s="2262"/>
      <c r="G67" s="2262"/>
      <c r="H67" s="362">
        <f>SUM(H68:H69)</f>
        <v>1604055594</v>
      </c>
      <c r="I67" s="2091">
        <f>+(J67-H67)/H67</f>
        <v>4.1927522279193524E-2</v>
      </c>
      <c r="J67" s="362">
        <f>SUM(J68:J69)</f>
        <v>1671309670.6545</v>
      </c>
      <c r="K67" s="2091">
        <f>+(L67-J67)/J67</f>
        <v>0.67167402959254641</v>
      </c>
      <c r="L67" s="362">
        <f>SUM(L68:L69)</f>
        <v>2793884971.8399997</v>
      </c>
    </row>
    <row r="68" spans="1:12" ht="30.75" customHeight="1">
      <c r="A68" s="164">
        <v>49</v>
      </c>
      <c r="B68" s="164" t="s">
        <v>436</v>
      </c>
      <c r="C68" s="36" t="s">
        <v>215</v>
      </c>
      <c r="D68" s="36">
        <v>100</v>
      </c>
      <c r="E68" s="36">
        <v>100</v>
      </c>
      <c r="F68" s="36">
        <v>100</v>
      </c>
      <c r="G68" s="36">
        <v>100</v>
      </c>
      <c r="H68" s="361">
        <v>1498230496</v>
      </c>
      <c r="I68" s="2092">
        <f t="shared" si="0"/>
        <v>-4.98797071245171E-2</v>
      </c>
      <c r="J68" s="361">
        <v>1423499197.6545</v>
      </c>
      <c r="K68" s="2092">
        <f t="shared" si="0"/>
        <v>-0.48357184156388555</v>
      </c>
      <c r="L68" s="361">
        <f>+'320502'!G7</f>
        <v>735135069.17999995</v>
      </c>
    </row>
    <row r="69" spans="1:12" ht="27.75" customHeight="1">
      <c r="A69" s="165">
        <v>50</v>
      </c>
      <c r="B69" s="165" t="s">
        <v>437</v>
      </c>
      <c r="C69" s="36" t="s">
        <v>215</v>
      </c>
      <c r="D69" s="36">
        <v>100</v>
      </c>
      <c r="E69" s="36">
        <v>100</v>
      </c>
      <c r="F69" s="36">
        <v>100</v>
      </c>
      <c r="G69" s="36">
        <v>100</v>
      </c>
      <c r="H69" s="361">
        <v>105825098</v>
      </c>
      <c r="I69" s="2092">
        <f t="shared" si="0"/>
        <v>1.341698497647505</v>
      </c>
      <c r="J69" s="361">
        <v>247810473</v>
      </c>
      <c r="K69" s="2092">
        <f t="shared" si="0"/>
        <v>7.3077598688090957</v>
      </c>
      <c r="L69" s="361">
        <f>+'320502'!G13</f>
        <v>2058749902.6599998</v>
      </c>
    </row>
    <row r="70" spans="1:12" ht="15.75">
      <c r="A70" s="2262" t="s">
        <v>438</v>
      </c>
      <c r="B70" s="2262"/>
      <c r="C70" s="2262"/>
      <c r="D70" s="2262"/>
      <c r="E70" s="2262"/>
      <c r="F70" s="2262"/>
      <c r="G70" s="2262"/>
      <c r="H70" s="362">
        <f>SUM(H71:H72)</f>
        <v>200000000</v>
      </c>
      <c r="I70" s="2091">
        <f>+(J70-H70)/H70</f>
        <v>0.25</v>
      </c>
      <c r="J70" s="362">
        <f>SUM(J71:J72)</f>
        <v>250000000</v>
      </c>
      <c r="K70" s="2091">
        <f>+(L70-J70)/J70</f>
        <v>0.14419155550399995</v>
      </c>
      <c r="L70" s="362">
        <f>SUM(L71:L72)</f>
        <v>286047888.87599999</v>
      </c>
    </row>
    <row r="71" spans="1:12" ht="25.5">
      <c r="A71" s="166">
        <v>51</v>
      </c>
      <c r="B71" s="164" t="s">
        <v>4</v>
      </c>
      <c r="C71" s="153" t="s">
        <v>439</v>
      </c>
      <c r="D71" s="13">
        <v>5</v>
      </c>
      <c r="E71" s="13">
        <v>5</v>
      </c>
      <c r="F71" s="13">
        <v>5</v>
      </c>
      <c r="G71" s="13">
        <v>5</v>
      </c>
      <c r="H71" s="361">
        <v>200000000</v>
      </c>
      <c r="I71" s="2092">
        <f t="shared" ref="I71:K88" si="1">+(J71-H71)/H71</f>
        <v>-2.41E-2</v>
      </c>
      <c r="J71" s="361">
        <v>195180000</v>
      </c>
      <c r="K71" s="2092">
        <f t="shared" si="1"/>
        <v>-0.13124813569013224</v>
      </c>
      <c r="L71" s="361">
        <f>+'320503'!G8</f>
        <v>169562988.87599999</v>
      </c>
    </row>
    <row r="72" spans="1:12" ht="25.5">
      <c r="A72" s="166">
        <v>52</v>
      </c>
      <c r="B72" s="164" t="s">
        <v>0</v>
      </c>
      <c r="C72" s="153" t="s">
        <v>327</v>
      </c>
      <c r="D72" s="13">
        <v>1</v>
      </c>
      <c r="E72" s="13">
        <v>1</v>
      </c>
      <c r="F72" s="13">
        <v>1</v>
      </c>
      <c r="G72" s="13">
        <v>1</v>
      </c>
      <c r="H72" s="361">
        <v>0</v>
      </c>
      <c r="I72" s="2092">
        <v>1</v>
      </c>
      <c r="J72" s="361">
        <v>54820000</v>
      </c>
      <c r="K72" s="2092">
        <v>1</v>
      </c>
      <c r="L72" s="361">
        <f>+'320503'!G10+'320503'!K10</f>
        <v>116484900</v>
      </c>
    </row>
    <row r="73" spans="1:12" ht="15.75">
      <c r="A73" s="2254" t="s">
        <v>192</v>
      </c>
      <c r="B73" s="2255"/>
      <c r="C73" s="2255"/>
      <c r="D73" s="2255"/>
      <c r="E73" s="2255"/>
      <c r="F73" s="2255"/>
      <c r="G73" s="2255"/>
      <c r="H73" s="2255"/>
      <c r="I73" s="2255"/>
      <c r="J73" s="2255"/>
      <c r="K73" s="2255"/>
      <c r="L73" s="2255"/>
    </row>
    <row r="74" spans="1:12" ht="15.75">
      <c r="A74" s="2262" t="s">
        <v>440</v>
      </c>
      <c r="B74" s="2262"/>
      <c r="C74" s="2262"/>
      <c r="D74" s="2262"/>
      <c r="E74" s="2262"/>
      <c r="F74" s="2262"/>
      <c r="G74" s="2262"/>
      <c r="H74" s="362">
        <f>SUM(H75:H76)</f>
        <v>160416014</v>
      </c>
      <c r="I74" s="2091">
        <f>+(J74-H74)/H74</f>
        <v>-2.0499287558659825E-2</v>
      </c>
      <c r="J74" s="362">
        <f>SUM(J75:J76)</f>
        <v>157127600</v>
      </c>
      <c r="K74" s="2091">
        <f>+(L74-J74)/J74</f>
        <v>0.76767162484503038</v>
      </c>
      <c r="L74" s="362">
        <f>SUM(L75:L76)</f>
        <v>277750000</v>
      </c>
    </row>
    <row r="75" spans="1:12" ht="76.5">
      <c r="A75" s="52">
        <v>53</v>
      </c>
      <c r="B75" s="52" t="s">
        <v>2</v>
      </c>
      <c r="C75" s="40" t="s">
        <v>215</v>
      </c>
      <c r="D75" s="40">
        <v>100</v>
      </c>
      <c r="E75" s="40">
        <v>100</v>
      </c>
      <c r="F75" s="40">
        <v>100</v>
      </c>
      <c r="G75" s="40">
        <v>100</v>
      </c>
      <c r="H75" s="361">
        <v>49285263</v>
      </c>
      <c r="I75" s="2092">
        <f t="shared" si="1"/>
        <v>6.9488053660178295E-2</v>
      </c>
      <c r="J75" s="361">
        <v>52710000</v>
      </c>
      <c r="K75" s="2092">
        <f t="shared" si="1"/>
        <v>9.5617529880478086E-2</v>
      </c>
      <c r="L75" s="361">
        <f>+'320601'!G7</f>
        <v>57750000</v>
      </c>
    </row>
    <row r="76" spans="1:12" ht="63.75">
      <c r="A76" s="12">
        <v>54</v>
      </c>
      <c r="B76" s="12" t="s">
        <v>12</v>
      </c>
      <c r="C76" s="13" t="s">
        <v>215</v>
      </c>
      <c r="D76" s="13">
        <v>100</v>
      </c>
      <c r="E76" s="13">
        <v>100</v>
      </c>
      <c r="F76" s="13">
        <v>100</v>
      </c>
      <c r="G76" s="13">
        <v>100</v>
      </c>
      <c r="H76" s="361">
        <v>111130751</v>
      </c>
      <c r="I76" s="2092">
        <f t="shared" si="1"/>
        <v>-6.0407681398643658E-2</v>
      </c>
      <c r="J76" s="361">
        <v>104417600</v>
      </c>
      <c r="K76" s="2092">
        <f t="shared" si="1"/>
        <v>1.1069245031488943</v>
      </c>
      <c r="L76" s="361">
        <f>+'320601'!G9</f>
        <v>220000000</v>
      </c>
    </row>
    <row r="77" spans="1:12" ht="15.75">
      <c r="A77" s="2254" t="s">
        <v>441</v>
      </c>
      <c r="B77" s="2255"/>
      <c r="C77" s="2255"/>
      <c r="D77" s="2255"/>
      <c r="E77" s="2255"/>
      <c r="F77" s="2255"/>
      <c r="G77" s="2255"/>
      <c r="H77" s="2255"/>
      <c r="I77" s="2255"/>
      <c r="J77" s="2255"/>
      <c r="K77" s="2255"/>
      <c r="L77" s="2255"/>
    </row>
    <row r="78" spans="1:12" ht="15.75">
      <c r="A78" s="2262" t="s">
        <v>195</v>
      </c>
      <c r="B78" s="2262"/>
      <c r="C78" s="2262"/>
      <c r="D78" s="2262"/>
      <c r="E78" s="2262"/>
      <c r="F78" s="2262"/>
      <c r="G78" s="2262"/>
      <c r="H78" s="362">
        <f>SUM(H79:H80)</f>
        <v>726656802</v>
      </c>
      <c r="I78" s="2091">
        <f>+(J78-H78)/H78</f>
        <v>1.855277617011834E-2</v>
      </c>
      <c r="J78" s="362">
        <f>SUM(J79:J80)</f>
        <v>740138303</v>
      </c>
      <c r="K78" s="2091">
        <f>+(L78-J78)/J78</f>
        <v>6.0033334511536508E-2</v>
      </c>
      <c r="L78" s="362">
        <f>SUM(L79:L80)</f>
        <v>784571273.32879996</v>
      </c>
    </row>
    <row r="79" spans="1:12" ht="25.5">
      <c r="A79" s="15">
        <v>55</v>
      </c>
      <c r="B79" s="15" t="s">
        <v>330</v>
      </c>
      <c r="C79" s="16" t="s">
        <v>215</v>
      </c>
      <c r="D79" s="16">
        <v>100</v>
      </c>
      <c r="E79" s="16">
        <v>100</v>
      </c>
      <c r="F79" s="16">
        <v>100</v>
      </c>
      <c r="G79" s="16">
        <v>100</v>
      </c>
      <c r="H79" s="361">
        <v>701093902</v>
      </c>
      <c r="I79" s="2092">
        <f t="shared" si="1"/>
        <v>-0.14296917248040764</v>
      </c>
      <c r="J79" s="361">
        <v>600859087</v>
      </c>
      <c r="K79" s="2092">
        <f t="shared" si="1"/>
        <v>0.14253306670686994</v>
      </c>
      <c r="L79" s="361">
        <f>+'320801'!F7</f>
        <v>686501375.32879996</v>
      </c>
    </row>
    <row r="80" spans="1:12" ht="25.5">
      <c r="A80" s="167">
        <v>56</v>
      </c>
      <c r="B80" s="167" t="s">
        <v>0</v>
      </c>
      <c r="C80" s="19" t="s">
        <v>327</v>
      </c>
      <c r="D80" s="19">
        <v>1</v>
      </c>
      <c r="E80" s="19">
        <v>1</v>
      </c>
      <c r="F80" s="19">
        <v>1</v>
      </c>
      <c r="G80" s="19">
        <v>1</v>
      </c>
      <c r="H80" s="361">
        <v>25562900</v>
      </c>
      <c r="I80" s="2092">
        <f t="shared" si="1"/>
        <v>4.4484904294896115</v>
      </c>
      <c r="J80" s="361">
        <v>139279216</v>
      </c>
      <c r="K80" s="2092">
        <f t="shared" si="1"/>
        <v>-0.29587557414165799</v>
      </c>
      <c r="L80" s="361">
        <f>+'320801'!F13+'320801'!J13</f>
        <v>98069898</v>
      </c>
    </row>
    <row r="81" spans="1:12" ht="15.75">
      <c r="A81" s="2254" t="s">
        <v>442</v>
      </c>
      <c r="B81" s="2255"/>
      <c r="C81" s="2255"/>
      <c r="D81" s="2255"/>
      <c r="E81" s="2255"/>
      <c r="F81" s="2255"/>
      <c r="G81" s="2255"/>
      <c r="H81" s="2255"/>
      <c r="I81" s="2255"/>
      <c r="J81" s="2255"/>
      <c r="K81" s="2255"/>
      <c r="L81" s="2255"/>
    </row>
    <row r="82" spans="1:12" ht="15.75">
      <c r="A82" s="2262" t="s">
        <v>443</v>
      </c>
      <c r="B82" s="2262"/>
      <c r="C82" s="2262"/>
      <c r="D82" s="2262"/>
      <c r="E82" s="2262"/>
      <c r="F82" s="2262"/>
      <c r="G82" s="2262"/>
      <c r="H82" s="362">
        <f>SUM(H83:H88)</f>
        <v>877773853</v>
      </c>
      <c r="I82" s="2091">
        <f>+(J82-H82)/H82</f>
        <v>4.9460767840848401E-2</v>
      </c>
      <c r="J82" s="362">
        <f>SUM(J83:J88)</f>
        <v>921189221.75999999</v>
      </c>
      <c r="K82" s="2091">
        <f>+(L82-J82)/J82</f>
        <v>0.29533557081272971</v>
      </c>
      <c r="L82" s="362">
        <f>SUM(L83:L88)</f>
        <v>1193249166.3950238</v>
      </c>
    </row>
    <row r="83" spans="1:12" ht="38.25">
      <c r="A83" s="168">
        <v>57</v>
      </c>
      <c r="B83" s="168" t="s">
        <v>6</v>
      </c>
      <c r="C83" s="60" t="s">
        <v>215</v>
      </c>
      <c r="D83" s="60">
        <v>25</v>
      </c>
      <c r="E83" s="60">
        <v>50</v>
      </c>
      <c r="F83" s="60">
        <v>75</v>
      </c>
      <c r="G83" s="60">
        <v>100</v>
      </c>
      <c r="H83" s="361">
        <v>268297197</v>
      </c>
      <c r="I83" s="2092">
        <f t="shared" si="1"/>
        <v>-0.14037859515915849</v>
      </c>
      <c r="J83" s="361">
        <v>230634013.40000001</v>
      </c>
      <c r="K83" s="2092">
        <f t="shared" si="1"/>
        <v>0.52657396306662874</v>
      </c>
      <c r="L83" s="361">
        <f>+'329901'!G7</f>
        <v>352079879.85399997</v>
      </c>
    </row>
    <row r="84" spans="1:12" ht="25.5">
      <c r="A84" s="169">
        <v>58</v>
      </c>
      <c r="B84" s="169" t="s">
        <v>7</v>
      </c>
      <c r="C84" s="19" t="s">
        <v>215</v>
      </c>
      <c r="D84" s="19">
        <v>5</v>
      </c>
      <c r="E84" s="19">
        <v>40</v>
      </c>
      <c r="F84" s="19">
        <v>70</v>
      </c>
      <c r="G84" s="19">
        <v>100</v>
      </c>
      <c r="H84" s="361">
        <v>8494925</v>
      </c>
      <c r="I84" s="2092">
        <f t="shared" si="1"/>
        <v>0.93229926809241959</v>
      </c>
      <c r="J84" s="361">
        <v>16414737.359999998</v>
      </c>
      <c r="K84" s="2092">
        <f t="shared" si="1"/>
        <v>0.22329097076701585</v>
      </c>
      <c r="L84" s="361">
        <f>+'329901'!G11</f>
        <v>20080000</v>
      </c>
    </row>
    <row r="85" spans="1:12" ht="51">
      <c r="A85" s="18">
        <v>59</v>
      </c>
      <c r="B85" s="18" t="s">
        <v>8</v>
      </c>
      <c r="C85" s="19" t="s">
        <v>215</v>
      </c>
      <c r="D85" s="19">
        <v>25</v>
      </c>
      <c r="E85" s="19">
        <v>50</v>
      </c>
      <c r="F85" s="19">
        <v>75</v>
      </c>
      <c r="G85" s="19">
        <v>100</v>
      </c>
      <c r="H85" s="361">
        <v>515401441</v>
      </c>
      <c r="I85" s="2092">
        <f t="shared" si="1"/>
        <v>-0.3185619071639344</v>
      </c>
      <c r="J85" s="361">
        <v>351214175</v>
      </c>
      <c r="K85" s="2092">
        <f t="shared" si="1"/>
        <v>-0.86529273728480915</v>
      </c>
      <c r="L85" s="361">
        <f>+'329901'!G13</f>
        <v>47311100.141024001</v>
      </c>
    </row>
    <row r="86" spans="1:12" ht="38.25">
      <c r="A86" s="18">
        <v>60</v>
      </c>
      <c r="B86" s="18" t="s">
        <v>342</v>
      </c>
      <c r="C86" s="19" t="s">
        <v>215</v>
      </c>
      <c r="D86" s="19">
        <v>20</v>
      </c>
      <c r="E86" s="19">
        <v>60</v>
      </c>
      <c r="F86" s="19">
        <v>80</v>
      </c>
      <c r="G86" s="19">
        <v>100</v>
      </c>
      <c r="H86" s="361">
        <v>67000000</v>
      </c>
      <c r="I86" s="2092">
        <f t="shared" si="1"/>
        <v>-0.62637298507462691</v>
      </c>
      <c r="J86" s="361">
        <v>25033010</v>
      </c>
      <c r="K86" s="2092">
        <f t="shared" si="1"/>
        <v>0.27273332292041591</v>
      </c>
      <c r="L86" s="361">
        <f>+'329901'!G16</f>
        <v>31860346</v>
      </c>
    </row>
    <row r="87" spans="1:12" ht="51">
      <c r="A87" s="18">
        <v>61</v>
      </c>
      <c r="B87" s="18" t="s">
        <v>9</v>
      </c>
      <c r="C87" s="19" t="s">
        <v>215</v>
      </c>
      <c r="D87" s="19">
        <v>100</v>
      </c>
      <c r="E87" s="19">
        <v>100</v>
      </c>
      <c r="F87" s="19">
        <v>100</v>
      </c>
      <c r="G87" s="19">
        <v>100</v>
      </c>
      <c r="H87" s="361">
        <v>14016000</v>
      </c>
      <c r="I87" s="2092">
        <f t="shared" si="1"/>
        <v>2.2596098744292239</v>
      </c>
      <c r="J87" s="361">
        <v>45686692</v>
      </c>
      <c r="K87" s="2092">
        <f t="shared" si="1"/>
        <v>9.2366564294039932</v>
      </c>
      <c r="L87" s="361">
        <f>+'329901'!G18</f>
        <v>467678969.39999998</v>
      </c>
    </row>
    <row r="88" spans="1:12" ht="25.5">
      <c r="A88" s="170">
        <v>62</v>
      </c>
      <c r="B88" s="170" t="s">
        <v>0</v>
      </c>
      <c r="C88" s="64" t="s">
        <v>327</v>
      </c>
      <c r="D88" s="64">
        <v>1</v>
      </c>
      <c r="E88" s="64">
        <v>1</v>
      </c>
      <c r="F88" s="64">
        <v>1</v>
      </c>
      <c r="G88" s="64">
        <v>1</v>
      </c>
      <c r="H88" s="361">
        <v>4564290</v>
      </c>
      <c r="I88" s="2092">
        <f t="shared" si="1"/>
        <v>54.256478882805432</v>
      </c>
      <c r="J88" s="361">
        <v>252206594</v>
      </c>
      <c r="K88" s="2092">
        <f t="shared" si="1"/>
        <v>8.7358052977790104E-2</v>
      </c>
      <c r="L88" s="361">
        <f>+'329901'!G22</f>
        <v>274238871</v>
      </c>
    </row>
    <row r="90" spans="1:12">
      <c r="H90" s="63">
        <f>+H82+H78+H74+H70+H67+H64+H60+H51+H47+H40+H36+H25+H11+H8+H5</f>
        <v>23849676251</v>
      </c>
      <c r="I90" s="2094"/>
      <c r="J90" s="63">
        <f>+J82+J78+J74+J70+J67+J64+J60+J51+J47+J40+J36+J25+J11+J8+J5</f>
        <v>24873867189.800171</v>
      </c>
      <c r="K90" s="2094"/>
      <c r="L90" s="63">
        <f>+L82+L78+L74+L70+L67+L64+L60+L51+L47+L40+L36+L25+L11+L8+L5</f>
        <v>27934280543.917664</v>
      </c>
    </row>
    <row r="91" spans="1:12">
      <c r="H91" s="63"/>
      <c r="I91" s="2094"/>
      <c r="J91" s="63"/>
      <c r="K91" s="2094"/>
      <c r="L91" s="63">
        <v>27934280541</v>
      </c>
    </row>
    <row r="92" spans="1:12">
      <c r="E92">
        <v>2020</v>
      </c>
      <c r="F92" t="s">
        <v>828</v>
      </c>
      <c r="H92" s="63">
        <v>23755585130</v>
      </c>
      <c r="I92" s="2094"/>
      <c r="J92" s="63">
        <f>+H92+H93</f>
        <v>29059735810</v>
      </c>
      <c r="K92" s="2094"/>
      <c r="L92" s="63">
        <f>+L90-L91</f>
        <v>2.91766357421875</v>
      </c>
    </row>
    <row r="93" spans="1:12">
      <c r="F93" t="s">
        <v>351</v>
      </c>
      <c r="H93" s="63">
        <v>5304150680</v>
      </c>
      <c r="I93" s="2094"/>
      <c r="J93" s="63"/>
      <c r="K93" s="2094"/>
      <c r="L93" s="63"/>
    </row>
    <row r="94" spans="1:12">
      <c r="F94" t="s">
        <v>829</v>
      </c>
      <c r="H94" s="63">
        <v>27912027693</v>
      </c>
      <c r="I94" s="2094"/>
      <c r="J94" s="63"/>
      <c r="K94" s="2094"/>
      <c r="L94" s="63"/>
    </row>
    <row r="95" spans="1:12">
      <c r="H95" s="63"/>
      <c r="I95" s="2094"/>
      <c r="J95" s="63"/>
      <c r="K95" s="2094"/>
      <c r="L95" s="63"/>
    </row>
    <row r="96" spans="1:12">
      <c r="H96" s="63"/>
      <c r="I96" s="2094"/>
      <c r="J96" s="63"/>
      <c r="K96" s="2094"/>
      <c r="L96" s="63"/>
    </row>
    <row r="97" spans="5:19">
      <c r="E97">
        <v>2021</v>
      </c>
      <c r="F97" t="s">
        <v>828</v>
      </c>
      <c r="H97" s="63">
        <v>24873867190</v>
      </c>
      <c r="I97" s="2094"/>
      <c r="J97" s="63">
        <f>+H97+H98</f>
        <v>34394749006</v>
      </c>
      <c r="K97" s="2094"/>
      <c r="L97" s="63"/>
    </row>
    <row r="98" spans="5:19">
      <c r="F98" t="s">
        <v>351</v>
      </c>
      <c r="H98" s="63">
        <v>9520881816</v>
      </c>
      <c r="I98" s="2094"/>
      <c r="J98" s="63"/>
      <c r="K98" s="2094"/>
      <c r="L98" s="63"/>
    </row>
    <row r="99" spans="5:19">
      <c r="F99" t="s">
        <v>829</v>
      </c>
      <c r="H99" s="62">
        <f>+H98+H97</f>
        <v>34394749006</v>
      </c>
    </row>
    <row r="101" spans="5:19">
      <c r="E101">
        <v>2022</v>
      </c>
      <c r="F101" t="s">
        <v>828</v>
      </c>
      <c r="H101" s="63">
        <v>27934280541</v>
      </c>
      <c r="I101" s="2094"/>
    </row>
    <row r="103" spans="5:19">
      <c r="G103" t="s">
        <v>828</v>
      </c>
      <c r="J103" t="s">
        <v>831</v>
      </c>
    </row>
    <row r="104" spans="5:19">
      <c r="G104">
        <v>2019</v>
      </c>
      <c r="H104" s="62">
        <v>20417974353</v>
      </c>
      <c r="J104" s="373">
        <f>+(H105-H104)/H104</f>
        <v>0.16346434368547472</v>
      </c>
      <c r="L104" s="359"/>
    </row>
    <row r="105" spans="5:19">
      <c r="G105">
        <v>2020</v>
      </c>
      <c r="H105" s="62">
        <f>+H92</f>
        <v>23755585130</v>
      </c>
      <c r="J105" s="373">
        <f t="shared" ref="J105:J106" si="2">+(H106-H105)/H105</f>
        <v>4.7074490225364529E-2</v>
      </c>
      <c r="L105" s="373">
        <v>0.74380000000000002</v>
      </c>
    </row>
    <row r="106" spans="5:19">
      <c r="G106">
        <v>2021</v>
      </c>
      <c r="H106" s="62">
        <f>+H97</f>
        <v>24873867190</v>
      </c>
      <c r="J106" s="373">
        <f t="shared" si="2"/>
        <v>0.12303729563332126</v>
      </c>
      <c r="K106" s="2095"/>
      <c r="L106" s="373">
        <v>0.74519999999999997</v>
      </c>
    </row>
    <row r="107" spans="5:19">
      <c r="G107">
        <v>2022</v>
      </c>
      <c r="H107" s="62">
        <f>+H101</f>
        <v>27934280541</v>
      </c>
      <c r="J107" s="359"/>
      <c r="K107" s="2095"/>
    </row>
    <row r="109" spans="5:19">
      <c r="H109" s="62">
        <v>22607877013</v>
      </c>
    </row>
    <row r="111" spans="5:19">
      <c r="G111" t="s">
        <v>830</v>
      </c>
    </row>
    <row r="112" spans="5:19">
      <c r="G112">
        <v>2019</v>
      </c>
      <c r="H112" s="62">
        <v>28214806441</v>
      </c>
      <c r="Q112" s="2260" t="s">
        <v>836</v>
      </c>
      <c r="R112" s="2259" t="s">
        <v>834</v>
      </c>
      <c r="S112" s="2259" t="s">
        <v>835</v>
      </c>
    </row>
    <row r="113" spans="7:19">
      <c r="G113">
        <v>2020</v>
      </c>
      <c r="H113" s="62">
        <f>+J92</f>
        <v>29059735810</v>
      </c>
      <c r="J113" s="365">
        <v>0.97699999999999998</v>
      </c>
      <c r="L113" s="62">
        <f>+J113*H113</f>
        <v>28391361886.369999</v>
      </c>
      <c r="Q113" s="2260"/>
      <c r="R113" s="2259"/>
      <c r="S113" s="2259"/>
    </row>
    <row r="114" spans="7:19">
      <c r="G114">
        <v>2021</v>
      </c>
      <c r="H114" s="62">
        <f>+J97</f>
        <v>34394749006</v>
      </c>
      <c r="J114" s="359">
        <v>0.71</v>
      </c>
      <c r="K114" s="2095"/>
      <c r="L114" s="62">
        <f>+J114*H114</f>
        <v>24420271794.259998</v>
      </c>
      <c r="M114" t="s">
        <v>832</v>
      </c>
      <c r="Q114" s="375">
        <v>2020</v>
      </c>
      <c r="R114" s="378">
        <v>0.16346434368547472</v>
      </c>
      <c r="S114" s="376"/>
    </row>
    <row r="115" spans="7:19">
      <c r="L115" s="62">
        <f>+H114-L114</f>
        <v>9974477211.7400017</v>
      </c>
      <c r="M115" t="s">
        <v>833</v>
      </c>
      <c r="Q115" s="374">
        <v>2021</v>
      </c>
      <c r="R115" s="377">
        <v>4.7074490225364529E-2</v>
      </c>
      <c r="S115" s="377">
        <v>0.74380000000000002</v>
      </c>
    </row>
    <row r="116" spans="7:19">
      <c r="Q116" s="374">
        <v>2022</v>
      </c>
      <c r="R116" s="377">
        <v>0.12303729563332126</v>
      </c>
      <c r="S116" s="377">
        <v>0.74519999999999997</v>
      </c>
    </row>
  </sheetData>
  <mergeCells count="40">
    <mergeCell ref="A5:G5"/>
    <mergeCell ref="A24:L24"/>
    <mergeCell ref="A46:L46"/>
    <mergeCell ref="A59:L59"/>
    <mergeCell ref="A63:L63"/>
    <mergeCell ref="A51:G51"/>
    <mergeCell ref="A8:G8"/>
    <mergeCell ref="A11:G11"/>
    <mergeCell ref="A25:G25"/>
    <mergeCell ref="A36:G36"/>
    <mergeCell ref="A60:G60"/>
    <mergeCell ref="A40:G40"/>
    <mergeCell ref="A47:G47"/>
    <mergeCell ref="R112:R113"/>
    <mergeCell ref="S112:S113"/>
    <mergeCell ref="Q112:Q113"/>
    <mergeCell ref="A64:G64"/>
    <mergeCell ref="A67:G67"/>
    <mergeCell ref="A70:G70"/>
    <mergeCell ref="A74:G74"/>
    <mergeCell ref="A82:G82"/>
    <mergeCell ref="A78:G78"/>
    <mergeCell ref="A73:L73"/>
    <mergeCell ref="A77:L77"/>
    <mergeCell ref="A81:L81"/>
    <mergeCell ref="A1:L1"/>
    <mergeCell ref="A4:L4"/>
    <mergeCell ref="H2:H3"/>
    <mergeCell ref="J2:J3"/>
    <mergeCell ref="L2:L3"/>
    <mergeCell ref="G2:G3"/>
    <mergeCell ref="F2:F3"/>
    <mergeCell ref="E2:E3"/>
    <mergeCell ref="D2:D3"/>
    <mergeCell ref="C2:C3"/>
    <mergeCell ref="M2:M3"/>
    <mergeCell ref="I2:I3"/>
    <mergeCell ref="K2:K3"/>
    <mergeCell ref="B2:B3"/>
    <mergeCell ref="A2:A3"/>
  </mergeCells>
  <pageMargins left="0.70866141732283472" right="0.70866141732283472" top="0.74803149606299213" bottom="0.74803149606299213" header="0.31496062992125984" footer="0.31496062992125984"/>
  <pageSetup scale="70" orientation="portrait" verticalDpi="597"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00B0F0"/>
  </sheetPr>
  <dimension ref="A1:AL29"/>
  <sheetViews>
    <sheetView workbookViewId="0">
      <selection activeCell="F9" sqref="F9"/>
    </sheetView>
  </sheetViews>
  <sheetFormatPr baseColWidth="10" defaultColWidth="11.42578125" defaultRowHeight="14.25"/>
  <cols>
    <col min="1" max="1" width="7" style="4" customWidth="1"/>
    <col min="2" max="2" width="26" style="4" customWidth="1"/>
    <col min="3" max="3" width="20.28515625" style="4" customWidth="1"/>
    <col min="4" max="4" width="11.42578125" style="4" customWidth="1"/>
    <col min="5" max="5" width="39.7109375" style="4" customWidth="1"/>
    <col min="6" max="7" width="12.140625" style="4" customWidth="1"/>
    <col min="8" max="8" width="22.140625" style="4" customWidth="1"/>
    <col min="9" max="9" width="14.42578125" style="4" customWidth="1"/>
    <col min="10" max="10" width="12.140625" style="4" customWidth="1"/>
    <col min="11" max="11" width="8.42578125" style="4" customWidth="1"/>
    <col min="12" max="12" width="22.42578125" style="4" customWidth="1"/>
    <col min="13" max="13" width="22.7109375" style="4" customWidth="1"/>
    <col min="14" max="14" width="20.7109375" style="4" customWidth="1"/>
    <col min="15" max="15" width="20.42578125" style="4" customWidth="1"/>
    <col min="16" max="16" width="19.140625" style="4" customWidth="1"/>
    <col min="17" max="17" width="20.7109375" style="4" customWidth="1"/>
    <col min="18" max="18" width="20" style="4" customWidth="1"/>
    <col min="19" max="19" width="20.85546875" style="4" customWidth="1"/>
    <col min="20" max="20" width="21.42578125" style="4" customWidth="1"/>
    <col min="21" max="23" width="20" style="4" customWidth="1"/>
    <col min="24" max="24" width="15.5703125" style="4" customWidth="1"/>
    <col min="25" max="25" width="0.140625" style="4" customWidth="1"/>
    <col min="26" max="26" width="23" style="4" customWidth="1"/>
    <col min="27" max="27" width="20" style="4" customWidth="1"/>
    <col min="28" max="28" width="21.28515625" style="4" customWidth="1"/>
    <col min="29" max="30" width="20" style="4" customWidth="1"/>
    <col min="31" max="31" width="22.28515625" style="4" customWidth="1"/>
    <col min="32" max="34" width="20" style="4" customWidth="1"/>
    <col min="35" max="35" width="25.7109375" style="70" customWidth="1"/>
    <col min="36" max="36" width="20" style="70" customWidth="1"/>
    <col min="37" max="37" width="11.42578125" style="4" customWidth="1"/>
    <col min="38" max="38" width="19.85546875" style="4" customWidth="1"/>
    <col min="39" max="16384" width="11.42578125" style="4"/>
  </cols>
  <sheetData>
    <row r="1" spans="1:38" ht="27" customHeight="1">
      <c r="A1" s="2271" t="s">
        <v>810</v>
      </c>
      <c r="B1" s="2272"/>
      <c r="C1" s="2272"/>
      <c r="D1" s="2272"/>
      <c r="E1" s="2272"/>
      <c r="F1" s="2272"/>
      <c r="G1" s="2272"/>
      <c r="H1" s="2272"/>
      <c r="I1" s="2272"/>
      <c r="J1" s="2272"/>
      <c r="K1" s="2272"/>
      <c r="L1" s="2272"/>
      <c r="M1" s="2272"/>
      <c r="N1" s="2272"/>
      <c r="O1" s="2272"/>
      <c r="P1" s="2272"/>
      <c r="Q1" s="2272"/>
      <c r="R1" s="2272"/>
      <c r="S1" s="2272"/>
      <c r="T1" s="2272"/>
      <c r="U1" s="2272"/>
      <c r="V1" s="2272"/>
      <c r="W1" s="2272"/>
      <c r="X1" s="2272"/>
      <c r="Y1" s="2272"/>
      <c r="Z1" s="2272"/>
      <c r="AA1" s="2272"/>
      <c r="AB1" s="2272"/>
      <c r="AC1" s="2272"/>
      <c r="AD1" s="2272"/>
      <c r="AE1" s="2272"/>
      <c r="AF1" s="2272"/>
      <c r="AG1" s="2272"/>
      <c r="AH1" s="2272"/>
      <c r="AI1" s="2272"/>
      <c r="AJ1" s="2273"/>
    </row>
    <row r="2" spans="1:38" ht="42.75" customHeight="1" thickBot="1">
      <c r="A2" s="2274"/>
      <c r="B2" s="2275"/>
      <c r="C2" s="2275"/>
      <c r="D2" s="2275"/>
      <c r="E2" s="2275"/>
      <c r="F2" s="2275"/>
      <c r="G2" s="2275"/>
      <c r="H2" s="2275"/>
      <c r="I2" s="2275"/>
      <c r="J2" s="2275"/>
      <c r="K2" s="2275"/>
      <c r="L2" s="2275"/>
      <c r="M2" s="2275"/>
      <c r="N2" s="2275"/>
      <c r="O2" s="2275"/>
      <c r="P2" s="2275"/>
      <c r="Q2" s="2275"/>
      <c r="R2" s="2275"/>
      <c r="S2" s="2275"/>
      <c r="T2" s="2275"/>
      <c r="U2" s="2275"/>
      <c r="V2" s="2275"/>
      <c r="W2" s="2275"/>
      <c r="X2" s="2275"/>
      <c r="Y2" s="2275"/>
      <c r="Z2" s="2275"/>
      <c r="AA2" s="2275"/>
      <c r="AB2" s="2275"/>
      <c r="AC2" s="2275"/>
      <c r="AD2" s="2275"/>
      <c r="AE2" s="2275"/>
      <c r="AF2" s="2275"/>
      <c r="AG2" s="2275"/>
      <c r="AH2" s="2275"/>
      <c r="AI2" s="2275"/>
      <c r="AJ2" s="2276"/>
    </row>
    <row r="3" spans="1:38" ht="20.25" customHeight="1">
      <c r="A3" s="1018" t="s">
        <v>69</v>
      </c>
      <c r="B3" s="1019" t="s">
        <v>13</v>
      </c>
      <c r="C3" s="2293" t="s">
        <v>387</v>
      </c>
      <c r="D3" s="2283" t="s">
        <v>69</v>
      </c>
      <c r="E3" s="2284" t="s">
        <v>291</v>
      </c>
      <c r="F3" s="1053" t="s">
        <v>812</v>
      </c>
      <c r="G3" s="2283" t="s">
        <v>851</v>
      </c>
      <c r="H3" s="2283" t="s">
        <v>811</v>
      </c>
      <c r="I3" s="2283" t="s">
        <v>851</v>
      </c>
      <c r="J3" s="1019"/>
      <c r="K3" s="1054"/>
      <c r="L3" s="2287" t="s">
        <v>1008</v>
      </c>
      <c r="M3" s="2283" t="s">
        <v>199</v>
      </c>
      <c r="N3" s="2283"/>
      <c r="O3" s="2283"/>
      <c r="P3" s="2283"/>
      <c r="Q3" s="2283"/>
      <c r="R3" s="2284"/>
      <c r="S3" s="2287" t="s">
        <v>1009</v>
      </c>
      <c r="T3" s="2283" t="s">
        <v>199</v>
      </c>
      <c r="U3" s="2283"/>
      <c r="V3" s="2283"/>
      <c r="W3" s="2283"/>
      <c r="X3" s="2283"/>
      <c r="Y3" s="2284"/>
      <c r="Z3" s="2303" t="s">
        <v>1010</v>
      </c>
      <c r="AA3" s="2305" t="s">
        <v>199</v>
      </c>
      <c r="AB3" s="2306"/>
      <c r="AC3" s="2306"/>
      <c r="AD3" s="2306"/>
      <c r="AE3" s="2306"/>
      <c r="AF3" s="2306"/>
      <c r="AG3" s="2306"/>
      <c r="AH3" s="2307"/>
      <c r="AI3" s="2289" t="s">
        <v>395</v>
      </c>
      <c r="AJ3" s="2291" t="s">
        <v>400</v>
      </c>
    </row>
    <row r="4" spans="1:38" ht="21" customHeight="1" thickBot="1">
      <c r="A4" s="1011"/>
      <c r="B4" s="1012"/>
      <c r="C4" s="2294"/>
      <c r="D4" s="2285"/>
      <c r="E4" s="2286"/>
      <c r="F4" s="1013"/>
      <c r="G4" s="2285"/>
      <c r="H4" s="2285"/>
      <c r="I4" s="2285"/>
      <c r="J4" s="1012"/>
      <c r="K4" s="1027"/>
      <c r="L4" s="2288"/>
      <c r="M4" s="1012" t="s">
        <v>203</v>
      </c>
      <c r="N4" s="1012" t="s">
        <v>202</v>
      </c>
      <c r="O4" s="1012" t="s">
        <v>385</v>
      </c>
      <c r="P4" s="1012" t="s">
        <v>455</v>
      </c>
      <c r="Q4" s="1012" t="s">
        <v>456</v>
      </c>
      <c r="R4" s="1034" t="s">
        <v>234</v>
      </c>
      <c r="S4" s="2288"/>
      <c r="T4" s="1012" t="s">
        <v>203</v>
      </c>
      <c r="U4" s="1012" t="s">
        <v>202</v>
      </c>
      <c r="V4" s="1012" t="s">
        <v>385</v>
      </c>
      <c r="W4" s="1012" t="s">
        <v>455</v>
      </c>
      <c r="X4" s="1012" t="s">
        <v>456</v>
      </c>
      <c r="Y4" s="1034" t="s">
        <v>234</v>
      </c>
      <c r="Z4" s="2304"/>
      <c r="AA4" s="1616" t="s">
        <v>203</v>
      </c>
      <c r="AB4" s="137" t="s">
        <v>202</v>
      </c>
      <c r="AC4" s="137" t="s">
        <v>385</v>
      </c>
      <c r="AD4" s="137" t="s">
        <v>455</v>
      </c>
      <c r="AE4" s="137" t="s">
        <v>456</v>
      </c>
      <c r="AF4" s="137" t="s">
        <v>234</v>
      </c>
      <c r="AG4" s="137" t="s">
        <v>1055</v>
      </c>
      <c r="AH4" s="137" t="s">
        <v>1199</v>
      </c>
      <c r="AI4" s="2290"/>
      <c r="AJ4" s="2292"/>
    </row>
    <row r="5" spans="1:38" ht="30" customHeight="1">
      <c r="A5" s="2299">
        <v>3201</v>
      </c>
      <c r="B5" s="2298" t="s">
        <v>353</v>
      </c>
      <c r="C5" s="2301">
        <f>+L5+L6+L7</f>
        <v>4200263889.1731882</v>
      </c>
      <c r="D5" s="822">
        <v>320101</v>
      </c>
      <c r="E5" s="1020" t="s">
        <v>19</v>
      </c>
      <c r="F5" s="1014">
        <f>+(L5-H5)/H5</f>
        <v>7.2817206456204653E-2</v>
      </c>
      <c r="G5" s="1008">
        <f>+H5/H21</f>
        <v>7.8629671264876157E-3</v>
      </c>
      <c r="H5" s="1009">
        <v>195582400</v>
      </c>
      <c r="I5" s="1008">
        <f>+L5/L21</f>
        <v>7.5113502089961346E-3</v>
      </c>
      <c r="J5" s="1010">
        <f>+K5-L5</f>
        <v>6025711</v>
      </c>
      <c r="K5" s="1028">
        <v>215849875</v>
      </c>
      <c r="L5" s="1035">
        <f>SUM(M5:R5)</f>
        <v>209824164</v>
      </c>
      <c r="M5" s="824"/>
      <c r="N5" s="824"/>
      <c r="O5" s="824"/>
      <c r="P5" s="824"/>
      <c r="Q5" s="824">
        <f>+'320101'!E18</f>
        <v>209824164</v>
      </c>
      <c r="R5" s="1036"/>
      <c r="S5" s="1035">
        <f>SUM(T5:Y5)</f>
        <v>94428108</v>
      </c>
      <c r="T5" s="824"/>
      <c r="U5" s="824">
        <f>+'320101'!I18</f>
        <v>21698713</v>
      </c>
      <c r="V5" s="824"/>
      <c r="W5" s="824">
        <f>+'320101'!J18</f>
        <v>16267783</v>
      </c>
      <c r="X5" s="824">
        <f>+'320101'!H18</f>
        <v>56461612</v>
      </c>
      <c r="Y5" s="1036"/>
      <c r="Z5" s="1609">
        <f>SUM(AA5:AH5)</f>
        <v>562012272</v>
      </c>
      <c r="AA5" s="1037">
        <f>+T5+M5</f>
        <v>0</v>
      </c>
      <c r="AB5" s="1569">
        <f t="shared" ref="AB5:AF5" si="0">+U5+N5</f>
        <v>21698713</v>
      </c>
      <c r="AC5" s="1569">
        <f t="shared" si="0"/>
        <v>0</v>
      </c>
      <c r="AD5" s="1569">
        <f t="shared" si="0"/>
        <v>16267783</v>
      </c>
      <c r="AE5" s="1569">
        <f t="shared" si="0"/>
        <v>266285776</v>
      </c>
      <c r="AF5" s="1569">
        <f t="shared" si="0"/>
        <v>0</v>
      </c>
      <c r="AG5" s="2041">
        <f>+'320101'!M18</f>
        <v>257760000</v>
      </c>
      <c r="AH5" s="2056"/>
      <c r="AI5" s="2056" t="s">
        <v>396</v>
      </c>
      <c r="AJ5" s="2055" t="s">
        <v>401</v>
      </c>
      <c r="AL5" s="261"/>
    </row>
    <row r="6" spans="1:38" ht="24.75" customHeight="1">
      <c r="A6" s="2300"/>
      <c r="B6" s="2223"/>
      <c r="C6" s="2302"/>
      <c r="D6" s="820">
        <v>320102</v>
      </c>
      <c r="E6" s="1021" t="s">
        <v>21</v>
      </c>
      <c r="F6" s="1015">
        <f t="shared" ref="F6:F20" si="1">+(L6-H6)/H6</f>
        <v>5.763091E-2</v>
      </c>
      <c r="G6" s="367">
        <f>+H6/H21</f>
        <v>1.2060850761348081E-2</v>
      </c>
      <c r="H6" s="331">
        <v>300000000</v>
      </c>
      <c r="I6" s="367">
        <f>+L6/L21</f>
        <v>1.1358419362322738E-2</v>
      </c>
      <c r="J6" s="662">
        <f t="shared" ref="J6:J20" si="2">+K6-L6</f>
        <v>0</v>
      </c>
      <c r="K6" s="1029">
        <v>317289273</v>
      </c>
      <c r="L6" s="1037">
        <f>SUM(M6:R6)</f>
        <v>317289273</v>
      </c>
      <c r="M6" s="98"/>
      <c r="N6" s="98"/>
      <c r="O6" s="98"/>
      <c r="P6" s="98"/>
      <c r="Q6" s="98">
        <f>+'320102'!E15</f>
        <v>317289273</v>
      </c>
      <c r="R6" s="1038"/>
      <c r="S6" s="1037">
        <f t="shared" ref="S6:S21" si="3">SUM(T6:Y6)</f>
        <v>110521600</v>
      </c>
      <c r="T6" s="98"/>
      <c r="U6" s="98"/>
      <c r="V6" s="98"/>
      <c r="W6" s="98"/>
      <c r="X6" s="98">
        <f>+'320102'!H15</f>
        <v>110521600</v>
      </c>
      <c r="Y6" s="1038"/>
      <c r="Z6" s="1610">
        <f t="shared" ref="Z6:Z20" si="4">SUM(AA6:AH6)</f>
        <v>427810873</v>
      </c>
      <c r="AA6" s="1037">
        <f>+M6+T6</f>
        <v>0</v>
      </c>
      <c r="AB6" s="1569">
        <f t="shared" ref="AB6:AB19" si="5">+N6+U6</f>
        <v>0</v>
      </c>
      <c r="AC6" s="1569">
        <f t="shared" ref="AC6:AC21" si="6">+O6+V6</f>
        <v>0</v>
      </c>
      <c r="AD6" s="1569">
        <f t="shared" ref="AD6:AD21" si="7">+P6+W6</f>
        <v>0</v>
      </c>
      <c r="AE6" s="1569">
        <f t="shared" ref="AE6:AE21" si="8">+Q6+X6</f>
        <v>427810873</v>
      </c>
      <c r="AF6" s="1569">
        <f t="shared" ref="AF6:AF20" si="9">+R6+Y6</f>
        <v>0</v>
      </c>
      <c r="AG6" s="2041">
        <f>+'320102'!J15</f>
        <v>0</v>
      </c>
      <c r="AH6" s="2048"/>
      <c r="AI6" s="2064" t="s">
        <v>396</v>
      </c>
      <c r="AJ6" s="2056" t="s">
        <v>402</v>
      </c>
      <c r="AL6" s="261"/>
    </row>
    <row r="7" spans="1:38" ht="42.75">
      <c r="A7" s="2300"/>
      <c r="B7" s="2223"/>
      <c r="C7" s="2302"/>
      <c r="D7" s="820">
        <v>320103</v>
      </c>
      <c r="E7" s="1021" t="s">
        <v>160</v>
      </c>
      <c r="F7" s="1015">
        <f t="shared" si="1"/>
        <v>0.12477504798017515</v>
      </c>
      <c r="G7" s="367">
        <f>+H7/H21</f>
        <v>0.13128942095930957</v>
      </c>
      <c r="H7" s="331">
        <v>3265675620</v>
      </c>
      <c r="I7" s="367">
        <f>+L7/L21</f>
        <v>0.13149257402310119</v>
      </c>
      <c r="J7" s="662">
        <f t="shared" si="2"/>
        <v>-0.17318820953369141</v>
      </c>
      <c r="K7" s="1029">
        <v>3673150452</v>
      </c>
      <c r="L7" s="1037">
        <f t="shared" ref="L7:L19" si="10">SUM(M7:R7)</f>
        <v>3673150452.1731882</v>
      </c>
      <c r="M7" s="98"/>
      <c r="N7" s="98">
        <f>+'320103'!E36</f>
        <v>119398405.88213778</v>
      </c>
      <c r="O7" s="98"/>
      <c r="P7" s="98">
        <f>+'320103'!H36</f>
        <v>41526728.199999996</v>
      </c>
      <c r="Q7" s="98">
        <f>+'320103'!F36</f>
        <v>2445051484.2466269</v>
      </c>
      <c r="R7" s="1038">
        <f>+'320103'!G36</f>
        <v>1067173833.844424</v>
      </c>
      <c r="S7" s="1037">
        <f t="shared" si="3"/>
        <v>680663836.95599997</v>
      </c>
      <c r="T7" s="98"/>
      <c r="U7" s="98">
        <f>+'320103'!K36</f>
        <v>31176086.936000001</v>
      </c>
      <c r="V7" s="98"/>
      <c r="W7" s="98"/>
      <c r="X7" s="98">
        <f>+'320103'!L36</f>
        <v>191702073.44000003</v>
      </c>
      <c r="Y7" s="1038">
        <f>+'320103'!M36</f>
        <v>457785676.57999998</v>
      </c>
      <c r="Z7" s="1610">
        <f t="shared" si="4"/>
        <v>4353814289.1291885</v>
      </c>
      <c r="AA7" s="1037">
        <f t="shared" ref="AA7:AA20" si="11">+M7+T7</f>
        <v>0</v>
      </c>
      <c r="AB7" s="1569">
        <f t="shared" si="5"/>
        <v>150574492.81813776</v>
      </c>
      <c r="AC7" s="1569">
        <f t="shared" si="6"/>
        <v>0</v>
      </c>
      <c r="AD7" s="1569">
        <f t="shared" si="7"/>
        <v>41526728.199999996</v>
      </c>
      <c r="AE7" s="1569">
        <f t="shared" si="8"/>
        <v>2636753557.6866269</v>
      </c>
      <c r="AF7" s="1569">
        <f t="shared" si="9"/>
        <v>1524959510.4244239</v>
      </c>
      <c r="AG7" s="2041"/>
      <c r="AH7" s="2048"/>
      <c r="AI7" s="2064" t="s">
        <v>397</v>
      </c>
      <c r="AJ7" s="2056" t="s">
        <v>413</v>
      </c>
      <c r="AL7" s="366"/>
    </row>
    <row r="8" spans="1:38" s="785" customFormat="1" ht="43.5" customHeight="1">
      <c r="A8" s="2204">
        <v>3202</v>
      </c>
      <c r="B8" s="2224" t="s">
        <v>354</v>
      </c>
      <c r="C8" s="2281">
        <v>5708972206.724</v>
      </c>
      <c r="D8" s="1957">
        <v>320201</v>
      </c>
      <c r="E8" s="1958" t="s">
        <v>125</v>
      </c>
      <c r="F8" s="1959">
        <f t="shared" si="1"/>
        <v>-0.1035619576813999</v>
      </c>
      <c r="G8" s="1960">
        <f>+H8/H21</f>
        <v>0.16001840715303969</v>
      </c>
      <c r="H8" s="1961">
        <v>3980276607</v>
      </c>
      <c r="I8" s="1960">
        <f>+L8/L21</f>
        <v>0.12773092057570909</v>
      </c>
      <c r="J8" s="784">
        <f t="shared" si="2"/>
        <v>-350702322.46560001</v>
      </c>
      <c r="K8" s="1962">
        <v>3217369047</v>
      </c>
      <c r="L8" s="1963">
        <f>SUM(M8:R8)</f>
        <v>3568071369.4656</v>
      </c>
      <c r="M8" s="1964">
        <f>+'320201'!F34</f>
        <v>95000000</v>
      </c>
      <c r="N8" s="1964">
        <f>+'320201'!E34</f>
        <v>2893162811.724</v>
      </c>
      <c r="O8" s="1964"/>
      <c r="P8" s="1964"/>
      <c r="Q8" s="1964">
        <f>+'320201'!G34</f>
        <v>579908557.74160004</v>
      </c>
      <c r="R8" s="1965"/>
      <c r="S8" s="1963">
        <f t="shared" si="3"/>
        <v>771223233</v>
      </c>
      <c r="T8" s="1964">
        <f>+'320201'!J34</f>
        <v>9480578</v>
      </c>
      <c r="U8" s="1964">
        <f>+'320201'!L34</f>
        <v>678292693</v>
      </c>
      <c r="V8" s="1964">
        <f>+'320201'!K34</f>
        <v>27449962</v>
      </c>
      <c r="W8" s="1964"/>
      <c r="X8" s="1964">
        <f>+'320201'!M34</f>
        <v>56000000</v>
      </c>
      <c r="Y8" s="1965"/>
      <c r="Z8" s="1966">
        <f t="shared" si="4"/>
        <v>4939294602.4656</v>
      </c>
      <c r="AA8" s="1963">
        <f>+M8+T8</f>
        <v>104480578</v>
      </c>
      <c r="AB8" s="1964">
        <f t="shared" si="5"/>
        <v>3571455504.724</v>
      </c>
      <c r="AC8" s="1964">
        <f t="shared" si="6"/>
        <v>27449962</v>
      </c>
      <c r="AD8" s="1964">
        <f t="shared" si="7"/>
        <v>0</v>
      </c>
      <c r="AE8" s="1964">
        <f t="shared" si="8"/>
        <v>635908557.74160004</v>
      </c>
      <c r="AF8" s="1964">
        <f t="shared" si="9"/>
        <v>0</v>
      </c>
      <c r="AG8" s="1964"/>
      <c r="AH8" s="2049">
        <f>+'320201'!P34</f>
        <v>600000000</v>
      </c>
      <c r="AI8" s="2065" t="s">
        <v>396</v>
      </c>
      <c r="AJ8" s="2057" t="s">
        <v>410</v>
      </c>
      <c r="AL8" s="786"/>
    </row>
    <row r="9" spans="1:38" ht="42.75">
      <c r="A9" s="2204"/>
      <c r="B9" s="2224"/>
      <c r="C9" s="2281"/>
      <c r="D9" s="817">
        <v>320202</v>
      </c>
      <c r="E9" s="1022" t="s">
        <v>161</v>
      </c>
      <c r="F9" s="1016">
        <f t="shared" si="1"/>
        <v>0.25467356336670055</v>
      </c>
      <c r="G9" s="368">
        <f>+H9/H21</f>
        <v>3.1590959664313176E-2</v>
      </c>
      <c r="H9" s="332">
        <v>785789335</v>
      </c>
      <c r="I9" s="368">
        <f>+L9/L21</f>
        <v>3.5293878553915942E-2</v>
      </c>
      <c r="J9" s="662">
        <f t="shared" si="2"/>
        <v>0.40000009536743164</v>
      </c>
      <c r="K9" s="1030">
        <v>985909105.4000001</v>
      </c>
      <c r="L9" s="1039">
        <f>SUM(M9:R9)</f>
        <v>985909105</v>
      </c>
      <c r="M9" s="95"/>
      <c r="N9" s="95">
        <f>+'320202'!E19</f>
        <v>60483249</v>
      </c>
      <c r="O9" s="95"/>
      <c r="P9" s="95"/>
      <c r="Q9" s="95">
        <f>+'320202'!F19</f>
        <v>804367420</v>
      </c>
      <c r="R9" s="1040">
        <f>+'320202'!G19</f>
        <v>121058436</v>
      </c>
      <c r="S9" s="1039">
        <f>SUM(T9:Y9)</f>
        <v>348261938.11119998</v>
      </c>
      <c r="T9" s="95"/>
      <c r="U9" s="95">
        <f>+'320202'!J19</f>
        <v>0</v>
      </c>
      <c r="V9" s="95">
        <f>+'320202'!K19</f>
        <v>70000000</v>
      </c>
      <c r="W9" s="95"/>
      <c r="X9" s="95">
        <f>+'320202'!L19</f>
        <v>128915578.11119999</v>
      </c>
      <c r="Y9" s="1040">
        <f>+'320202'!M19</f>
        <v>149346360</v>
      </c>
      <c r="Z9" s="1611">
        <f t="shared" si="4"/>
        <v>1334171043.1111999</v>
      </c>
      <c r="AA9" s="1039">
        <f>+M9+T9</f>
        <v>0</v>
      </c>
      <c r="AB9" s="95">
        <f t="shared" si="5"/>
        <v>60483249</v>
      </c>
      <c r="AC9" s="95">
        <f t="shared" si="6"/>
        <v>70000000</v>
      </c>
      <c r="AD9" s="95">
        <f t="shared" si="7"/>
        <v>0</v>
      </c>
      <c r="AE9" s="95">
        <f t="shared" si="8"/>
        <v>933282998.11119998</v>
      </c>
      <c r="AF9" s="95">
        <f t="shared" si="9"/>
        <v>270404796</v>
      </c>
      <c r="AG9" s="95"/>
      <c r="AH9" s="2050"/>
      <c r="AI9" s="2066" t="s">
        <v>397</v>
      </c>
      <c r="AJ9" s="2058" t="s">
        <v>411</v>
      </c>
      <c r="AL9" s="261"/>
    </row>
    <row r="10" spans="1:38" ht="57">
      <c r="A10" s="2204"/>
      <c r="B10" s="2224"/>
      <c r="C10" s="2281"/>
      <c r="D10" s="817">
        <v>320203</v>
      </c>
      <c r="E10" s="1022" t="s">
        <v>162</v>
      </c>
      <c r="F10" s="1016">
        <f t="shared" si="1"/>
        <v>0.19818104931140743</v>
      </c>
      <c r="G10" s="368">
        <f>+H10/H21</f>
        <v>3.7907505813683753E-2</v>
      </c>
      <c r="H10" s="332">
        <v>942906265</v>
      </c>
      <c r="I10" s="368">
        <f>+L10/L21</f>
        <v>4.0443941852485434E-2</v>
      </c>
      <c r="J10" s="662">
        <f t="shared" si="2"/>
        <v>-0.18224000930786133</v>
      </c>
      <c r="K10" s="1030">
        <v>1129772417.81776</v>
      </c>
      <c r="L10" s="1039">
        <f t="shared" si="10"/>
        <v>1129772418</v>
      </c>
      <c r="M10" s="95"/>
      <c r="N10" s="95">
        <f>+'320203'!E20</f>
        <v>742773850</v>
      </c>
      <c r="O10" s="95"/>
      <c r="P10" s="95">
        <f>+'320203'!G20</f>
        <v>373740565</v>
      </c>
      <c r="Q10" s="95">
        <f>+'320203'!F20</f>
        <v>13258003</v>
      </c>
      <c r="R10" s="1040"/>
      <c r="S10" s="1039">
        <f t="shared" si="3"/>
        <v>26459577</v>
      </c>
      <c r="T10" s="95"/>
      <c r="U10" s="95"/>
      <c r="V10" s="95"/>
      <c r="W10" s="95"/>
      <c r="X10" s="95">
        <f>+'320203'!J20</f>
        <v>26459577</v>
      </c>
      <c r="Y10" s="1040"/>
      <c r="Z10" s="1611">
        <f t="shared" si="4"/>
        <v>1156231995</v>
      </c>
      <c r="AA10" s="1039">
        <f t="shared" si="11"/>
        <v>0</v>
      </c>
      <c r="AB10" s="95">
        <f t="shared" si="5"/>
        <v>742773850</v>
      </c>
      <c r="AC10" s="95">
        <f t="shared" si="6"/>
        <v>0</v>
      </c>
      <c r="AD10" s="95">
        <f t="shared" si="7"/>
        <v>373740565</v>
      </c>
      <c r="AE10" s="95">
        <f t="shared" si="8"/>
        <v>39717580</v>
      </c>
      <c r="AF10" s="95">
        <f t="shared" si="9"/>
        <v>0</v>
      </c>
      <c r="AG10" s="95"/>
      <c r="AH10" s="2050"/>
      <c r="AI10" s="2066" t="s">
        <v>396</v>
      </c>
      <c r="AJ10" s="2058" t="s">
        <v>403</v>
      </c>
      <c r="AL10" s="261"/>
    </row>
    <row r="11" spans="1:38" s="785" customFormat="1" ht="30" customHeight="1">
      <c r="A11" s="2279">
        <v>3203</v>
      </c>
      <c r="B11" s="2215" t="s">
        <v>355</v>
      </c>
      <c r="C11" s="2282">
        <f>+L11+L12</f>
        <v>11962983090.615051</v>
      </c>
      <c r="D11" s="783">
        <v>320301</v>
      </c>
      <c r="E11" s="1023" t="s">
        <v>17</v>
      </c>
      <c r="F11" s="1017">
        <f t="shared" si="1"/>
        <v>4.5319209956307234E-2</v>
      </c>
      <c r="G11" s="369">
        <f>+H11/H21</f>
        <v>0.37361479130422437</v>
      </c>
      <c r="H11" s="334">
        <v>9293244698</v>
      </c>
      <c r="I11" s="369">
        <f>+L11/L21</f>
        <v>0.34775934860575747</v>
      </c>
      <c r="J11" s="784">
        <f t="shared" si="2"/>
        <v>55129823.355998993</v>
      </c>
      <c r="K11" s="1031">
        <v>9769537029</v>
      </c>
      <c r="L11" s="1041">
        <f t="shared" si="10"/>
        <v>9714407205.644001</v>
      </c>
      <c r="M11" s="99">
        <f>+'320301'!H13</f>
        <v>2024486719.648</v>
      </c>
      <c r="N11" s="99">
        <f>+'320301'!E13</f>
        <v>3242781661.9959998</v>
      </c>
      <c r="O11" s="99">
        <f>+'320301'!G13</f>
        <v>2541158677</v>
      </c>
      <c r="P11" s="99"/>
      <c r="Q11" s="99">
        <f>+'320301'!F13</f>
        <v>1905980147</v>
      </c>
      <c r="R11" s="1042"/>
      <c r="S11" s="1041">
        <f t="shared" si="3"/>
        <v>557187658</v>
      </c>
      <c r="T11" s="99">
        <f>+'320301'!L13</f>
        <v>79194122</v>
      </c>
      <c r="U11" s="99"/>
      <c r="V11" s="99">
        <f>+'320301'!N13</f>
        <v>85569460</v>
      </c>
      <c r="W11" s="99">
        <f>+'320301'!M13</f>
        <v>316972509</v>
      </c>
      <c r="X11" s="99">
        <f>+'320301'!K13</f>
        <v>75451567</v>
      </c>
      <c r="Y11" s="1042"/>
      <c r="Z11" s="1612">
        <f t="shared" si="4"/>
        <v>10271594863.644001</v>
      </c>
      <c r="AA11" s="1041">
        <f t="shared" si="11"/>
        <v>2103680841.648</v>
      </c>
      <c r="AB11" s="99">
        <f t="shared" si="5"/>
        <v>3242781661.9959998</v>
      </c>
      <c r="AC11" s="99">
        <f>+O11+V11</f>
        <v>2626728137</v>
      </c>
      <c r="AD11" s="99">
        <f t="shared" si="7"/>
        <v>316972509</v>
      </c>
      <c r="AE11" s="99">
        <f t="shared" si="8"/>
        <v>1981431714</v>
      </c>
      <c r="AF11" s="99">
        <f t="shared" si="9"/>
        <v>0</v>
      </c>
      <c r="AG11" s="99"/>
      <c r="AH11" s="2051"/>
      <c r="AI11" s="2067" t="s">
        <v>396</v>
      </c>
      <c r="AJ11" s="2059" t="s">
        <v>403</v>
      </c>
      <c r="AL11" s="786"/>
    </row>
    <row r="12" spans="1:38" s="785" customFormat="1" ht="30.75" customHeight="1">
      <c r="A12" s="2279"/>
      <c r="B12" s="2215"/>
      <c r="C12" s="2282"/>
      <c r="D12" s="783">
        <v>320302</v>
      </c>
      <c r="E12" s="1023" t="s">
        <v>164</v>
      </c>
      <c r="F12" s="1017">
        <f t="shared" si="1"/>
        <v>0.16943623689103648</v>
      </c>
      <c r="G12" s="369">
        <f>+H12/H21</f>
        <v>7.7301458938597176E-2</v>
      </c>
      <c r="H12" s="334">
        <v>1922786223</v>
      </c>
      <c r="I12" s="369">
        <f>+L12/L21</f>
        <v>8.0495213809220562E-2</v>
      </c>
      <c r="J12" s="784">
        <f t="shared" si="2"/>
        <v>38911738.583350658</v>
      </c>
      <c r="K12" s="1031">
        <v>2287487623.5544</v>
      </c>
      <c r="L12" s="1041">
        <f t="shared" si="10"/>
        <v>2248575884.9710493</v>
      </c>
      <c r="M12" s="99">
        <f>+'320302'!G25</f>
        <v>602187003</v>
      </c>
      <c r="N12" s="99">
        <f>+'320302'!E25</f>
        <v>1364154955.9710491</v>
      </c>
      <c r="O12" s="99">
        <f>+'320302'!F25</f>
        <v>282233926</v>
      </c>
      <c r="P12" s="99"/>
      <c r="Q12" s="99"/>
      <c r="R12" s="1042"/>
      <c r="S12" s="1041">
        <f t="shared" si="3"/>
        <v>419968337.21506894</v>
      </c>
      <c r="T12" s="99">
        <f>+'320302'!J25</f>
        <v>197134881.21506891</v>
      </c>
      <c r="U12" s="99">
        <f>+'320302'!K25</f>
        <v>113752786</v>
      </c>
      <c r="V12" s="99"/>
      <c r="W12" s="99"/>
      <c r="X12" s="99">
        <f>+'320302'!L25</f>
        <v>109080669.99999997</v>
      </c>
      <c r="Y12" s="1042"/>
      <c r="Z12" s="1612">
        <f t="shared" si="4"/>
        <v>2668544222.1861181</v>
      </c>
      <c r="AA12" s="1041">
        <f t="shared" si="11"/>
        <v>799321884.21506894</v>
      </c>
      <c r="AB12" s="99">
        <f t="shared" si="5"/>
        <v>1477907741.9710491</v>
      </c>
      <c r="AC12" s="99">
        <f t="shared" si="6"/>
        <v>282233926</v>
      </c>
      <c r="AD12" s="99">
        <f t="shared" si="7"/>
        <v>0</v>
      </c>
      <c r="AE12" s="99">
        <f t="shared" si="8"/>
        <v>109080669.99999997</v>
      </c>
      <c r="AF12" s="99">
        <f t="shared" si="9"/>
        <v>0</v>
      </c>
      <c r="AG12" s="99"/>
      <c r="AH12" s="2051"/>
      <c r="AI12" s="2067" t="s">
        <v>397</v>
      </c>
      <c r="AJ12" s="2059" t="s">
        <v>412</v>
      </c>
      <c r="AL12" s="786"/>
    </row>
    <row r="13" spans="1:38" ht="45.75" customHeight="1">
      <c r="A13" s="818">
        <v>3204</v>
      </c>
      <c r="B13" s="823" t="s">
        <v>356</v>
      </c>
      <c r="C13" s="371">
        <f>+L13</f>
        <v>255629625.27200004</v>
      </c>
      <c r="D13" s="817">
        <v>320401</v>
      </c>
      <c r="E13" s="1022" t="s">
        <v>165</v>
      </c>
      <c r="F13" s="1016">
        <f t="shared" si="1"/>
        <v>0.17401591975820227</v>
      </c>
      <c r="G13" s="368">
        <f>+H13/H21</f>
        <v>8.7537448987344713E-3</v>
      </c>
      <c r="H13" s="332">
        <v>217739488</v>
      </c>
      <c r="I13" s="368">
        <f>+L13/L21</f>
        <v>9.1511082546833888E-3</v>
      </c>
      <c r="J13" s="662">
        <f t="shared" si="2"/>
        <v>21220161.727999955</v>
      </c>
      <c r="K13" s="1030">
        <v>276849787</v>
      </c>
      <c r="L13" s="1039">
        <f t="shared" si="10"/>
        <v>255629625.27200004</v>
      </c>
      <c r="M13" s="95"/>
      <c r="N13" s="95"/>
      <c r="O13" s="95"/>
      <c r="P13" s="95"/>
      <c r="Q13" s="95">
        <f>+'320401'!E12</f>
        <v>233609497.59200004</v>
      </c>
      <c r="R13" s="1040">
        <f>+'320401'!F12</f>
        <v>22020127.68</v>
      </c>
      <c r="S13" s="1039">
        <f t="shared" si="3"/>
        <v>0</v>
      </c>
      <c r="T13" s="95"/>
      <c r="U13" s="95"/>
      <c r="V13" s="95"/>
      <c r="W13" s="95"/>
      <c r="X13" s="95"/>
      <c r="Y13" s="1040"/>
      <c r="Z13" s="1611">
        <f t="shared" si="4"/>
        <v>255629625.27200004</v>
      </c>
      <c r="AA13" s="1039">
        <f t="shared" si="11"/>
        <v>0</v>
      </c>
      <c r="AB13" s="95">
        <f t="shared" si="5"/>
        <v>0</v>
      </c>
      <c r="AC13" s="95">
        <f t="shared" si="6"/>
        <v>0</v>
      </c>
      <c r="AD13" s="95">
        <f t="shared" si="7"/>
        <v>0</v>
      </c>
      <c r="AE13" s="95">
        <f t="shared" si="8"/>
        <v>233609497.59200004</v>
      </c>
      <c r="AF13" s="95">
        <f t="shared" si="9"/>
        <v>22020127.68</v>
      </c>
      <c r="AG13" s="95"/>
      <c r="AH13" s="2050"/>
      <c r="AI13" s="2066" t="s">
        <v>397</v>
      </c>
      <c r="AJ13" s="2058" t="s">
        <v>414</v>
      </c>
      <c r="AL13" s="261"/>
    </row>
    <row r="14" spans="1:38" ht="41.25" customHeight="1">
      <c r="A14" s="2279">
        <v>3205</v>
      </c>
      <c r="B14" s="2280" t="s">
        <v>357</v>
      </c>
      <c r="C14" s="2282">
        <f>+L14+L15+L16</f>
        <v>3576080606.4400001</v>
      </c>
      <c r="D14" s="820">
        <v>320501</v>
      </c>
      <c r="E14" s="1021" t="s">
        <v>23</v>
      </c>
      <c r="F14" s="1015">
        <f t="shared" si="1"/>
        <v>1.1562101681657744</v>
      </c>
      <c r="G14" s="367">
        <f>+H14/H21</f>
        <v>9.2507431301337671E-3</v>
      </c>
      <c r="H14" s="333">
        <v>230101756</v>
      </c>
      <c r="I14" s="367">
        <f>+L14/L21</f>
        <v>1.7761250203813805E-2</v>
      </c>
      <c r="J14" s="662">
        <f t="shared" si="2"/>
        <v>-200818795</v>
      </c>
      <c r="K14" s="1029">
        <v>295328951</v>
      </c>
      <c r="L14" s="1043">
        <f t="shared" si="10"/>
        <v>496147746</v>
      </c>
      <c r="M14" s="101"/>
      <c r="N14" s="101">
        <f>+'320501'!G12</f>
        <v>146993465</v>
      </c>
      <c r="O14" s="101"/>
      <c r="P14" s="101"/>
      <c r="Q14" s="101">
        <f>+'320501'!E12</f>
        <v>340789689</v>
      </c>
      <c r="R14" s="1044">
        <f>+'320501'!F12</f>
        <v>8364592</v>
      </c>
      <c r="S14" s="1043">
        <f t="shared" si="3"/>
        <v>100381205</v>
      </c>
      <c r="T14" s="101"/>
      <c r="U14" s="101">
        <f>+'320501'!I12</f>
        <v>57871024</v>
      </c>
      <c r="V14" s="101"/>
      <c r="W14" s="101"/>
      <c r="X14" s="101">
        <f>+'ACCIONES 320501'!L20</f>
        <v>42510181</v>
      </c>
      <c r="Y14" s="1044"/>
      <c r="Z14" s="1613">
        <f t="shared" si="4"/>
        <v>596528951</v>
      </c>
      <c r="AA14" s="1043">
        <f t="shared" si="11"/>
        <v>0</v>
      </c>
      <c r="AB14" s="101">
        <f t="shared" si="5"/>
        <v>204864489</v>
      </c>
      <c r="AC14" s="101">
        <f t="shared" si="6"/>
        <v>0</v>
      </c>
      <c r="AD14" s="101">
        <f t="shared" si="7"/>
        <v>0</v>
      </c>
      <c r="AE14" s="101">
        <f t="shared" si="8"/>
        <v>383299870</v>
      </c>
      <c r="AF14" s="101">
        <f t="shared" si="9"/>
        <v>8364592</v>
      </c>
      <c r="AG14" s="101"/>
      <c r="AH14" s="2052"/>
      <c r="AI14" s="2064" t="s">
        <v>398</v>
      </c>
      <c r="AJ14" s="2060" t="s">
        <v>404</v>
      </c>
      <c r="AL14" s="261"/>
    </row>
    <row r="15" spans="1:38" ht="42.75">
      <c r="A15" s="2279"/>
      <c r="B15" s="2280"/>
      <c r="C15" s="2282"/>
      <c r="D15" s="820">
        <v>320502</v>
      </c>
      <c r="E15" s="1021" t="s">
        <v>169</v>
      </c>
      <c r="F15" s="1015">
        <f t="shared" si="1"/>
        <v>0.67167402924697139</v>
      </c>
      <c r="G15" s="367">
        <f>+H15/H21</f>
        <v>6.7191388393095866E-2</v>
      </c>
      <c r="H15" s="333">
        <v>1671309671</v>
      </c>
      <c r="I15" s="367">
        <f>+L15/L21</f>
        <v>0.10001635687270768</v>
      </c>
      <c r="J15" s="662">
        <f t="shared" si="2"/>
        <v>429513654.15999985</v>
      </c>
      <c r="K15" s="1029">
        <v>3223398626</v>
      </c>
      <c r="L15" s="1043">
        <f>SUM(M15:R15)</f>
        <v>2793884971.8400002</v>
      </c>
      <c r="M15" s="101"/>
      <c r="N15" s="101">
        <f>+'320502'!E18</f>
        <v>2388354769</v>
      </c>
      <c r="O15" s="101"/>
      <c r="P15" s="101"/>
      <c r="Q15" s="101">
        <f>+'320502'!F18</f>
        <v>405530202.83999991</v>
      </c>
      <c r="R15" s="1044"/>
      <c r="S15" s="1043">
        <f t="shared" si="3"/>
        <v>0</v>
      </c>
      <c r="T15" s="101"/>
      <c r="U15" s="101"/>
      <c r="V15" s="101"/>
      <c r="W15" s="101"/>
      <c r="X15" s="101"/>
      <c r="Y15" s="1044"/>
      <c r="Z15" s="1613">
        <f t="shared" si="4"/>
        <v>2793884971.8400002</v>
      </c>
      <c r="AA15" s="1043">
        <f t="shared" si="11"/>
        <v>0</v>
      </c>
      <c r="AB15" s="101">
        <f t="shared" si="5"/>
        <v>2388354769</v>
      </c>
      <c r="AC15" s="101">
        <f t="shared" si="6"/>
        <v>0</v>
      </c>
      <c r="AD15" s="101">
        <f t="shared" si="7"/>
        <v>0</v>
      </c>
      <c r="AE15" s="101">
        <f t="shared" si="8"/>
        <v>405530202.83999991</v>
      </c>
      <c r="AF15" s="101">
        <f t="shared" si="9"/>
        <v>0</v>
      </c>
      <c r="AG15" s="101"/>
      <c r="AH15" s="2052"/>
      <c r="AI15" s="2064" t="s">
        <v>397</v>
      </c>
      <c r="AJ15" s="2056" t="s">
        <v>405</v>
      </c>
      <c r="AL15" s="261"/>
    </row>
    <row r="16" spans="1:38" ht="34.5" customHeight="1">
      <c r="A16" s="2279"/>
      <c r="B16" s="2280"/>
      <c r="C16" s="2282"/>
      <c r="D16" s="820">
        <v>320503</v>
      </c>
      <c r="E16" s="1021" t="s">
        <v>177</v>
      </c>
      <c r="F16" s="1015">
        <f t="shared" si="1"/>
        <v>0.14419155440000009</v>
      </c>
      <c r="G16" s="367">
        <f>+H16/H21</f>
        <v>1.0050708967790067E-2</v>
      </c>
      <c r="H16" s="333">
        <v>250000000</v>
      </c>
      <c r="I16" s="367">
        <f>+L16/L21</f>
        <v>1.0240030637360304E-2</v>
      </c>
      <c r="J16" s="662">
        <f t="shared" si="2"/>
        <v>0.39999997615814209</v>
      </c>
      <c r="K16" s="1029">
        <v>286047889</v>
      </c>
      <c r="L16" s="1043">
        <f>SUM(M16:R16)</f>
        <v>286047888.60000002</v>
      </c>
      <c r="M16" s="101"/>
      <c r="N16" s="101">
        <f>+'320503'!F12</f>
        <v>15060000</v>
      </c>
      <c r="O16" s="101"/>
      <c r="P16" s="101"/>
      <c r="Q16" s="101">
        <f>+'320503'!E12</f>
        <v>270987888.60000002</v>
      </c>
      <c r="R16" s="1044"/>
      <c r="S16" s="1043">
        <f t="shared" si="3"/>
        <v>139500000</v>
      </c>
      <c r="T16" s="101"/>
      <c r="U16" s="101"/>
      <c r="V16" s="101">
        <f>+'320503'!J12</f>
        <v>0</v>
      </c>
      <c r="W16" s="101"/>
      <c r="X16" s="101">
        <f>+'320503'!I12</f>
        <v>139500000</v>
      </c>
      <c r="Y16" s="1044"/>
      <c r="Z16" s="1613">
        <f t="shared" si="4"/>
        <v>425547888.60000002</v>
      </c>
      <c r="AA16" s="1043">
        <f t="shared" si="11"/>
        <v>0</v>
      </c>
      <c r="AB16" s="101">
        <f t="shared" si="5"/>
        <v>15060000</v>
      </c>
      <c r="AC16" s="101">
        <f t="shared" si="6"/>
        <v>0</v>
      </c>
      <c r="AD16" s="101">
        <f t="shared" si="7"/>
        <v>0</v>
      </c>
      <c r="AE16" s="101">
        <f t="shared" si="8"/>
        <v>410487888.60000002</v>
      </c>
      <c r="AF16" s="101">
        <f t="shared" si="9"/>
        <v>0</v>
      </c>
      <c r="AG16" s="101"/>
      <c r="AH16" s="2052"/>
      <c r="AI16" s="2064" t="s">
        <v>396</v>
      </c>
      <c r="AJ16" s="2060" t="s">
        <v>406</v>
      </c>
      <c r="AL16" s="261"/>
    </row>
    <row r="17" spans="1:38" ht="60.75" customHeight="1">
      <c r="A17" s="2279"/>
      <c r="B17" s="2280"/>
      <c r="C17" s="372"/>
      <c r="D17" s="146">
        <v>320504</v>
      </c>
      <c r="E17" s="1024" t="s">
        <v>393</v>
      </c>
      <c r="F17" s="1016"/>
      <c r="G17" s="370"/>
      <c r="H17" s="335">
        <v>0</v>
      </c>
      <c r="I17" s="370"/>
      <c r="J17" s="662">
        <f t="shared" si="2"/>
        <v>0</v>
      </c>
      <c r="K17" s="1032">
        <v>0</v>
      </c>
      <c r="L17" s="1045">
        <f>SUM(M17:R17)</f>
        <v>0</v>
      </c>
      <c r="M17" s="148"/>
      <c r="N17" s="148"/>
      <c r="O17" s="148"/>
      <c r="P17" s="148"/>
      <c r="Q17" s="148"/>
      <c r="R17" s="1046"/>
      <c r="S17" s="1045">
        <f>SUM(T17:Y17)</f>
        <v>2436712259</v>
      </c>
      <c r="T17" s="148"/>
      <c r="U17" s="148">
        <f>+'320504'!F9</f>
        <v>2436712259</v>
      </c>
      <c r="V17" s="148"/>
      <c r="W17" s="148"/>
      <c r="X17" s="148"/>
      <c r="Y17" s="1046"/>
      <c r="Z17" s="1614">
        <f t="shared" si="4"/>
        <v>2436712259</v>
      </c>
      <c r="AA17" s="1045">
        <f t="shared" si="11"/>
        <v>0</v>
      </c>
      <c r="AB17" s="148">
        <f t="shared" si="5"/>
        <v>2436712259</v>
      </c>
      <c r="AC17" s="148">
        <f t="shared" si="6"/>
        <v>0</v>
      </c>
      <c r="AD17" s="148">
        <f t="shared" si="7"/>
        <v>0</v>
      </c>
      <c r="AE17" s="148">
        <f t="shared" si="8"/>
        <v>0</v>
      </c>
      <c r="AF17" s="148">
        <f t="shared" si="9"/>
        <v>0</v>
      </c>
      <c r="AG17" s="148"/>
      <c r="AH17" s="2053"/>
      <c r="AI17" s="2068" t="s">
        <v>397</v>
      </c>
      <c r="AJ17" s="2061" t="s">
        <v>405</v>
      </c>
      <c r="AL17" s="261"/>
    </row>
    <row r="18" spans="1:38" ht="75">
      <c r="A18" s="818">
        <v>3206</v>
      </c>
      <c r="B18" s="823" t="s">
        <v>358</v>
      </c>
      <c r="C18" s="371">
        <f>+L18</f>
        <v>277750000</v>
      </c>
      <c r="D18" s="817">
        <v>320601</v>
      </c>
      <c r="E18" s="1022" t="s">
        <v>166</v>
      </c>
      <c r="F18" s="1016">
        <f t="shared" si="1"/>
        <v>0.76767162484503038</v>
      </c>
      <c r="G18" s="368">
        <f>+H18/H21</f>
        <v>6.3169751136293228E-3</v>
      </c>
      <c r="H18" s="332">
        <v>157127600</v>
      </c>
      <c r="I18" s="368">
        <f>+L18/L21</f>
        <v>9.9429802591691797E-3</v>
      </c>
      <c r="J18" s="662">
        <f t="shared" si="2"/>
        <v>0</v>
      </c>
      <c r="K18" s="1030">
        <v>277750000</v>
      </c>
      <c r="L18" s="1039">
        <f t="shared" si="10"/>
        <v>277750000</v>
      </c>
      <c r="M18" s="95"/>
      <c r="N18" s="95">
        <f>+'320601'!F12</f>
        <v>220000000</v>
      </c>
      <c r="O18" s="95"/>
      <c r="P18" s="95"/>
      <c r="Q18" s="95">
        <f>+'320601'!E12</f>
        <v>57750000</v>
      </c>
      <c r="R18" s="1040"/>
      <c r="S18" s="1039">
        <f t="shared" si="3"/>
        <v>0</v>
      </c>
      <c r="T18" s="95"/>
      <c r="U18" s="95"/>
      <c r="V18" s="95"/>
      <c r="W18" s="95"/>
      <c r="X18" s="95"/>
      <c r="Y18" s="1040"/>
      <c r="Z18" s="1611">
        <f t="shared" si="4"/>
        <v>277750000</v>
      </c>
      <c r="AA18" s="1039">
        <f t="shared" si="11"/>
        <v>0</v>
      </c>
      <c r="AB18" s="95">
        <f t="shared" si="5"/>
        <v>220000000</v>
      </c>
      <c r="AC18" s="95">
        <f t="shared" si="6"/>
        <v>0</v>
      </c>
      <c r="AD18" s="95">
        <f t="shared" si="7"/>
        <v>0</v>
      </c>
      <c r="AE18" s="95">
        <f t="shared" si="8"/>
        <v>57750000</v>
      </c>
      <c r="AF18" s="95">
        <f t="shared" si="9"/>
        <v>0</v>
      </c>
      <c r="AG18" s="95"/>
      <c r="AH18" s="2050"/>
      <c r="AI18" s="2066" t="s">
        <v>398</v>
      </c>
      <c r="AJ18" s="2062" t="s">
        <v>407</v>
      </c>
      <c r="AL18" s="261"/>
    </row>
    <row r="19" spans="1:38" ht="44.25" customHeight="1">
      <c r="A19" s="1025">
        <v>3208</v>
      </c>
      <c r="B19" s="821" t="s">
        <v>359</v>
      </c>
      <c r="C19" s="372">
        <f>+L19</f>
        <v>784571273.32879996</v>
      </c>
      <c r="D19" s="820">
        <v>320801</v>
      </c>
      <c r="E19" s="1021" t="s">
        <v>32</v>
      </c>
      <c r="F19" s="1015">
        <f t="shared" si="1"/>
        <v>6.0033334511536508E-2</v>
      </c>
      <c r="G19" s="367">
        <f>+H19/H21</f>
        <v>2.9755658717468089E-2</v>
      </c>
      <c r="H19" s="333">
        <v>740138303</v>
      </c>
      <c r="I19" s="367">
        <f>+L19/L21</f>
        <v>2.8086324689899134E-2</v>
      </c>
      <c r="J19" s="662">
        <f t="shared" si="2"/>
        <v>-0.32879996299743652</v>
      </c>
      <c r="K19" s="1029">
        <v>784571273</v>
      </c>
      <c r="L19" s="1043">
        <f t="shared" si="10"/>
        <v>784571273.32879996</v>
      </c>
      <c r="M19" s="101"/>
      <c r="N19" s="101"/>
      <c r="O19" s="101"/>
      <c r="P19" s="101"/>
      <c r="Q19" s="101">
        <f>+'320801'!E16</f>
        <v>784571273.32879996</v>
      </c>
      <c r="R19" s="1044"/>
      <c r="S19" s="1043">
        <f t="shared" si="3"/>
        <v>329302526</v>
      </c>
      <c r="T19" s="101"/>
      <c r="U19" s="101">
        <f>+'320801'!I16</f>
        <v>79302526</v>
      </c>
      <c r="V19" s="101"/>
      <c r="W19" s="101"/>
      <c r="X19" s="101">
        <f>+'320801'!H16</f>
        <v>250000000</v>
      </c>
      <c r="Y19" s="1044"/>
      <c r="Z19" s="1613">
        <f t="shared" si="4"/>
        <v>1407347993.3288</v>
      </c>
      <c r="AA19" s="1043">
        <f t="shared" si="11"/>
        <v>0</v>
      </c>
      <c r="AB19" s="101">
        <f t="shared" si="5"/>
        <v>79302526</v>
      </c>
      <c r="AC19" s="101">
        <f t="shared" si="6"/>
        <v>0</v>
      </c>
      <c r="AD19" s="101">
        <f t="shared" si="7"/>
        <v>0</v>
      </c>
      <c r="AE19" s="101">
        <f t="shared" si="8"/>
        <v>1034571273.3288</v>
      </c>
      <c r="AF19" s="101">
        <f t="shared" si="9"/>
        <v>0</v>
      </c>
      <c r="AG19" s="101">
        <f>+'320801'!L16</f>
        <v>293474194</v>
      </c>
      <c r="AH19" s="2052"/>
      <c r="AI19" s="2064" t="s">
        <v>396</v>
      </c>
      <c r="AJ19" s="2056" t="s">
        <v>408</v>
      </c>
      <c r="AL19" s="261"/>
    </row>
    <row r="20" spans="1:38" ht="60">
      <c r="A20" s="818">
        <v>3299</v>
      </c>
      <c r="B20" s="823" t="s">
        <v>360</v>
      </c>
      <c r="C20" s="371">
        <f>+L20</f>
        <v>1193249166.3950238</v>
      </c>
      <c r="D20" s="817">
        <v>329901</v>
      </c>
      <c r="E20" s="1022" t="s">
        <v>30</v>
      </c>
      <c r="F20" s="1016">
        <f t="shared" si="1"/>
        <v>0.29533557188140808</v>
      </c>
      <c r="G20" s="368">
        <f>+H20/H21</f>
        <v>3.7034419058144988E-2</v>
      </c>
      <c r="H20" s="332">
        <v>921189221</v>
      </c>
      <c r="I20" s="368">
        <f>+L20/L21</f>
        <v>4.2716302090857972E-2</v>
      </c>
      <c r="J20" s="662">
        <f t="shared" si="2"/>
        <v>720026</v>
      </c>
      <c r="K20" s="1030">
        <v>1193969192.3950238</v>
      </c>
      <c r="L20" s="1039">
        <f>+Q20+R20</f>
        <v>1193249166.3950238</v>
      </c>
      <c r="M20" s="95"/>
      <c r="N20" s="95"/>
      <c r="O20" s="95"/>
      <c r="P20" s="95"/>
      <c r="Q20" s="95">
        <f>+'329901'!E25</f>
        <v>912045673.94102395</v>
      </c>
      <c r="R20" s="1040">
        <f>+'329901'!F25</f>
        <v>281203492.454</v>
      </c>
      <c r="S20" s="1039">
        <f t="shared" si="3"/>
        <v>989873186.79200006</v>
      </c>
      <c r="T20" s="95"/>
      <c r="U20" s="95"/>
      <c r="V20" s="95"/>
      <c r="W20" s="95"/>
      <c r="X20" s="95">
        <f>+'329901'!I25</f>
        <v>989873186.79200006</v>
      </c>
      <c r="Y20" s="1040"/>
      <c r="Z20" s="1611">
        <f t="shared" si="4"/>
        <v>2183122353.1870241</v>
      </c>
      <c r="AA20" s="1039">
        <f t="shared" si="11"/>
        <v>0</v>
      </c>
      <c r="AB20" s="95"/>
      <c r="AC20" s="95">
        <f t="shared" si="6"/>
        <v>0</v>
      </c>
      <c r="AD20" s="95">
        <f t="shared" si="7"/>
        <v>0</v>
      </c>
      <c r="AE20" s="95">
        <f t="shared" si="8"/>
        <v>1901918860.7330241</v>
      </c>
      <c r="AF20" s="95">
        <f t="shared" si="9"/>
        <v>281203492.454</v>
      </c>
      <c r="AG20" s="95"/>
      <c r="AH20" s="2050"/>
      <c r="AI20" s="2066" t="s">
        <v>457</v>
      </c>
      <c r="AJ20" s="2062" t="s">
        <v>409</v>
      </c>
      <c r="AL20" s="261"/>
    </row>
    <row r="21" spans="1:38" ht="25.5" customHeight="1" thickBot="1">
      <c r="A21" s="2295" t="s">
        <v>10</v>
      </c>
      <c r="B21" s="2296"/>
      <c r="C21" s="1026">
        <f>SUM(C5:C20)</f>
        <v>27959499857.948059</v>
      </c>
      <c r="D21" s="2296" t="s">
        <v>10</v>
      </c>
      <c r="E21" s="2297"/>
      <c r="F21" s="819"/>
      <c r="G21" s="661">
        <f t="shared" ref="G21:L21" si="12">SUM(G5:G20)</f>
        <v>1</v>
      </c>
      <c r="H21" s="102">
        <f>SUM(H5:H20)</f>
        <v>24873867187</v>
      </c>
      <c r="I21" s="661">
        <f>SUM(I5:I20)</f>
        <v>1</v>
      </c>
      <c r="J21" s="660"/>
      <c r="K21" s="1033"/>
      <c r="L21" s="1047">
        <f t="shared" si="12"/>
        <v>27934280543.689663</v>
      </c>
      <c r="M21" s="1026">
        <f t="shared" ref="M21:R21" si="13">SUM(M5:M20)</f>
        <v>2721673722.6479998</v>
      </c>
      <c r="N21" s="1026">
        <f t="shared" si="13"/>
        <v>11193163168.573187</v>
      </c>
      <c r="O21" s="1026">
        <f t="shared" si="13"/>
        <v>2823392603</v>
      </c>
      <c r="P21" s="1026">
        <f t="shared" si="13"/>
        <v>415267293.19999999</v>
      </c>
      <c r="Q21" s="1026">
        <f t="shared" si="13"/>
        <v>9280963274.2900524</v>
      </c>
      <c r="R21" s="1048">
        <f t="shared" si="13"/>
        <v>1499820481.9784241</v>
      </c>
      <c r="S21" s="1047">
        <f t="shared" si="3"/>
        <v>7004483465.0742683</v>
      </c>
      <c r="T21" s="1026">
        <f>SUM(T5:T20)</f>
        <v>285809581.21506894</v>
      </c>
      <c r="U21" s="1026">
        <f t="shared" ref="U21:Y21" si="14">SUM(U5:U20)</f>
        <v>3418806087.9359999</v>
      </c>
      <c r="V21" s="1026">
        <f t="shared" si="14"/>
        <v>183019422</v>
      </c>
      <c r="W21" s="1026">
        <f t="shared" si="14"/>
        <v>333240292</v>
      </c>
      <c r="X21" s="1026">
        <f t="shared" si="14"/>
        <v>2176476045.3431997</v>
      </c>
      <c r="Y21" s="1048">
        <f t="shared" si="14"/>
        <v>607132036.57999992</v>
      </c>
      <c r="Z21" s="1615">
        <f>SUM(Z5:Z20)</f>
        <v>36089998202.763931</v>
      </c>
      <c r="AA21" s="1047">
        <f>SUM(AA5:AA20)</f>
        <v>3007483303.8630686</v>
      </c>
      <c r="AB21" s="1026">
        <f>SUM(AB5:AB20)</f>
        <v>14611969256.509186</v>
      </c>
      <c r="AC21" s="1026">
        <f t="shared" si="6"/>
        <v>3006412025</v>
      </c>
      <c r="AD21" s="1026">
        <f t="shared" si="7"/>
        <v>748507585.20000005</v>
      </c>
      <c r="AE21" s="1026">
        <f t="shared" si="8"/>
        <v>11457439319.633251</v>
      </c>
      <c r="AF21" s="1026">
        <f>+R21+Y21</f>
        <v>2106952518.558424</v>
      </c>
      <c r="AG21" s="102">
        <f>SUM(AG5:AG20)</f>
        <v>551234194</v>
      </c>
      <c r="AH21" s="102">
        <f>SUM(AH5:AH20)</f>
        <v>600000000</v>
      </c>
      <c r="AI21" s="2069"/>
      <c r="AJ21" s="2063"/>
      <c r="AL21" s="261"/>
    </row>
    <row r="22" spans="1:38" ht="18.75" customHeight="1" thickBot="1">
      <c r="H22" s="66"/>
      <c r="L22" s="1049">
        <f>SUM(M22:R22)</f>
        <v>27934280540.684563</v>
      </c>
      <c r="M22" s="1050">
        <f>+FUENTES!B3</f>
        <v>2566665139.4273996</v>
      </c>
      <c r="N22" s="1050">
        <f>+FUENTES!B4</f>
        <v>10288508320.062</v>
      </c>
      <c r="O22" s="1050">
        <f>+FUENTES!B5</f>
        <v>2823392602.5030003</v>
      </c>
      <c r="P22" s="1050">
        <f>+FUENTES!B6</f>
        <v>415267292.66400003</v>
      </c>
      <c r="Q22" s="1050">
        <f>+FUENTES!B7</f>
        <v>10340626703.629166</v>
      </c>
      <c r="R22" s="1052">
        <f>+FUENTES!B8</f>
        <v>1499820482.3990002</v>
      </c>
      <c r="S22" s="1049">
        <f>4567198613+2436712259</f>
        <v>7003910872</v>
      </c>
      <c r="T22" s="1050">
        <v>440818165</v>
      </c>
      <c r="U22" s="1050">
        <f>1886748678+2436712259</f>
        <v>4323460937</v>
      </c>
      <c r="V22" s="1050">
        <v>183019422</v>
      </c>
      <c r="W22" s="1050">
        <v>333240292</v>
      </c>
      <c r="X22" s="1050">
        <v>1116240018</v>
      </c>
      <c r="Y22" s="1052">
        <v>607132038</v>
      </c>
      <c r="Z22" s="1049">
        <f>+S22+L22+1815020179+600000000+1665320477</f>
        <v>39018532068.684563</v>
      </c>
      <c r="AA22" s="1607">
        <f t="shared" ref="AA22:AF22" si="15">+T22+M22</f>
        <v>3007483304.4273996</v>
      </c>
      <c r="AB22" s="1607">
        <f t="shared" si="15"/>
        <v>14611969257.062</v>
      </c>
      <c r="AC22" s="1607">
        <f t="shared" si="15"/>
        <v>3006412024.5030003</v>
      </c>
      <c r="AD22" s="1607">
        <f t="shared" si="15"/>
        <v>748507584.66400003</v>
      </c>
      <c r="AE22" s="1607">
        <f t="shared" si="15"/>
        <v>11456866721.629166</v>
      </c>
      <c r="AF22" s="1607">
        <f t="shared" si="15"/>
        <v>2106952520.3990002</v>
      </c>
      <c r="AG22" s="1608">
        <f>1815020179+1665320473</f>
        <v>3480340652</v>
      </c>
      <c r="AH22" s="1608">
        <v>600000000</v>
      </c>
      <c r="AI22" s="2054"/>
      <c r="AJ22" s="1051"/>
    </row>
    <row r="23" spans="1:38" ht="15" customHeight="1">
      <c r="D23" s="2277" t="s">
        <v>458</v>
      </c>
      <c r="E23" s="2278"/>
      <c r="F23" s="330"/>
      <c r="G23" s="364"/>
      <c r="H23" s="330"/>
      <c r="I23" s="360"/>
      <c r="J23" s="659"/>
      <c r="K23" s="659"/>
      <c r="L23" s="260">
        <f>+L22-L21</f>
        <v>-3.0051002502441406</v>
      </c>
      <c r="M23" s="260">
        <f t="shared" ref="M23:AH23" si="16">+M22-M21</f>
        <v>-155008583.22060013</v>
      </c>
      <c r="N23" s="260">
        <f t="shared" si="16"/>
        <v>-904654848.5111866</v>
      </c>
      <c r="O23" s="260">
        <f t="shared" si="16"/>
        <v>-0.49699974060058594</v>
      </c>
      <c r="P23" s="260">
        <f t="shared" si="16"/>
        <v>-0.53599995374679565</v>
      </c>
      <c r="Q23" s="260">
        <f t="shared" si="16"/>
        <v>1059663429.3391132</v>
      </c>
      <c r="R23" s="260">
        <f t="shared" si="16"/>
        <v>0.42057609558105469</v>
      </c>
      <c r="S23" s="260">
        <f t="shared" si="16"/>
        <v>-572593.07426834106</v>
      </c>
      <c r="T23" s="260">
        <f t="shared" si="16"/>
        <v>155008583.78493106</v>
      </c>
      <c r="U23" s="260">
        <f t="shared" si="16"/>
        <v>904654849.06400013</v>
      </c>
      <c r="V23" s="260">
        <f t="shared" si="16"/>
        <v>0</v>
      </c>
      <c r="W23" s="260">
        <f t="shared" si="16"/>
        <v>0</v>
      </c>
      <c r="X23" s="260">
        <f t="shared" si="16"/>
        <v>-1060236027.3431997</v>
      </c>
      <c r="Y23" s="260">
        <f t="shared" si="16"/>
        <v>1.4200000762939453</v>
      </c>
      <c r="Z23" s="260">
        <f t="shared" si="16"/>
        <v>2928533865.9206314</v>
      </c>
      <c r="AA23" s="260">
        <f t="shared" si="16"/>
        <v>0.5643310546875</v>
      </c>
      <c r="AB23" s="260">
        <f t="shared" si="16"/>
        <v>0.55281448364257813</v>
      </c>
      <c r="AC23" s="260">
        <f t="shared" si="16"/>
        <v>-0.49699974060058594</v>
      </c>
      <c r="AD23" s="260">
        <f t="shared" si="16"/>
        <v>-0.53600001335144043</v>
      </c>
      <c r="AE23" s="260">
        <f t="shared" si="16"/>
        <v>-572598.00408554077</v>
      </c>
      <c r="AF23" s="260">
        <f t="shared" si="16"/>
        <v>1.840576171875</v>
      </c>
      <c r="AG23" s="260">
        <f t="shared" si="16"/>
        <v>2929106458</v>
      </c>
      <c r="AH23" s="260">
        <f t="shared" si="16"/>
        <v>0</v>
      </c>
    </row>
    <row r="24" spans="1:38">
      <c r="Z24" s="486"/>
    </row>
    <row r="25" spans="1:38">
      <c r="L25" s="261">
        <f>+L23/L22</f>
        <v>-1.0757750663624205E-10</v>
      </c>
      <c r="M25" s="261">
        <f t="shared" ref="M25:R25" si="17">+M23/M22</f>
        <v>-6.0392990437070096E-2</v>
      </c>
      <c r="N25" s="261">
        <f t="shared" si="17"/>
        <v>-8.7928669576634505E-2</v>
      </c>
      <c r="O25" s="261">
        <f t="shared" si="17"/>
        <v>-1.7602927065827991E-10</v>
      </c>
      <c r="P25" s="261">
        <f t="shared" si="17"/>
        <v>-1.2907348187917186E-9</v>
      </c>
      <c r="Q25" s="261">
        <f t="shared" si="17"/>
        <v>0.10247574539821767</v>
      </c>
      <c r="R25" s="261">
        <f t="shared" si="17"/>
        <v>2.804176236534207E-10</v>
      </c>
      <c r="S25" s="261"/>
      <c r="T25" s="261">
        <f>+S22+L22</f>
        <v>34938191412.684563</v>
      </c>
      <c r="U25" s="261"/>
      <c r="V25" s="261"/>
      <c r="W25" s="261"/>
      <c r="X25" s="261"/>
      <c r="Y25" s="261"/>
      <c r="Z25" s="261"/>
      <c r="AA25" s="261"/>
      <c r="AB25" s="261"/>
      <c r="AC25" s="261"/>
      <c r="AD25" s="261"/>
      <c r="AE25" s="261"/>
      <c r="AF25" s="261"/>
      <c r="AG25" s="261"/>
      <c r="AH25" s="261"/>
    </row>
    <row r="26" spans="1:38">
      <c r="X26" s="66">
        <f>+X21-X22</f>
        <v>1060236027.3431997</v>
      </c>
    </row>
    <row r="27" spans="1:38">
      <c r="L27" s="66"/>
      <c r="M27" s="66"/>
      <c r="O27" s="311"/>
    </row>
    <row r="28" spans="1:38">
      <c r="N28" s="486"/>
      <c r="X28" s="66">
        <f>+X26-T23-'ACCIONES 320202'!K120</f>
        <v>905227443.55826867</v>
      </c>
    </row>
    <row r="29" spans="1:38">
      <c r="L29" s="66"/>
      <c r="M29" s="66"/>
    </row>
  </sheetData>
  <mergeCells count="30">
    <mergeCell ref="T3:Y3"/>
    <mergeCell ref="S3:S4"/>
    <mergeCell ref="Z3:Z4"/>
    <mergeCell ref="I3:I4"/>
    <mergeCell ref="AA3:AH3"/>
    <mergeCell ref="C3:C4"/>
    <mergeCell ref="C14:C16"/>
    <mergeCell ref="H3:H4"/>
    <mergeCell ref="A21:B21"/>
    <mergeCell ref="D21:E21"/>
    <mergeCell ref="B5:B7"/>
    <mergeCell ref="A5:A7"/>
    <mergeCell ref="C5:C7"/>
    <mergeCell ref="A8:A10"/>
    <mergeCell ref="A1:AJ2"/>
    <mergeCell ref="D23:E23"/>
    <mergeCell ref="A14:A17"/>
    <mergeCell ref="B14:B17"/>
    <mergeCell ref="B8:B10"/>
    <mergeCell ref="C8:C10"/>
    <mergeCell ref="A11:A12"/>
    <mergeCell ref="B11:B12"/>
    <mergeCell ref="C11:C12"/>
    <mergeCell ref="M3:R3"/>
    <mergeCell ref="D3:D4"/>
    <mergeCell ref="E3:E4"/>
    <mergeCell ref="L3:L4"/>
    <mergeCell ref="AI3:AI4"/>
    <mergeCell ref="AJ3:AJ4"/>
    <mergeCell ref="G3:G4"/>
  </mergeCells>
  <pageMargins left="0.51181102362204722" right="0.11811023622047245" top="0.55118110236220474" bottom="0.19685039370078741" header="0.31496062992125984" footer="0.31496062992125984"/>
  <pageSetup scale="55" orientation="landscape" verticalDpi="597"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Estr prop</vt:lpstr>
      <vt:lpstr>Estr actual</vt:lpstr>
      <vt:lpstr>FUENTES</vt:lpstr>
      <vt:lpstr>NOMINA</vt:lpstr>
      <vt:lpstr>COMPARATIVO INDIC</vt:lpstr>
      <vt:lpstr>2021</vt:lpstr>
      <vt:lpstr>Matriz indic </vt:lpstr>
      <vt:lpstr>INDIC</vt:lpstr>
      <vt:lpstr>CONSOLIDADO</vt:lpstr>
      <vt:lpstr>320101</vt:lpstr>
      <vt:lpstr>ACCIONES 320101</vt:lpstr>
      <vt:lpstr>320102</vt:lpstr>
      <vt:lpstr>ACCIONES 320102</vt:lpstr>
      <vt:lpstr>320103</vt:lpstr>
      <vt:lpstr>ACCIONES 320103</vt:lpstr>
      <vt:lpstr>320201</vt:lpstr>
      <vt:lpstr>ACCIONES 320201</vt:lpstr>
      <vt:lpstr>320202</vt:lpstr>
      <vt:lpstr>ACCIONES 320202</vt:lpstr>
      <vt:lpstr>320203</vt:lpstr>
      <vt:lpstr>ACCIONES 320203</vt:lpstr>
      <vt:lpstr>320301</vt:lpstr>
      <vt:lpstr>ACCIONES 320301</vt:lpstr>
      <vt:lpstr>320302</vt:lpstr>
      <vt:lpstr>ACCIONES 320302</vt:lpstr>
      <vt:lpstr>320401</vt:lpstr>
      <vt:lpstr>ACCIONES 320401</vt:lpstr>
      <vt:lpstr>320501</vt:lpstr>
      <vt:lpstr>ACCIONES 320501</vt:lpstr>
      <vt:lpstr>320502</vt:lpstr>
      <vt:lpstr>ACCIONES 320502</vt:lpstr>
      <vt:lpstr>320503</vt:lpstr>
      <vt:lpstr>ACCIONES 320503</vt:lpstr>
      <vt:lpstr>320504</vt:lpstr>
      <vt:lpstr>320601</vt:lpstr>
      <vt:lpstr>ACCIONES 320601</vt:lpstr>
      <vt:lpstr>320801</vt:lpstr>
      <vt:lpstr>ACCIONES 320801</vt:lpstr>
      <vt:lpstr>329901</vt:lpstr>
      <vt:lpstr>ACCIONES 329901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GI-113</dc:creator>
  <cp:lastModifiedBy>Leidy Lorena Montes Cabrera</cp:lastModifiedBy>
  <cp:lastPrinted>2022-07-14T13:45:51Z</cp:lastPrinted>
  <dcterms:created xsi:type="dcterms:W3CDTF">2020-06-12T14:15:38Z</dcterms:created>
  <dcterms:modified xsi:type="dcterms:W3CDTF">2023-06-02T14:41:28Z</dcterms:modified>
</cp:coreProperties>
</file>