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23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<sst xmlns="http://schemas.openxmlformats.org/spreadsheetml/2006/main" count="301" uniqueCount="143">
  <si>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</si>
  <si>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</si>
  <si>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</si>
  <si>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</si>
  <si>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</si>
  <si>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</si>
  <si>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</si>
  <si>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</si>
  <si>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</si>
  <si>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</si>
  <si>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</si>
  <si>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</si>
  <si>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</si>
  <si>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</si>
  <si>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</si>
  <si>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</si>
  <si>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</si>
  <si>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</si>
  <si>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</si>
  <si>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</si>
  <si>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</si>
  <si>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</si>
  <si>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</si>
  <si>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</si>
  <si>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</si>
  <si>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</si>
  <si>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</si>
  <si>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</si>
  <si>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</si>
  <si>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</si>
  <si>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</si>
  <si>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</si>
  <si>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</si>
  <si>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</si>
  <si>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</si>
  <si>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</si>
  <si>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</si>
  <si>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</si>
  <si>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</si>
  <si>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</si>
  <si>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</si>
  <si>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</si>
  <si>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</si>
  <si>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</si>
  <si>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</si>
  <si>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</si>
  <si>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</si>
  <si>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</si>
  <si>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</si>
  <si>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</si>
  <si>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</si>
  <si>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</si>
  <si>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</si>
  <si>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</si>
  <si>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</si>
  <si>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</si>
  <si>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</si>
  <si>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</si>
  <si>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</si>
  <si>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VIATICOS</t>
  </si>
  <si>
    <t>TIQUETES AEREOS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</si>
  <si>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</si>
  <si>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</si>
  <si>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</si>
  <si>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</si>
  <si>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</si>
  <si>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</si>
  <si>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</si>
  <si>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</si>
  <si>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2.1: Implementación del POMCH del Rio Las Ceibas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</si>
  <si>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</si>
  <si>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</si>
  <si>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</si>
  <si>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</si>
  <si>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</si>
  <si>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</si>
  <si>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</si>
  <si>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</si>
  <si>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</si>
  <si>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</si>
  <si>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</si>
  <si>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</si>
  <si>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</si>
  <si>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</si>
  <si>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</si>
  <si>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</si>
  <si>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</si>
  <si>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</si>
  <si>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</si>
  <si>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</si>
  <si>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</si>
  <si>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</si>
  <si>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</si>
  <si>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P 3.1: Promoción y Apoyo a Procesos Competitivos Sostenibles y Aprovechamiento de la Oferta Natural de la Región.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</si>
  <si>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</si>
  <si>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</si>
  <si>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</si>
  <si>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</si>
  <si>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</si>
  <si>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</si>
  <si>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</si>
  <si>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</si>
  <si>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</si>
  <si>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</si>
  <si>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Fortalecimiento del Sistema de Gestión de Calidad-MECI</t>
  </si>
  <si>
    <t>Sistema Fortalecido</t>
  </si>
  <si>
    <t>Proyecto REDD</t>
  </si>
  <si>
    <t>Areas revegetalizadas naturalmente para la proteccion de cuencas abastecedoras en mantenimiento</t>
  </si>
  <si>
    <t>Ondas Educativas</t>
  </si>
  <si>
    <t>Estudiante</t>
  </si>
  <si>
    <t>Modernización tecnologica- Gobierno en linea</t>
  </si>
  <si>
    <t>Gastos de gestión, operación, administración y promoción del proyecto</t>
  </si>
  <si>
    <t>Comites</t>
  </si>
  <si>
    <t>Apoyo al desarrollo de actividades enmarcadas en alguna o varias de las siguientes lineas de inversión:  Construcción de obras de control de inundaciones, control de caudales rectificación y manejo de cauces, control de escorrentia, control de erosion, obras de geotecnia, regulación de cauces y corrientes de agua y demas obras para el manejo de suelos, aguas y vegetación de conformidad  con lo establecido en los decretos 4629 de 2010 y 141 de 2011</t>
  </si>
  <si>
    <t>Acompañamiento y asistencia tecnica al Comité Regional de Prevención y Atencion de Desastres (CREPAD)  y a los Comites Locales de Prevención y Atencion de Desastres (CLOPAD)</t>
  </si>
  <si>
    <t>Gestion de procesos administrativos de carácter preventivo y sancionatorio tendientes a la recuperación de las zonas de proteccion, humedales, rondas y playones ocupadas o intervenidos ilegalmente con el proposito de recuperar el normal funcionamiento hidrico de las dinamicas de estas zonas</t>
  </si>
  <si>
    <t>Fuentes hidricas intervenidas</t>
  </si>
  <si>
    <t>Asesoria , asistencia tecnica y capacitación en procesos de seguimiento, revision y ajuste de POTM</t>
  </si>
  <si>
    <t xml:space="preserve">
P4.5: Gestión Integral del Riesgo</t>
  </si>
  <si>
    <t>No. De has adquiridas y administradas para la restauración y conservación de areas estrategicas del SIDAP</t>
  </si>
  <si>
    <t>% de ejecucion financiera</t>
  </si>
  <si>
    <t>Avance de la ejecución fisica de las actividades programadas para la vigencia</t>
  </si>
  <si>
    <t>% avance fisico</t>
  </si>
  <si>
    <t>Avance en la ejecución fisica del Convenio 152 del 2007 para la ejecucion del POMCH del rio Ceibas</t>
  </si>
  <si>
    <t>% avance fisico acumulado</t>
  </si>
  <si>
    <t>Acopio y sistematización de información para el registro de usuarios del recurso hidrico</t>
  </si>
  <si>
    <t>No. De has adquiridas y administradas para la restauración y conservación de areas estrategicas en cuencas hidrograficas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</si>
  <si>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</si>
  <si>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</si>
  <si>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Priorizacion de corrientes para el ordenamiento del recurso hidrico</t>
  </si>
  <si>
    <t xml:space="preserve">Estudio </t>
  </si>
  <si>
    <t>formulación de planes de ordenamiento de recurso hidrico</t>
  </si>
  <si>
    <t>Firma de agendas para la producción y consumo sostenible en sectores estrategicos</t>
  </si>
  <si>
    <t>Agendas</t>
  </si>
  <si>
    <t>Nodo Regional de cambio climatico de la region Andina en operación</t>
  </si>
  <si>
    <t xml:space="preserve">Nodo </t>
  </si>
  <si>
    <t>A JUNIO 30</t>
  </si>
  <si>
    <t>PRESUPUESTO APROPIADO PLAN DE ACCION VIGENCIA 2012</t>
  </si>
  <si>
    <t>VALOR TOTAL COMPROMETIDO PLAN DE ACCION VIGENCIA 2012</t>
  </si>
  <si>
    <t>INDICE GLOBAL DE EJECUCION FINANCIERA PLAN DE ACCION 2012</t>
  </si>
  <si>
    <t>P 1: PLANIFICACION Y GESTION DE AREAS PROTEGIDAS PARA LA CONSERVACION Y APROVECHAMIENTO SOSTENIBLE DE LA BIODIVERSIDAD Y LOS BIENES Y SERVICIOS AMBIENTALES</t>
  </si>
  <si>
    <t>P4.1: Gestión Integral del Territorio Rural y Urbano</t>
  </si>
  <si>
    <t>P 3.2: Estrategias y Acciones de Adaptación al Cambio Climático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</si>
</sst>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33" borderId="0" xfId="0" applyNumberFormat="1" applyFont="1" applyFill="1" applyAlignment="1">
      <alignment vertical="center" wrapText="1"/>
    </xf>
    <xf numFmtId="3" fontId="3" fillId="33" borderId="0" xfId="0" applyNumberFormat="1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4" fontId="10" fillId="33" borderId="0" xfId="0" applyNumberFormat="1" applyFont="1" applyFill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36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36" borderId="11" xfId="0" applyNumberFormat="1" applyFont="1" applyFill="1" applyBorder="1" applyAlignment="1">
      <alignment vertical="center" wrapText="1"/>
    </xf>
    <xf numFmtId="3" fontId="10" fillId="37" borderId="11" xfId="0" applyNumberFormat="1" applyFont="1" applyFill="1" applyBorder="1" applyAlignment="1">
      <alignment vertical="center" wrapText="1"/>
    </xf>
    <xf numFmtId="3" fontId="6" fillId="38" borderId="11" xfId="0" applyNumberFormat="1" applyFont="1" applyFill="1" applyBorder="1" applyAlignment="1">
      <alignment vertical="center" wrapText="1"/>
    </xf>
    <xf numFmtId="3" fontId="6" fillId="37" borderId="11" xfId="0" applyNumberFormat="1" applyFont="1" applyFill="1" applyBorder="1" applyAlignment="1">
      <alignment vertical="center" wrapText="1"/>
    </xf>
    <xf numFmtId="3" fontId="10" fillId="39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 vertical="center" wrapText="1"/>
    </xf>
    <xf numFmtId="3" fontId="6" fillId="39" borderId="11" xfId="0" applyNumberFormat="1" applyFont="1" applyFill="1" applyBorder="1" applyAlignment="1">
      <alignment vertical="center" wrapText="1"/>
    </xf>
    <xf numFmtId="3" fontId="6" fillId="38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36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43" fontId="3" fillId="33" borderId="0" xfId="48" applyFont="1" applyFill="1" applyAlignment="1">
      <alignment vertical="center" wrapText="1"/>
    </xf>
    <xf numFmtId="43" fontId="9" fillId="0" borderId="0" xfId="48" applyFont="1" applyFill="1" applyAlignment="1">
      <alignment vertical="center" wrapText="1"/>
    </xf>
    <xf numFmtId="43" fontId="3" fillId="0" borderId="0" xfId="48" applyFont="1" applyFill="1" applyAlignment="1">
      <alignment vertical="center" wrapText="1"/>
    </xf>
    <xf numFmtId="43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48" applyFont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39" borderId="11" xfId="0" applyNumberFormat="1" applyFont="1" applyFill="1" applyBorder="1" applyAlignment="1">
      <alignment horizontal="center" vertical="center" wrapText="1"/>
    </xf>
    <xf numFmtId="43" fontId="9" fillId="0" borderId="0" xfId="48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36" borderId="11" xfId="0" applyNumberFormat="1" applyFont="1" applyFill="1" applyBorder="1" applyAlignment="1">
      <alignment horizontal="center" vertical="center" wrapText="1"/>
    </xf>
    <xf numFmtId="3" fontId="6" fillId="37" borderId="11" xfId="0" applyNumberFormat="1" applyFont="1" applyFill="1" applyBorder="1" applyAlignment="1">
      <alignment horizontal="center" vertical="center" wrapText="1"/>
    </xf>
    <xf numFmtId="3" fontId="6" fillId="39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38" borderId="0" xfId="0" applyNumberFormat="1" applyFont="1" applyFill="1" applyAlignment="1">
      <alignment vertical="center" wrapText="1"/>
    </xf>
    <xf numFmtId="3" fontId="10" fillId="36" borderId="11" xfId="0" applyNumberFormat="1" applyFont="1" applyFill="1" applyBorder="1" applyAlignment="1">
      <alignment vertical="center" wrapText="1"/>
    </xf>
    <xf numFmtId="3" fontId="10" fillId="37" borderId="11" xfId="0" applyNumberFormat="1" applyFont="1" applyFill="1" applyBorder="1" applyAlignment="1">
      <alignment vertical="center" wrapText="1"/>
    </xf>
    <xf numFmtId="3" fontId="11" fillId="40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" fontId="10" fillId="38" borderId="11" xfId="0" applyNumberFormat="1" applyFont="1" applyFill="1" applyBorder="1" applyAlignment="1">
      <alignment vertical="center" wrapText="1"/>
    </xf>
    <xf numFmtId="3" fontId="10" fillId="40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37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3" fontId="6" fillId="0" borderId="0" xfId="48" applyFont="1" applyFill="1" applyBorder="1" applyAlignment="1">
      <alignment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3" fillId="33" borderId="22" xfId="0" applyFont="1" applyFill="1" applyBorder="1" applyAlignment="1">
      <alignment vertical="center" wrapText="1"/>
    </xf>
    <xf numFmtId="186" fontId="3" fillId="0" borderId="0" xfId="48" applyNumberFormat="1" applyFont="1" applyFill="1" applyBorder="1" applyAlignment="1">
      <alignment vertical="center" wrapText="1"/>
    </xf>
    <xf numFmtId="186" fontId="9" fillId="0" borderId="0" xfId="0" applyNumberFormat="1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187" fontId="4" fillId="0" borderId="24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187" fontId="6" fillId="0" borderId="24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189" fontId="10" fillId="0" borderId="11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6" fillId="38" borderId="0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187" fontId="6" fillId="0" borderId="31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0" fontId="4" fillId="34" borderId="3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188" fontId="10" fillId="0" borderId="29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horizontal="justify" vertical="center" wrapText="1"/>
    </xf>
    <xf numFmtId="0" fontId="10" fillId="35" borderId="23" xfId="0" applyFont="1" applyFill="1" applyBorder="1" applyAlignment="1">
      <alignment horizontal="justify" vertical="center" wrapText="1"/>
    </xf>
    <xf numFmtId="0" fontId="10" fillId="35" borderId="34" xfId="0" applyFont="1" applyFill="1" applyBorder="1" applyAlignment="1">
      <alignment horizontal="justify" vertical="center" wrapText="1"/>
    </xf>
    <xf numFmtId="0" fontId="10" fillId="35" borderId="11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35" borderId="29" xfId="0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vertical="center" wrapText="1"/>
    </xf>
    <xf numFmtId="188" fontId="10" fillId="0" borderId="24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187" fontId="6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188" fontId="10" fillId="0" borderId="29" xfId="0" applyNumberFormat="1" applyFont="1" applyFill="1" applyBorder="1" applyAlignment="1">
      <alignment horizontal="center" vertical="center" wrapText="1"/>
    </xf>
    <xf numFmtId="188" fontId="0" fillId="0" borderId="11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41" xfId="0" applyNumberFormat="1" applyFont="1" applyFill="1" applyBorder="1" applyAlignment="1">
      <alignment horizontal="right" vertical="center" wrapText="1"/>
    </xf>
    <xf numFmtId="4" fontId="4" fillId="34" borderId="29" xfId="0" applyNumberFormat="1" applyFont="1" applyFill="1" applyBorder="1" applyAlignment="1">
      <alignment horizontal="center" vertical="center" wrapText="1"/>
    </xf>
    <xf numFmtId="4" fontId="4" fillId="34" borderId="30" xfId="0" applyNumberFormat="1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left" vertical="justify" wrapText="1"/>
    </xf>
    <xf numFmtId="0" fontId="12" fillId="34" borderId="36" xfId="0" applyFont="1" applyFill="1" applyBorder="1" applyAlignment="1">
      <alignment horizontal="left" vertical="justify" wrapText="1"/>
    </xf>
    <xf numFmtId="0" fontId="12" fillId="34" borderId="21" xfId="0" applyFont="1" applyFill="1" applyBorder="1" applyAlignment="1">
      <alignment horizontal="left" vertical="justify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44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3" fontId="6" fillId="0" borderId="2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37" xfId="0" applyNumberFormat="1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top" wrapText="1"/>
    </xf>
    <xf numFmtId="0" fontId="12" fillId="34" borderId="62" xfId="0" applyFont="1" applyFill="1" applyBorder="1" applyAlignment="1">
      <alignment horizontal="left" vertical="justify" wrapText="1"/>
    </xf>
    <xf numFmtId="0" fontId="12" fillId="34" borderId="14" xfId="0" applyFont="1" applyFill="1" applyBorder="1" applyAlignment="1">
      <alignment horizontal="left" vertical="justify" wrapText="1"/>
    </xf>
    <xf numFmtId="0" fontId="12" fillId="34" borderId="37" xfId="0" applyFont="1" applyFill="1" applyBorder="1" applyAlignment="1">
      <alignment horizontal="left" vertical="justify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6" fillId="34" borderId="29" xfId="0" applyNumberFormat="1" applyFont="1" applyFill="1" applyBorder="1" applyAlignment="1">
      <alignment horizontal="center" vertical="center" wrapText="1"/>
    </xf>
    <xf numFmtId="4" fontId="6" fillId="34" borderId="30" xfId="0" applyNumberFormat="1" applyFont="1" applyFill="1" applyBorder="1" applyAlignment="1">
      <alignment horizontal="center" vertical="center" wrapText="1"/>
    </xf>
    <xf numFmtId="0" fontId="14" fillId="34" borderId="64" xfId="0" applyFont="1" applyFill="1" applyBorder="1" applyAlignment="1">
      <alignment horizontal="center" vertical="center" wrapText="1"/>
    </xf>
    <xf numFmtId="0" fontId="14" fillId="34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/>
    </xf>
    <xf numFmtId="0" fontId="10" fillId="0" borderId="41" xfId="0" applyFont="1" applyBorder="1" applyAlignment="1">
      <alignment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285750</xdr:rowOff>
    </xdr:from>
    <xdr:to>
      <xdr:col>0</xdr:col>
      <xdr:colOff>1438275</xdr:colOff>
      <xdr:row>2</xdr:row>
      <xdr:rowOff>638175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285750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7"/>
  <sheetViews>
    <sheetView tabSelected="1" zoomScale="60" zoomScaleNormal="60" zoomScalePageLayoutView="0" workbookViewId="0" topLeftCell="A108">
      <selection activeCell="A1" sqref="A1:J132"/>
    </sheetView>
  </sheetViews>
  <sheetFormatPr defaultColWidth="11.421875" defaultRowHeight="12.75"/>
  <cols>
    <col min="1" max="1" width="25.57421875" style="1" customWidth="1"/>
    <col min="2" max="2" width="24.0039062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10" width="22.140625" style="9" customWidth="1"/>
    <col min="11" max="11" width="18.421875" style="6" hidden="1" customWidth="1"/>
    <col min="12" max="12" width="17.00390625" style="7" hidden="1" customWidth="1"/>
    <col min="13" max="14" width="14.421875" style="61" hidden="1" customWidth="1"/>
    <col min="15" max="15" width="14.421875" style="62" hidden="1" customWidth="1"/>
    <col min="16" max="17" width="14.421875" style="48" hidden="1" customWidth="1"/>
    <col min="18" max="19" width="0" style="1" hidden="1" customWidth="1"/>
    <col min="20" max="20" width="16.57421875" style="33" bestFit="1" customWidth="1"/>
    <col min="21" max="21" width="21.00390625" style="49" bestFit="1" customWidth="1"/>
    <col min="22" max="16384" width="11.421875" style="1" customWidth="1"/>
  </cols>
  <sheetData>
    <row r="1" spans="1:21" s="42" customFormat="1" ht="28.5" customHeight="1">
      <c r="A1" s="237"/>
      <c r="B1" s="238"/>
      <c r="C1" s="238"/>
      <c r="D1" s="238"/>
      <c r="E1" s="238"/>
      <c r="F1" s="238"/>
      <c r="G1" s="238"/>
      <c r="H1" s="238"/>
      <c r="I1" s="239"/>
      <c r="J1" s="83" t="s">
        <v>14</v>
      </c>
      <c r="K1" s="40"/>
      <c r="L1" s="41"/>
      <c r="M1" s="16"/>
      <c r="N1" s="16"/>
      <c r="O1" s="17"/>
      <c r="P1" s="22"/>
      <c r="Q1" s="22"/>
      <c r="T1" s="43"/>
      <c r="U1" s="31"/>
    </row>
    <row r="2" spans="1:21" s="42" customFormat="1" ht="28.5" customHeight="1">
      <c r="A2" s="240"/>
      <c r="B2" s="241"/>
      <c r="C2" s="241"/>
      <c r="D2" s="241"/>
      <c r="E2" s="241"/>
      <c r="F2" s="241"/>
      <c r="G2" s="241"/>
      <c r="H2" s="241"/>
      <c r="I2" s="242"/>
      <c r="J2" s="84" t="s">
        <v>13</v>
      </c>
      <c r="K2" s="40"/>
      <c r="L2" s="41"/>
      <c r="M2" s="16"/>
      <c r="N2" s="16"/>
      <c r="O2" s="17"/>
      <c r="P2" s="22"/>
      <c r="Q2" s="22"/>
      <c r="T2" s="43"/>
      <c r="U2" s="31"/>
    </row>
    <row r="3" spans="1:21" s="42" customFormat="1" ht="55.5" customHeight="1" thickBot="1">
      <c r="A3" s="243"/>
      <c r="B3" s="244"/>
      <c r="C3" s="244"/>
      <c r="D3" s="244"/>
      <c r="E3" s="244"/>
      <c r="F3" s="244"/>
      <c r="G3" s="244"/>
      <c r="H3" s="244"/>
      <c r="I3" s="245"/>
      <c r="J3" s="85" t="s">
        <v>63</v>
      </c>
      <c r="K3" s="40"/>
      <c r="L3" s="41"/>
      <c r="M3" s="16"/>
      <c r="N3" s="16"/>
      <c r="O3" s="17"/>
      <c r="P3" s="22"/>
      <c r="Q3" s="22"/>
      <c r="T3" s="43"/>
      <c r="U3" s="31"/>
    </row>
    <row r="4" spans="1:21" s="42" customFormat="1" ht="8.25" customHeight="1" thickBot="1">
      <c r="A4" s="87"/>
      <c r="B4" s="250"/>
      <c r="C4" s="251"/>
      <c r="D4" s="251"/>
      <c r="E4" s="251"/>
      <c r="F4" s="252"/>
      <c r="G4" s="251"/>
      <c r="H4" s="251"/>
      <c r="I4" s="251"/>
      <c r="J4" s="208"/>
      <c r="K4" s="40"/>
      <c r="L4" s="41"/>
      <c r="M4" s="16"/>
      <c r="N4" s="16"/>
      <c r="O4" s="17"/>
      <c r="P4" s="22"/>
      <c r="Q4" s="22"/>
      <c r="T4" s="43"/>
      <c r="U4" s="31"/>
    </row>
    <row r="5" spans="1:21" s="42" customFormat="1" ht="39" customHeight="1" thickBot="1">
      <c r="A5" s="255" t="s">
        <v>4</v>
      </c>
      <c r="B5" s="256"/>
      <c r="C5" s="207">
        <v>2012</v>
      </c>
      <c r="D5" s="207"/>
      <c r="E5" s="208"/>
      <c r="F5" s="45"/>
      <c r="G5" s="44" t="s">
        <v>5</v>
      </c>
      <c r="H5" s="215" t="s">
        <v>136</v>
      </c>
      <c r="I5" s="207"/>
      <c r="J5" s="208"/>
      <c r="K5" s="40"/>
      <c r="L5" s="41"/>
      <c r="M5" s="16"/>
      <c r="N5" s="16"/>
      <c r="O5" s="17"/>
      <c r="P5" s="22"/>
      <c r="Q5" s="22"/>
      <c r="T5" s="43"/>
      <c r="U5" s="31"/>
    </row>
    <row r="6" spans="1:15" ht="8.25" customHeight="1" thickBot="1">
      <c r="A6" s="88"/>
      <c r="B6" s="220"/>
      <c r="C6" s="221"/>
      <c r="D6" s="221"/>
      <c r="E6" s="221"/>
      <c r="F6" s="222"/>
      <c r="G6" s="221"/>
      <c r="H6" s="221"/>
      <c r="I6" s="221"/>
      <c r="J6" s="223"/>
      <c r="M6" s="46"/>
      <c r="N6" s="46"/>
      <c r="O6" s="47"/>
    </row>
    <row r="7" spans="1:20" s="32" customFormat="1" ht="15.75" customHeight="1">
      <c r="A7" s="209" t="s">
        <v>68</v>
      </c>
      <c r="B7" s="209" t="s">
        <v>0</v>
      </c>
      <c r="C7" s="230" t="s">
        <v>2</v>
      </c>
      <c r="D7" s="181" t="s">
        <v>20</v>
      </c>
      <c r="E7" s="230" t="s">
        <v>3</v>
      </c>
      <c r="F7" s="188" t="s">
        <v>6</v>
      </c>
      <c r="G7" s="188"/>
      <c r="H7" s="253" t="s">
        <v>7</v>
      </c>
      <c r="I7" s="253"/>
      <c r="J7" s="254"/>
      <c r="K7" s="50"/>
      <c r="L7" s="51"/>
      <c r="M7" s="46"/>
      <c r="N7" s="46"/>
      <c r="O7" s="47"/>
      <c r="P7" s="52"/>
      <c r="Q7" s="52"/>
      <c r="T7" s="53"/>
    </row>
    <row r="8" spans="1:20" s="4" customFormat="1" ht="45.75" customHeight="1" thickBot="1">
      <c r="A8" s="210"/>
      <c r="B8" s="210"/>
      <c r="C8" s="231"/>
      <c r="D8" s="182"/>
      <c r="E8" s="231"/>
      <c r="F8" s="79" t="s">
        <v>8</v>
      </c>
      <c r="G8" s="79" t="s">
        <v>9</v>
      </c>
      <c r="H8" s="80" t="s">
        <v>10</v>
      </c>
      <c r="I8" s="80" t="s">
        <v>11</v>
      </c>
      <c r="J8" s="81" t="s">
        <v>12</v>
      </c>
      <c r="K8" s="54"/>
      <c r="L8" s="55"/>
      <c r="M8" s="56" t="s">
        <v>59</v>
      </c>
      <c r="N8" s="56" t="s">
        <v>59</v>
      </c>
      <c r="O8" s="57" t="s">
        <v>60</v>
      </c>
      <c r="P8" s="58" t="s">
        <v>62</v>
      </c>
      <c r="Q8" s="58" t="s">
        <v>62</v>
      </c>
      <c r="T8" s="34"/>
    </row>
    <row r="9" spans="1:21" s="3" customFormat="1" ht="35.25" customHeight="1">
      <c r="A9" s="211" t="s">
        <v>140</v>
      </c>
      <c r="B9" s="232" t="s">
        <v>66</v>
      </c>
      <c r="C9" s="144" t="s">
        <v>15</v>
      </c>
      <c r="D9" s="11">
        <v>2</v>
      </c>
      <c r="E9" s="99" t="s">
        <v>21</v>
      </c>
      <c r="F9" s="100">
        <v>391728</v>
      </c>
      <c r="G9" s="100">
        <v>347423</v>
      </c>
      <c r="H9" s="101">
        <f>1366507636/2</f>
        <v>683253818</v>
      </c>
      <c r="I9" s="101">
        <v>308661489</v>
      </c>
      <c r="J9" s="102">
        <f aca="true" t="shared" si="0" ref="J9:J16">+H9-I9</f>
        <v>374592329</v>
      </c>
      <c r="K9" s="60"/>
      <c r="L9" s="15"/>
      <c r="M9" s="61"/>
      <c r="N9" s="61"/>
      <c r="O9" s="62"/>
      <c r="P9" s="48"/>
      <c r="Q9" s="48"/>
      <c r="T9" s="35"/>
      <c r="U9" s="4"/>
    </row>
    <row r="10" spans="1:21" s="3" customFormat="1" ht="33.75" customHeight="1">
      <c r="A10" s="211"/>
      <c r="B10" s="225"/>
      <c r="C10" s="144" t="s">
        <v>16</v>
      </c>
      <c r="D10" s="11">
        <v>4</v>
      </c>
      <c r="E10" s="99" t="s">
        <v>21</v>
      </c>
      <c r="F10" s="100">
        <v>0</v>
      </c>
      <c r="G10" s="100">
        <v>0</v>
      </c>
      <c r="H10" s="103">
        <v>0</v>
      </c>
      <c r="I10" s="103">
        <v>0</v>
      </c>
      <c r="J10" s="102">
        <f t="shared" si="0"/>
        <v>0</v>
      </c>
      <c r="K10" s="60">
        <v>118606003</v>
      </c>
      <c r="L10" s="15"/>
      <c r="M10" s="61">
        <v>35046</v>
      </c>
      <c r="N10" s="61">
        <v>255412</v>
      </c>
      <c r="O10" s="62">
        <v>615140</v>
      </c>
      <c r="P10" s="48"/>
      <c r="Q10" s="48"/>
      <c r="T10" s="35"/>
      <c r="U10" s="4"/>
    </row>
    <row r="11" spans="1:21" s="3" customFormat="1" ht="37.5" customHeight="1">
      <c r="A11" s="211"/>
      <c r="B11" s="225"/>
      <c r="C11" s="144" t="s">
        <v>17</v>
      </c>
      <c r="D11" s="11">
        <v>4</v>
      </c>
      <c r="E11" s="99" t="s">
        <v>21</v>
      </c>
      <c r="F11" s="100">
        <v>0</v>
      </c>
      <c r="G11" s="100">
        <v>0</v>
      </c>
      <c r="H11" s="101">
        <v>0</v>
      </c>
      <c r="I11" s="103">
        <v>0</v>
      </c>
      <c r="J11" s="102">
        <f t="shared" si="0"/>
        <v>0</v>
      </c>
      <c r="K11" s="60">
        <v>304866161</v>
      </c>
      <c r="L11" s="15"/>
      <c r="M11" s="61">
        <v>79222</v>
      </c>
      <c r="N11" s="61"/>
      <c r="O11" s="62">
        <v>165962</v>
      </c>
      <c r="P11" s="48"/>
      <c r="Q11" s="48"/>
      <c r="T11" s="35"/>
      <c r="U11" s="4"/>
    </row>
    <row r="12" spans="1:21" s="3" customFormat="1" ht="41.25" customHeight="1">
      <c r="A12" s="211"/>
      <c r="B12" s="225"/>
      <c r="C12" s="144" t="s">
        <v>19</v>
      </c>
      <c r="D12" s="11">
        <v>5</v>
      </c>
      <c r="E12" s="99" t="s">
        <v>22</v>
      </c>
      <c r="F12" s="100">
        <v>1</v>
      </c>
      <c r="G12" s="100">
        <v>3</v>
      </c>
      <c r="H12" s="101">
        <v>21000000</v>
      </c>
      <c r="I12" s="101">
        <f>14380894+5650669</f>
        <v>20031563</v>
      </c>
      <c r="J12" s="102">
        <f t="shared" si="0"/>
        <v>968437</v>
      </c>
      <c r="K12" s="60">
        <f>SUM(K10:K11)</f>
        <v>423472164</v>
      </c>
      <c r="L12" s="15"/>
      <c r="M12" s="61">
        <v>255412</v>
      </c>
      <c r="N12" s="61"/>
      <c r="O12" s="62">
        <v>489303</v>
      </c>
      <c r="P12" s="48"/>
      <c r="Q12" s="48"/>
      <c r="T12" s="35"/>
      <c r="U12" s="4"/>
    </row>
    <row r="13" spans="1:23" s="3" customFormat="1" ht="64.5" customHeight="1">
      <c r="A13" s="211"/>
      <c r="B13" s="225"/>
      <c r="C13" s="137" t="s">
        <v>64</v>
      </c>
      <c r="D13" s="12"/>
      <c r="E13" s="99" t="s">
        <v>21</v>
      </c>
      <c r="F13" s="100">
        <v>5000</v>
      </c>
      <c r="G13" s="100">
        <v>1000</v>
      </c>
      <c r="H13" s="101">
        <f>15000000/2</f>
        <v>7500000</v>
      </c>
      <c r="I13" s="101">
        <v>0</v>
      </c>
      <c r="J13" s="102">
        <f t="shared" si="0"/>
        <v>7500000</v>
      </c>
      <c r="K13" s="63" t="s">
        <v>61</v>
      </c>
      <c r="L13" s="15"/>
      <c r="M13" s="61">
        <v>85137</v>
      </c>
      <c r="N13" s="61"/>
      <c r="O13" s="62">
        <v>341394</v>
      </c>
      <c r="P13" s="48"/>
      <c r="Q13" s="48"/>
      <c r="T13" s="36"/>
      <c r="U13" s="64"/>
      <c r="V13" s="37"/>
      <c r="W13" s="37"/>
    </row>
    <row r="14" spans="1:23" s="3" customFormat="1" ht="42" customHeight="1">
      <c r="A14" s="211"/>
      <c r="B14" s="225"/>
      <c r="C14" s="137" t="s">
        <v>119</v>
      </c>
      <c r="D14" s="12"/>
      <c r="E14" s="99" t="s">
        <v>21</v>
      </c>
      <c r="F14" s="100">
        <v>725</v>
      </c>
      <c r="G14" s="100">
        <v>0</v>
      </c>
      <c r="H14" s="101">
        <v>652600000</v>
      </c>
      <c r="I14" s="101">
        <v>651472538</v>
      </c>
      <c r="J14" s="102">
        <f t="shared" si="0"/>
        <v>1127462</v>
      </c>
      <c r="K14" s="63"/>
      <c r="L14" s="15"/>
      <c r="M14" s="61"/>
      <c r="N14" s="61"/>
      <c r="O14" s="62"/>
      <c r="P14" s="48"/>
      <c r="Q14" s="48"/>
      <c r="T14" s="36"/>
      <c r="U14" s="64"/>
      <c r="V14" s="37"/>
      <c r="W14" s="37"/>
    </row>
    <row r="15" spans="1:23" s="3" customFormat="1" ht="18">
      <c r="A15" s="211"/>
      <c r="B15" s="225"/>
      <c r="C15" s="138" t="s">
        <v>85</v>
      </c>
      <c r="D15" s="68"/>
      <c r="E15" s="99" t="s">
        <v>86</v>
      </c>
      <c r="F15" s="100">
        <v>2</v>
      </c>
      <c r="G15" s="100">
        <v>2</v>
      </c>
      <c r="H15" s="101">
        <f>47327319/2</f>
        <v>23663659.5</v>
      </c>
      <c r="I15" s="101">
        <v>0</v>
      </c>
      <c r="J15" s="102">
        <f t="shared" si="0"/>
        <v>23663659.5</v>
      </c>
      <c r="K15" s="60">
        <v>474190061</v>
      </c>
      <c r="L15" s="15"/>
      <c r="M15" s="61">
        <v>425685</v>
      </c>
      <c r="N15" s="61"/>
      <c r="O15" s="62">
        <v>197989</v>
      </c>
      <c r="P15" s="48"/>
      <c r="Q15" s="48"/>
      <c r="T15" s="36"/>
      <c r="U15" s="65"/>
      <c r="V15" s="37"/>
      <c r="W15" s="37"/>
    </row>
    <row r="16" spans="1:23" s="3" customFormat="1" ht="34.5" customHeight="1">
      <c r="A16" s="211"/>
      <c r="B16" s="225"/>
      <c r="C16" s="138" t="s">
        <v>111</v>
      </c>
      <c r="D16" s="12"/>
      <c r="E16" s="99" t="s">
        <v>120</v>
      </c>
      <c r="F16" s="100">
        <v>50</v>
      </c>
      <c r="G16" s="100">
        <v>0</v>
      </c>
      <c r="H16" s="104">
        <f>37415944/2</f>
        <v>18707972</v>
      </c>
      <c r="I16" s="104">
        <v>0</v>
      </c>
      <c r="J16" s="102">
        <f t="shared" si="0"/>
        <v>18707972</v>
      </c>
      <c r="K16" s="63">
        <f>SUM(K15:K15)</f>
        <v>474190061</v>
      </c>
      <c r="L16" s="15"/>
      <c r="M16" s="61">
        <v>1097149</v>
      </c>
      <c r="N16" s="61"/>
      <c r="O16" s="62">
        <v>278352</v>
      </c>
      <c r="P16" s="48"/>
      <c r="Q16" s="48"/>
      <c r="T16" s="36"/>
      <c r="U16" s="65"/>
      <c r="V16" s="37"/>
      <c r="W16" s="37"/>
    </row>
    <row r="17" spans="1:23" s="3" customFormat="1" ht="15" customHeight="1">
      <c r="A17" s="211"/>
      <c r="B17" s="225"/>
      <c r="C17" s="234" t="s">
        <v>23</v>
      </c>
      <c r="D17" s="235"/>
      <c r="E17" s="235"/>
      <c r="F17" s="235"/>
      <c r="G17" s="236"/>
      <c r="H17" s="105">
        <f>SUM(H9:H16)</f>
        <v>1406725449.5</v>
      </c>
      <c r="I17" s="94"/>
      <c r="J17" s="176">
        <f>SUM(J9:J16)</f>
        <v>426559859.5</v>
      </c>
      <c r="K17" s="67">
        <f>675436154-K16</f>
        <v>201246093</v>
      </c>
      <c r="L17" s="15"/>
      <c r="M17" s="61">
        <v>210274</v>
      </c>
      <c r="N17" s="61"/>
      <c r="O17" s="62"/>
      <c r="P17" s="48"/>
      <c r="Q17" s="48"/>
      <c r="T17" s="36"/>
      <c r="U17" s="65"/>
      <c r="V17" s="37"/>
      <c r="W17" s="37"/>
    </row>
    <row r="18" spans="1:23" s="3" customFormat="1" ht="15" customHeight="1">
      <c r="A18" s="211"/>
      <c r="B18" s="225"/>
      <c r="C18" s="234" t="s">
        <v>24</v>
      </c>
      <c r="D18" s="235"/>
      <c r="E18" s="235"/>
      <c r="F18" s="235"/>
      <c r="G18" s="235"/>
      <c r="H18" s="236"/>
      <c r="I18" s="105">
        <f>SUM(I9:I16)</f>
        <v>980165590</v>
      </c>
      <c r="J18" s="260"/>
      <c r="K18" s="27">
        <v>11</v>
      </c>
      <c r="L18" s="15"/>
      <c r="M18" s="61">
        <v>105137</v>
      </c>
      <c r="N18" s="61"/>
      <c r="O18" s="62"/>
      <c r="P18" s="48"/>
      <c r="Q18" s="48"/>
      <c r="T18" s="36"/>
      <c r="U18" s="65"/>
      <c r="V18" s="37"/>
      <c r="W18" s="37"/>
    </row>
    <row r="19" spans="1:23" s="3" customFormat="1" ht="24" customHeight="1" thickBot="1">
      <c r="A19" s="211"/>
      <c r="B19" s="226"/>
      <c r="C19" s="234" t="s">
        <v>25</v>
      </c>
      <c r="D19" s="235"/>
      <c r="E19" s="235"/>
      <c r="F19" s="235"/>
      <c r="G19" s="235"/>
      <c r="H19" s="236"/>
      <c r="I19" s="106">
        <f>+I18/H17</f>
        <v>0.6967710652767287</v>
      </c>
      <c r="J19" s="261"/>
      <c r="K19" s="26"/>
      <c r="L19" s="15"/>
      <c r="M19" s="25"/>
      <c r="N19" s="25">
        <f>SUM(M10:N18)</f>
        <v>2548474</v>
      </c>
      <c r="O19" s="62"/>
      <c r="P19" s="48"/>
      <c r="Q19" s="48"/>
      <c r="T19" s="36"/>
      <c r="U19" s="65"/>
      <c r="V19" s="37"/>
      <c r="W19" s="37"/>
    </row>
    <row r="20" spans="1:23" s="3" customFormat="1" ht="24" customHeight="1">
      <c r="A20" s="211"/>
      <c r="B20" s="205" t="s">
        <v>0</v>
      </c>
      <c r="C20" s="188" t="s">
        <v>2</v>
      </c>
      <c r="D20" s="181" t="s">
        <v>20</v>
      </c>
      <c r="E20" s="188" t="s">
        <v>3</v>
      </c>
      <c r="F20" s="188" t="s">
        <v>6</v>
      </c>
      <c r="G20" s="188"/>
      <c r="H20" s="179" t="s">
        <v>7</v>
      </c>
      <c r="I20" s="179"/>
      <c r="J20" s="180"/>
      <c r="K20" s="26"/>
      <c r="L20" s="15"/>
      <c r="M20" s="25"/>
      <c r="N20" s="25"/>
      <c r="O20" s="62"/>
      <c r="P20" s="48"/>
      <c r="Q20" s="48"/>
      <c r="T20" s="36"/>
      <c r="U20" s="65"/>
      <c r="V20" s="37"/>
      <c r="W20" s="37"/>
    </row>
    <row r="21" spans="1:23" s="3" customFormat="1" ht="40.5" customHeight="1" thickBot="1">
      <c r="A21" s="211"/>
      <c r="B21" s="206"/>
      <c r="C21" s="268"/>
      <c r="D21" s="182"/>
      <c r="E21" s="268"/>
      <c r="F21" s="10" t="s">
        <v>8</v>
      </c>
      <c r="G21" s="10" t="s">
        <v>9</v>
      </c>
      <c r="H21" s="13" t="s">
        <v>10</v>
      </c>
      <c r="I21" s="13" t="s">
        <v>11</v>
      </c>
      <c r="J21" s="14" t="s">
        <v>12</v>
      </c>
      <c r="K21" s="26"/>
      <c r="L21" s="15"/>
      <c r="M21" s="25"/>
      <c r="N21" s="25"/>
      <c r="O21" s="62"/>
      <c r="P21" s="48"/>
      <c r="Q21" s="48"/>
      <c r="T21" s="36"/>
      <c r="U21" s="65"/>
      <c r="V21" s="37"/>
      <c r="W21" s="37"/>
    </row>
    <row r="22" spans="1:23" s="3" customFormat="1" ht="36" customHeight="1">
      <c r="A22" s="211"/>
      <c r="B22" s="224" t="s">
        <v>67</v>
      </c>
      <c r="C22" s="144" t="s">
        <v>18</v>
      </c>
      <c r="D22" s="11">
        <v>4</v>
      </c>
      <c r="E22" s="99" t="s">
        <v>21</v>
      </c>
      <c r="F22" s="100">
        <v>35830</v>
      </c>
      <c r="G22" s="100">
        <v>35830</v>
      </c>
      <c r="H22" s="101">
        <f>55431198/2</f>
        <v>27715599</v>
      </c>
      <c r="I22" s="101">
        <v>0</v>
      </c>
      <c r="J22" s="102">
        <f>+H22-I22</f>
        <v>27715599</v>
      </c>
      <c r="K22" s="26"/>
      <c r="L22" s="15"/>
      <c r="M22" s="25"/>
      <c r="N22" s="25"/>
      <c r="O22" s="62"/>
      <c r="P22" s="48"/>
      <c r="Q22" s="48"/>
      <c r="T22" s="36"/>
      <c r="U22" s="65"/>
      <c r="V22" s="37"/>
      <c r="W22" s="37"/>
    </row>
    <row r="23" spans="1:23" s="3" customFormat="1" ht="36" customHeight="1">
      <c r="A23" s="211"/>
      <c r="B23" s="225"/>
      <c r="C23" s="137" t="s">
        <v>121</v>
      </c>
      <c r="D23" s="11"/>
      <c r="E23" s="99" t="s">
        <v>122</v>
      </c>
      <c r="F23" s="100">
        <v>50</v>
      </c>
      <c r="G23" s="100">
        <v>50</v>
      </c>
      <c r="H23" s="104">
        <v>0</v>
      </c>
      <c r="I23" s="104">
        <v>0</v>
      </c>
      <c r="J23" s="102">
        <f>+H23-I23</f>
        <v>0</v>
      </c>
      <c r="K23" s="26"/>
      <c r="L23" s="15"/>
      <c r="M23" s="25"/>
      <c r="N23" s="25"/>
      <c r="O23" s="62"/>
      <c r="P23" s="48"/>
      <c r="Q23" s="48"/>
      <c r="T23" s="36"/>
      <c r="U23" s="65"/>
      <c r="V23" s="37"/>
      <c r="W23" s="37"/>
    </row>
    <row r="24" spans="1:23" s="3" customFormat="1" ht="37.5" customHeight="1">
      <c r="A24" s="211"/>
      <c r="B24" s="225"/>
      <c r="C24" s="138" t="s">
        <v>111</v>
      </c>
      <c r="D24" s="12"/>
      <c r="E24" s="99" t="s">
        <v>120</v>
      </c>
      <c r="F24" s="100">
        <v>50</v>
      </c>
      <c r="G24" s="161">
        <v>0</v>
      </c>
      <c r="H24" s="104">
        <f>4000000/2</f>
        <v>2000000</v>
      </c>
      <c r="I24" s="104">
        <v>0</v>
      </c>
      <c r="J24" s="102">
        <f>+H24-I24</f>
        <v>2000000</v>
      </c>
      <c r="K24" s="26"/>
      <c r="L24" s="15"/>
      <c r="M24" s="25"/>
      <c r="N24" s="25"/>
      <c r="O24" s="62"/>
      <c r="P24" s="48"/>
      <c r="Q24" s="48"/>
      <c r="T24" s="36"/>
      <c r="U24" s="65"/>
      <c r="V24" s="37"/>
      <c r="W24" s="37"/>
    </row>
    <row r="25" spans="1:23" s="3" customFormat="1" ht="24" customHeight="1">
      <c r="A25" s="211"/>
      <c r="B25" s="225"/>
      <c r="C25" s="171" t="s">
        <v>23</v>
      </c>
      <c r="D25" s="172"/>
      <c r="E25" s="172"/>
      <c r="F25" s="172"/>
      <c r="G25" s="173"/>
      <c r="H25" s="105">
        <f>SUM(H22:H24)</f>
        <v>29715599</v>
      </c>
      <c r="I25" s="105"/>
      <c r="J25" s="176">
        <f>SUM(J22:J24)</f>
        <v>29715599</v>
      </c>
      <c r="K25" s="26"/>
      <c r="L25" s="15"/>
      <c r="M25" s="25"/>
      <c r="N25" s="25"/>
      <c r="O25" s="62"/>
      <c r="P25" s="48"/>
      <c r="Q25" s="48"/>
      <c r="T25" s="36"/>
      <c r="U25" s="65"/>
      <c r="V25" s="37"/>
      <c r="W25" s="37"/>
    </row>
    <row r="26" spans="1:23" s="3" customFormat="1" ht="24" customHeight="1">
      <c r="A26" s="211"/>
      <c r="B26" s="225"/>
      <c r="C26" s="171" t="s">
        <v>24</v>
      </c>
      <c r="D26" s="172"/>
      <c r="E26" s="172"/>
      <c r="F26" s="172"/>
      <c r="G26" s="172"/>
      <c r="H26" s="173"/>
      <c r="I26" s="105">
        <f>SUM(I22:I24)</f>
        <v>0</v>
      </c>
      <c r="J26" s="260"/>
      <c r="K26" s="26"/>
      <c r="L26" s="15"/>
      <c r="M26" s="25"/>
      <c r="N26" s="25"/>
      <c r="O26" s="62"/>
      <c r="P26" s="48"/>
      <c r="Q26" s="48"/>
      <c r="T26" s="36"/>
      <c r="U26" s="65"/>
      <c r="V26" s="37"/>
      <c r="W26" s="37"/>
    </row>
    <row r="27" spans="1:23" s="3" customFormat="1" ht="47.25" customHeight="1" thickBot="1">
      <c r="A27" s="212"/>
      <c r="B27" s="226"/>
      <c r="C27" s="184" t="s">
        <v>25</v>
      </c>
      <c r="D27" s="185"/>
      <c r="E27" s="185"/>
      <c r="F27" s="185"/>
      <c r="G27" s="185"/>
      <c r="H27" s="186"/>
      <c r="I27" s="124">
        <f>+I26/H25</f>
        <v>0</v>
      </c>
      <c r="J27" s="261"/>
      <c r="K27" s="26"/>
      <c r="L27" s="15"/>
      <c r="M27" s="25"/>
      <c r="N27" s="25"/>
      <c r="O27" s="62"/>
      <c r="P27" s="48"/>
      <c r="Q27" s="48"/>
      <c r="T27" s="36"/>
      <c r="U27" s="65"/>
      <c r="V27" s="37"/>
      <c r="W27" s="37"/>
    </row>
    <row r="28" spans="1:23" s="3" customFormat="1" ht="17.25" customHeight="1">
      <c r="A28" s="213" t="s">
        <v>68</v>
      </c>
      <c r="B28" s="213" t="s">
        <v>0</v>
      </c>
      <c r="C28" s="188" t="s">
        <v>2</v>
      </c>
      <c r="D28" s="181" t="s">
        <v>20</v>
      </c>
      <c r="E28" s="188" t="s">
        <v>3</v>
      </c>
      <c r="F28" s="188" t="s">
        <v>6</v>
      </c>
      <c r="G28" s="188"/>
      <c r="H28" s="179" t="s">
        <v>7</v>
      </c>
      <c r="I28" s="179"/>
      <c r="J28" s="180"/>
      <c r="K28" s="54"/>
      <c r="L28" s="15"/>
      <c r="M28" s="61"/>
      <c r="N28" s="61"/>
      <c r="O28" s="62"/>
      <c r="P28" s="48"/>
      <c r="Q28" s="48"/>
      <c r="T28" s="36"/>
      <c r="U28" s="65"/>
      <c r="V28" s="37"/>
      <c r="W28" s="37"/>
    </row>
    <row r="29" spans="1:23" s="3" customFormat="1" ht="51.75" customHeight="1" thickBot="1">
      <c r="A29" s="214"/>
      <c r="B29" s="214"/>
      <c r="C29" s="189"/>
      <c r="D29" s="182"/>
      <c r="E29" s="189"/>
      <c r="F29" s="79" t="s">
        <v>8</v>
      </c>
      <c r="G29" s="79" t="s">
        <v>9</v>
      </c>
      <c r="H29" s="80" t="s">
        <v>10</v>
      </c>
      <c r="I29" s="80" t="s">
        <v>11</v>
      </c>
      <c r="J29" s="81" t="s">
        <v>12</v>
      </c>
      <c r="K29" s="54"/>
      <c r="L29" s="15"/>
      <c r="M29" s="61"/>
      <c r="N29" s="61"/>
      <c r="O29" s="62"/>
      <c r="P29" s="48"/>
      <c r="Q29" s="48"/>
      <c r="T29" s="36"/>
      <c r="U29" s="65"/>
      <c r="V29" s="37"/>
      <c r="W29" s="37"/>
    </row>
    <row r="30" spans="1:23" s="3" customFormat="1" ht="36" customHeight="1" thickBot="1">
      <c r="A30" s="216" t="s">
        <v>74</v>
      </c>
      <c r="B30" s="166" t="s">
        <v>69</v>
      </c>
      <c r="C30" s="143" t="s">
        <v>72</v>
      </c>
      <c r="D30" s="125">
        <v>7</v>
      </c>
      <c r="E30" s="126" t="s">
        <v>30</v>
      </c>
      <c r="F30" s="120">
        <v>1</v>
      </c>
      <c r="G30" s="164">
        <v>0</v>
      </c>
      <c r="H30" s="127">
        <v>1252000000</v>
      </c>
      <c r="I30" s="127">
        <f>731346831+520122536</f>
        <v>1251469367</v>
      </c>
      <c r="J30" s="123">
        <f>+H30-I30</f>
        <v>530633</v>
      </c>
      <c r="K30" s="54"/>
      <c r="L30" s="15"/>
      <c r="M30" s="29">
        <f>75206</f>
        <v>75206</v>
      </c>
      <c r="N30" s="61">
        <v>340671</v>
      </c>
      <c r="O30" s="62"/>
      <c r="P30" s="48"/>
      <c r="Q30" s="48"/>
      <c r="T30" s="36"/>
      <c r="U30" s="65"/>
      <c r="V30" s="37"/>
      <c r="W30" s="37"/>
    </row>
    <row r="31" spans="1:23" s="3" customFormat="1" ht="30.75" customHeight="1" hidden="1">
      <c r="A31" s="217"/>
      <c r="B31" s="167"/>
      <c r="C31" s="91" t="s">
        <v>26</v>
      </c>
      <c r="D31" s="12">
        <v>3</v>
      </c>
      <c r="E31" s="59" t="s">
        <v>31</v>
      </c>
      <c r="F31" s="66"/>
      <c r="G31" s="165"/>
      <c r="H31" s="96"/>
      <c r="I31" s="96"/>
      <c r="J31" s="123">
        <f>+H31-I31</f>
        <v>0</v>
      </c>
      <c r="K31" s="54"/>
      <c r="L31" s="15"/>
      <c r="M31" s="29">
        <f>35046*4</f>
        <v>140184</v>
      </c>
      <c r="N31" s="61">
        <v>70092</v>
      </c>
      <c r="O31" s="62"/>
      <c r="P31" s="48"/>
      <c r="Q31" s="48"/>
      <c r="T31" s="36"/>
      <c r="U31" s="65"/>
      <c r="V31" s="37"/>
      <c r="W31" s="37"/>
    </row>
    <row r="32" spans="1:23" s="3" customFormat="1" ht="30.75" customHeight="1" hidden="1">
      <c r="A32" s="217"/>
      <c r="B32" s="167"/>
      <c r="C32" s="92" t="s">
        <v>27</v>
      </c>
      <c r="D32" s="68"/>
      <c r="E32" s="59" t="s">
        <v>31</v>
      </c>
      <c r="F32" s="66"/>
      <c r="G32" s="165"/>
      <c r="H32" s="96"/>
      <c r="I32" s="96"/>
      <c r="J32" s="123">
        <f>+H32-I32</f>
        <v>0</v>
      </c>
      <c r="K32" s="54"/>
      <c r="L32" s="15"/>
      <c r="M32" s="29">
        <v>65165</v>
      </c>
      <c r="N32" s="61">
        <v>266765</v>
      </c>
      <c r="O32" s="62"/>
      <c r="P32" s="48"/>
      <c r="Q32" s="48"/>
      <c r="T32" s="36"/>
      <c r="U32" s="65"/>
      <c r="V32" s="37"/>
      <c r="W32" s="37"/>
    </row>
    <row r="33" spans="1:23" s="3" customFormat="1" ht="30.75" customHeight="1">
      <c r="A33" s="217"/>
      <c r="B33" s="167"/>
      <c r="C33" s="138" t="s">
        <v>123</v>
      </c>
      <c r="D33" s="68"/>
      <c r="E33" s="99" t="s">
        <v>124</v>
      </c>
      <c r="F33" s="120">
        <v>85</v>
      </c>
      <c r="G33" s="165">
        <v>0</v>
      </c>
      <c r="H33" s="154">
        <v>0</v>
      </c>
      <c r="I33" s="154">
        <v>0</v>
      </c>
      <c r="J33" s="123">
        <f>+H33-I33</f>
        <v>0</v>
      </c>
      <c r="K33" s="54"/>
      <c r="L33" s="15"/>
      <c r="M33" s="29"/>
      <c r="N33" s="61"/>
      <c r="O33" s="62"/>
      <c r="P33" s="48"/>
      <c r="Q33" s="48"/>
      <c r="T33" s="36"/>
      <c r="U33" s="65"/>
      <c r="V33" s="37"/>
      <c r="W33" s="37"/>
    </row>
    <row r="34" spans="1:23" s="3" customFormat="1" ht="17.25" customHeight="1">
      <c r="A34" s="217"/>
      <c r="B34" s="167"/>
      <c r="C34" s="227" t="s">
        <v>23</v>
      </c>
      <c r="D34" s="228"/>
      <c r="E34" s="228"/>
      <c r="F34" s="228"/>
      <c r="G34" s="229"/>
      <c r="H34" s="105">
        <f>SUM(H30:H32)</f>
        <v>1252000000</v>
      </c>
      <c r="I34" s="93"/>
      <c r="J34" s="176">
        <f>SUM(J30:J32)</f>
        <v>530633</v>
      </c>
      <c r="K34" s="28"/>
      <c r="L34" s="15"/>
      <c r="M34" s="61"/>
      <c r="N34" s="61"/>
      <c r="O34" s="62"/>
      <c r="P34" s="48"/>
      <c r="Q34" s="48"/>
      <c r="T34" s="36"/>
      <c r="U34" s="64"/>
      <c r="V34" s="37"/>
      <c r="W34" s="37"/>
    </row>
    <row r="35" spans="1:23" s="3" customFormat="1" ht="16.5" customHeight="1">
      <c r="A35" s="217"/>
      <c r="B35" s="167"/>
      <c r="C35" s="227" t="s">
        <v>24</v>
      </c>
      <c r="D35" s="228"/>
      <c r="E35" s="228"/>
      <c r="F35" s="228"/>
      <c r="G35" s="228"/>
      <c r="H35" s="229"/>
      <c r="I35" s="105">
        <f>SUM(I30:I34)</f>
        <v>1251469367</v>
      </c>
      <c r="J35" s="177"/>
      <c r="K35" s="27"/>
      <c r="L35" s="15"/>
      <c r="M35" s="61"/>
      <c r="N35" s="61"/>
      <c r="O35" s="62"/>
      <c r="P35" s="48"/>
      <c r="Q35" s="48"/>
      <c r="T35" s="36"/>
      <c r="U35" s="65"/>
      <c r="V35" s="37"/>
      <c r="W35" s="37"/>
    </row>
    <row r="36" spans="1:23" s="3" customFormat="1" ht="33.75" customHeight="1" thickBot="1">
      <c r="A36" s="217"/>
      <c r="B36" s="168"/>
      <c r="C36" s="184" t="s">
        <v>25</v>
      </c>
      <c r="D36" s="185"/>
      <c r="E36" s="185"/>
      <c r="F36" s="185"/>
      <c r="G36" s="185"/>
      <c r="H36" s="186"/>
      <c r="I36" s="124">
        <f>+I35/H34</f>
        <v>0.9995761717252396</v>
      </c>
      <c r="J36" s="178"/>
      <c r="K36" s="54"/>
      <c r="L36" s="15"/>
      <c r="M36" s="61"/>
      <c r="N36" s="61"/>
      <c r="O36" s="62"/>
      <c r="P36" s="48"/>
      <c r="Q36" s="48"/>
      <c r="T36" s="36"/>
      <c r="U36" s="65"/>
      <c r="V36" s="37"/>
      <c r="W36" s="37"/>
    </row>
    <row r="37" spans="1:23" s="3" customFormat="1" ht="51.75" customHeight="1">
      <c r="A37" s="218"/>
      <c r="B37" s="246" t="s">
        <v>70</v>
      </c>
      <c r="C37" s="145" t="s">
        <v>73</v>
      </c>
      <c r="D37" s="129">
        <v>7</v>
      </c>
      <c r="E37" s="151" t="s">
        <v>30</v>
      </c>
      <c r="F37" s="130">
        <v>3</v>
      </c>
      <c r="G37" s="155">
        <v>0</v>
      </c>
      <c r="H37" s="109">
        <f>78530105/2</f>
        <v>39265052.5</v>
      </c>
      <c r="I37" s="109">
        <v>0</v>
      </c>
      <c r="J37" s="102">
        <f aca="true" t="shared" si="1" ref="J37:J45">+H37-I37</f>
        <v>39265052.5</v>
      </c>
      <c r="K37" s="54"/>
      <c r="L37" s="15"/>
      <c r="M37" s="61"/>
      <c r="N37" s="61"/>
      <c r="O37" s="62"/>
      <c r="P37" s="48"/>
      <c r="Q37" s="48"/>
      <c r="T37" s="36"/>
      <c r="U37" s="65"/>
      <c r="V37" s="37"/>
      <c r="W37" s="37"/>
    </row>
    <row r="38" spans="1:23" s="3" customFormat="1" ht="51.75" customHeight="1">
      <c r="A38" s="218"/>
      <c r="B38" s="246"/>
      <c r="C38" s="147" t="s">
        <v>125</v>
      </c>
      <c r="D38" s="129"/>
      <c r="E38" s="151" t="s">
        <v>33</v>
      </c>
      <c r="F38" s="130">
        <v>2</v>
      </c>
      <c r="G38" s="155">
        <v>0</v>
      </c>
      <c r="H38" s="109">
        <f>161818575/2</f>
        <v>80909287.5</v>
      </c>
      <c r="I38" s="109">
        <v>0</v>
      </c>
      <c r="J38" s="102">
        <f>+H38-I38</f>
        <v>80909287.5</v>
      </c>
      <c r="K38" s="54"/>
      <c r="L38" s="15"/>
      <c r="M38" s="61"/>
      <c r="N38" s="61"/>
      <c r="O38" s="62"/>
      <c r="P38" s="48"/>
      <c r="Q38" s="48"/>
      <c r="T38" s="36"/>
      <c r="U38" s="65"/>
      <c r="V38" s="37"/>
      <c r="W38" s="37"/>
    </row>
    <row r="39" spans="1:23" s="3" customFormat="1" ht="36" customHeight="1">
      <c r="A39" s="218"/>
      <c r="B39" s="246"/>
      <c r="C39" s="144" t="s">
        <v>55</v>
      </c>
      <c r="D39" s="12">
        <v>14</v>
      </c>
      <c r="E39" s="150" t="s">
        <v>1</v>
      </c>
      <c r="F39" s="100">
        <v>25</v>
      </c>
      <c r="G39" s="100">
        <v>0</v>
      </c>
      <c r="H39" s="101">
        <v>0</v>
      </c>
      <c r="I39" s="101">
        <v>0</v>
      </c>
      <c r="J39" s="102">
        <f t="shared" si="1"/>
        <v>0</v>
      </c>
      <c r="K39" s="54"/>
      <c r="L39" s="15"/>
      <c r="M39" s="61"/>
      <c r="N39" s="61"/>
      <c r="O39" s="62"/>
      <c r="P39" s="48"/>
      <c r="Q39" s="48"/>
      <c r="T39" s="36"/>
      <c r="U39" s="65"/>
      <c r="V39" s="37"/>
      <c r="W39" s="37"/>
    </row>
    <row r="40" spans="1:23" s="3" customFormat="1" ht="36" customHeight="1">
      <c r="A40" s="218"/>
      <c r="B40" s="246"/>
      <c r="C40" s="137" t="s">
        <v>29</v>
      </c>
      <c r="D40" s="12">
        <v>8</v>
      </c>
      <c r="E40" s="150" t="s">
        <v>32</v>
      </c>
      <c r="F40" s="100">
        <v>20</v>
      </c>
      <c r="G40" s="107">
        <v>0</v>
      </c>
      <c r="H40" s="108">
        <v>219000000</v>
      </c>
      <c r="I40" s="108">
        <v>218422392</v>
      </c>
      <c r="J40" s="102">
        <f t="shared" si="1"/>
        <v>577608</v>
      </c>
      <c r="K40" s="54"/>
      <c r="L40" s="15"/>
      <c r="M40" s="61"/>
      <c r="N40" s="61"/>
      <c r="O40" s="62"/>
      <c r="P40" s="48"/>
      <c r="Q40" s="48"/>
      <c r="T40" s="36"/>
      <c r="U40" s="65"/>
      <c r="V40" s="37"/>
      <c r="W40" s="37"/>
    </row>
    <row r="41" spans="1:23" s="3" customFormat="1" ht="28.5">
      <c r="A41" s="218"/>
      <c r="B41" s="246"/>
      <c r="C41" s="144" t="s">
        <v>28</v>
      </c>
      <c r="D41" s="68"/>
      <c r="E41" s="150" t="s">
        <v>32</v>
      </c>
      <c r="F41" s="100">
        <v>100</v>
      </c>
      <c r="G41" s="107">
        <v>0</v>
      </c>
      <c r="H41" s="108">
        <f>580326202/2</f>
        <v>290163101</v>
      </c>
      <c r="I41" s="108">
        <v>49541850</v>
      </c>
      <c r="J41" s="102">
        <f t="shared" si="1"/>
        <v>240621251</v>
      </c>
      <c r="K41" s="54"/>
      <c r="L41" s="15"/>
      <c r="M41" s="61"/>
      <c r="N41" s="61"/>
      <c r="O41" s="62"/>
      <c r="P41" s="48"/>
      <c r="Q41" s="48"/>
      <c r="T41" s="36"/>
      <c r="U41" s="65"/>
      <c r="V41" s="37"/>
      <c r="W41" s="37"/>
    </row>
    <row r="42" spans="1:23" s="3" customFormat="1" ht="28.5">
      <c r="A42" s="218"/>
      <c r="B42" s="246"/>
      <c r="C42" s="146" t="s">
        <v>84</v>
      </c>
      <c r="D42" s="128"/>
      <c r="E42" s="150" t="s">
        <v>32</v>
      </c>
      <c r="F42" s="100">
        <v>0</v>
      </c>
      <c r="G42" s="107">
        <v>0</v>
      </c>
      <c r="H42" s="101">
        <v>0</v>
      </c>
      <c r="I42" s="101">
        <v>0</v>
      </c>
      <c r="J42" s="112">
        <f t="shared" si="1"/>
        <v>0</v>
      </c>
      <c r="K42" s="54"/>
      <c r="L42" s="15"/>
      <c r="M42" s="61"/>
      <c r="N42" s="61"/>
      <c r="O42" s="62"/>
      <c r="P42" s="48"/>
      <c r="Q42" s="48"/>
      <c r="T42" s="36"/>
      <c r="U42" s="65"/>
      <c r="V42" s="37"/>
      <c r="W42" s="37"/>
    </row>
    <row r="43" spans="1:23" s="3" customFormat="1" ht="32.25" customHeight="1">
      <c r="A43" s="218"/>
      <c r="B43" s="246"/>
      <c r="C43" s="137" t="s">
        <v>107</v>
      </c>
      <c r="D43" s="128"/>
      <c r="E43" s="150" t="s">
        <v>32</v>
      </c>
      <c r="F43" s="100">
        <v>300</v>
      </c>
      <c r="G43" s="107">
        <v>0</v>
      </c>
      <c r="H43" s="104">
        <f>250845826/2</f>
        <v>125422913</v>
      </c>
      <c r="I43" s="104">
        <v>0</v>
      </c>
      <c r="J43" s="102">
        <f t="shared" si="1"/>
        <v>125422913</v>
      </c>
      <c r="K43" s="54"/>
      <c r="L43" s="15"/>
      <c r="M43" s="61"/>
      <c r="N43" s="61"/>
      <c r="O43" s="62"/>
      <c r="P43" s="48"/>
      <c r="Q43" s="48"/>
      <c r="T43" s="36"/>
      <c r="U43" s="65"/>
      <c r="V43" s="37"/>
      <c r="W43" s="37"/>
    </row>
    <row r="44" spans="1:23" s="3" customFormat="1" ht="32.25" customHeight="1">
      <c r="A44" s="218"/>
      <c r="B44" s="246"/>
      <c r="C44" s="137" t="s">
        <v>126</v>
      </c>
      <c r="D44" s="128"/>
      <c r="E44" s="150" t="s">
        <v>32</v>
      </c>
      <c r="F44" s="100">
        <v>275</v>
      </c>
      <c r="G44" s="107">
        <v>0</v>
      </c>
      <c r="H44" s="104">
        <v>684828400</v>
      </c>
      <c r="I44" s="104">
        <v>684806284</v>
      </c>
      <c r="J44" s="102">
        <f t="shared" si="1"/>
        <v>22116</v>
      </c>
      <c r="K44" s="54"/>
      <c r="L44" s="15"/>
      <c r="M44" s="61"/>
      <c r="N44" s="61"/>
      <c r="O44" s="62"/>
      <c r="P44" s="48"/>
      <c r="Q44" s="48"/>
      <c r="T44" s="36"/>
      <c r="U44" s="65"/>
      <c r="V44" s="37"/>
      <c r="W44" s="37"/>
    </row>
    <row r="45" spans="1:23" s="3" customFormat="1" ht="28.5">
      <c r="A45" s="218"/>
      <c r="B45" s="246"/>
      <c r="C45" s="137" t="s">
        <v>87</v>
      </c>
      <c r="D45" s="68"/>
      <c r="E45" s="152" t="s">
        <v>88</v>
      </c>
      <c r="F45" s="100">
        <v>2</v>
      </c>
      <c r="G45" s="107">
        <v>0</v>
      </c>
      <c r="H45" s="109">
        <f>165801344-53/2</f>
        <v>165801317.5</v>
      </c>
      <c r="I45" s="109">
        <v>0</v>
      </c>
      <c r="J45" s="102">
        <f t="shared" si="1"/>
        <v>165801317.5</v>
      </c>
      <c r="K45" s="54"/>
      <c r="L45" s="15"/>
      <c r="M45" s="61"/>
      <c r="N45" s="61"/>
      <c r="O45" s="62"/>
      <c r="P45" s="48"/>
      <c r="Q45" s="48"/>
      <c r="T45" s="36"/>
      <c r="U45" s="65"/>
      <c r="V45" s="37"/>
      <c r="W45" s="37"/>
    </row>
    <row r="46" spans="1:23" s="3" customFormat="1" ht="18">
      <c r="A46" s="218"/>
      <c r="B46" s="246"/>
      <c r="C46" s="227" t="s">
        <v>23</v>
      </c>
      <c r="D46" s="228"/>
      <c r="E46" s="228"/>
      <c r="F46" s="228"/>
      <c r="G46" s="229"/>
      <c r="H46" s="105">
        <f>SUM(H37:H45)</f>
        <v>1605390071.5</v>
      </c>
      <c r="I46" s="93"/>
      <c r="J46" s="176">
        <f>+H46-I47</f>
        <v>652619545.5</v>
      </c>
      <c r="K46" s="54"/>
      <c r="L46" s="15"/>
      <c r="M46" s="61"/>
      <c r="N46" s="61"/>
      <c r="O46" s="62"/>
      <c r="P46" s="48"/>
      <c r="Q46" s="48"/>
      <c r="T46" s="36"/>
      <c r="U46" s="65"/>
      <c r="V46" s="37"/>
      <c r="W46" s="37"/>
    </row>
    <row r="47" spans="1:23" s="3" customFormat="1" ht="18">
      <c r="A47" s="218"/>
      <c r="B47" s="246"/>
      <c r="C47" s="227" t="s">
        <v>24</v>
      </c>
      <c r="D47" s="228"/>
      <c r="E47" s="228"/>
      <c r="F47" s="228"/>
      <c r="G47" s="228"/>
      <c r="H47" s="229"/>
      <c r="I47" s="105">
        <f>SUM(I37:I45)</f>
        <v>952770526</v>
      </c>
      <c r="J47" s="177"/>
      <c r="K47" s="54"/>
      <c r="L47" s="15"/>
      <c r="M47" s="61"/>
      <c r="N47" s="61"/>
      <c r="O47" s="62"/>
      <c r="P47" s="48"/>
      <c r="Q47" s="48"/>
      <c r="T47" s="89"/>
      <c r="U47" s="90"/>
      <c r="V47" s="37"/>
      <c r="W47" s="37"/>
    </row>
    <row r="48" spans="1:23" s="3" customFormat="1" ht="18.75" thickBot="1">
      <c r="A48" s="218"/>
      <c r="B48" s="246"/>
      <c r="C48" s="257" t="s">
        <v>25</v>
      </c>
      <c r="D48" s="258"/>
      <c r="E48" s="258"/>
      <c r="F48" s="258"/>
      <c r="G48" s="258"/>
      <c r="H48" s="259"/>
      <c r="I48" s="157">
        <f>+I47/H46</f>
        <v>0.5934822588691959</v>
      </c>
      <c r="J48" s="177"/>
      <c r="K48" s="54"/>
      <c r="L48" s="15"/>
      <c r="M48" s="61"/>
      <c r="N48" s="61"/>
      <c r="O48" s="62"/>
      <c r="P48" s="48"/>
      <c r="Q48" s="48"/>
      <c r="T48" s="36"/>
      <c r="U48" s="65"/>
      <c r="V48" s="37"/>
      <c r="W48" s="37"/>
    </row>
    <row r="49" spans="1:23" s="3" customFormat="1" ht="63.75" customHeight="1">
      <c r="A49" s="217"/>
      <c r="B49" s="166" t="s">
        <v>71</v>
      </c>
      <c r="C49" s="138" t="s">
        <v>127</v>
      </c>
      <c r="D49" s="12"/>
      <c r="E49" s="150" t="s">
        <v>1</v>
      </c>
      <c r="F49" s="100">
        <v>0</v>
      </c>
      <c r="G49" s="107">
        <v>0</v>
      </c>
      <c r="H49" s="108">
        <v>0</v>
      </c>
      <c r="I49" s="108">
        <v>0</v>
      </c>
      <c r="J49" s="102">
        <f aca="true" t="shared" si="2" ref="J49:J54">+H49-I49</f>
        <v>0</v>
      </c>
      <c r="K49" s="54"/>
      <c r="L49" s="15"/>
      <c r="M49" s="61"/>
      <c r="N49" s="61"/>
      <c r="O49" s="62"/>
      <c r="P49" s="48"/>
      <c r="Q49" s="48"/>
      <c r="T49" s="36"/>
      <c r="U49" s="65"/>
      <c r="V49" s="37"/>
      <c r="W49" s="37"/>
    </row>
    <row r="50" spans="1:23" s="3" customFormat="1" ht="72" customHeight="1" thickBot="1">
      <c r="A50" s="217"/>
      <c r="B50" s="167"/>
      <c r="C50" s="147" t="s">
        <v>128</v>
      </c>
      <c r="D50" s="129"/>
      <c r="E50" s="151" t="s">
        <v>1</v>
      </c>
      <c r="F50" s="156">
        <v>0</v>
      </c>
      <c r="G50" s="155">
        <v>0</v>
      </c>
      <c r="H50" s="109">
        <v>0</v>
      </c>
      <c r="I50" s="109">
        <v>0</v>
      </c>
      <c r="J50" s="102">
        <f t="shared" si="2"/>
        <v>0</v>
      </c>
      <c r="K50" s="54"/>
      <c r="L50" s="15"/>
      <c r="M50" s="61"/>
      <c r="N50" s="61"/>
      <c r="O50" s="62"/>
      <c r="P50" s="48"/>
      <c r="Q50" s="48"/>
      <c r="T50" s="36"/>
      <c r="U50" s="65"/>
      <c r="V50" s="37"/>
      <c r="W50" s="37"/>
    </row>
    <row r="51" spans="1:23" s="3" customFormat="1" ht="30.75" customHeight="1">
      <c r="A51" s="217"/>
      <c r="B51" s="167"/>
      <c r="C51" s="136" t="s">
        <v>89</v>
      </c>
      <c r="D51" s="125"/>
      <c r="E51" s="126" t="s">
        <v>31</v>
      </c>
      <c r="F51" s="156">
        <v>0</v>
      </c>
      <c r="G51" s="155">
        <v>0</v>
      </c>
      <c r="H51" s="109">
        <v>0</v>
      </c>
      <c r="I51" s="109">
        <v>0</v>
      </c>
      <c r="J51" s="102">
        <f t="shared" si="2"/>
        <v>0</v>
      </c>
      <c r="K51" s="54"/>
      <c r="L51" s="15"/>
      <c r="M51" s="61"/>
      <c r="N51" s="61"/>
      <c r="O51" s="62"/>
      <c r="P51" s="48"/>
      <c r="Q51" s="48"/>
      <c r="T51" s="36"/>
      <c r="U51" s="65"/>
      <c r="V51" s="37"/>
      <c r="W51" s="37"/>
    </row>
    <row r="52" spans="1:23" s="3" customFormat="1" ht="18">
      <c r="A52" s="217"/>
      <c r="B52" s="167"/>
      <c r="C52" s="137" t="s">
        <v>90</v>
      </c>
      <c r="D52" s="12"/>
      <c r="E52" s="150" t="s">
        <v>91</v>
      </c>
      <c r="F52" s="100">
        <v>0</v>
      </c>
      <c r="G52" s="99">
        <v>0</v>
      </c>
      <c r="H52" s="108">
        <v>0</v>
      </c>
      <c r="I52" s="108">
        <v>0</v>
      </c>
      <c r="J52" s="102">
        <f t="shared" si="2"/>
        <v>0</v>
      </c>
      <c r="K52" s="54"/>
      <c r="L52" s="15"/>
      <c r="M52" s="61"/>
      <c r="N52" s="61"/>
      <c r="O52" s="62"/>
      <c r="P52" s="48"/>
      <c r="Q52" s="48"/>
      <c r="T52" s="36"/>
      <c r="U52" s="65"/>
      <c r="V52" s="37"/>
      <c r="W52" s="37"/>
    </row>
    <row r="53" spans="1:23" s="3" customFormat="1" ht="28.5">
      <c r="A53" s="217"/>
      <c r="B53" s="167"/>
      <c r="C53" s="137" t="s">
        <v>129</v>
      </c>
      <c r="D53" s="12"/>
      <c r="E53" s="150" t="s">
        <v>130</v>
      </c>
      <c r="F53" s="100">
        <v>1</v>
      </c>
      <c r="G53" s="99">
        <v>0</v>
      </c>
      <c r="H53" s="109">
        <f>25000000/2</f>
        <v>12500000</v>
      </c>
      <c r="I53" s="109">
        <v>0</v>
      </c>
      <c r="J53" s="102">
        <f t="shared" si="2"/>
        <v>12500000</v>
      </c>
      <c r="K53" s="54"/>
      <c r="L53" s="15"/>
      <c r="M53" s="61"/>
      <c r="N53" s="61"/>
      <c r="O53" s="62"/>
      <c r="P53" s="48"/>
      <c r="Q53" s="48"/>
      <c r="T53" s="36"/>
      <c r="U53" s="65"/>
      <c r="V53" s="37"/>
      <c r="W53" s="37"/>
    </row>
    <row r="54" spans="1:23" s="3" customFormat="1" ht="28.5">
      <c r="A54" s="217"/>
      <c r="B54" s="167"/>
      <c r="C54" s="137" t="s">
        <v>131</v>
      </c>
      <c r="D54" s="12"/>
      <c r="E54" s="150" t="s">
        <v>31</v>
      </c>
      <c r="F54" s="100">
        <v>1</v>
      </c>
      <c r="G54" s="99">
        <v>0</v>
      </c>
      <c r="H54" s="109">
        <v>0</v>
      </c>
      <c r="I54" s="109">
        <v>0</v>
      </c>
      <c r="J54" s="102">
        <f t="shared" si="2"/>
        <v>0</v>
      </c>
      <c r="K54" s="54"/>
      <c r="L54" s="15"/>
      <c r="M54" s="61"/>
      <c r="N54" s="61"/>
      <c r="O54" s="62"/>
      <c r="P54" s="48"/>
      <c r="Q54" s="48"/>
      <c r="T54" s="36"/>
      <c r="U54" s="65"/>
      <c r="V54" s="37"/>
      <c r="W54" s="37"/>
    </row>
    <row r="55" spans="1:23" s="3" customFormat="1" ht="28.5">
      <c r="A55" s="217"/>
      <c r="B55" s="167"/>
      <c r="C55" s="137" t="s">
        <v>92</v>
      </c>
      <c r="D55" s="12"/>
      <c r="E55" s="99" t="s">
        <v>120</v>
      </c>
      <c r="F55" s="100">
        <v>40</v>
      </c>
      <c r="G55" s="99">
        <v>0</v>
      </c>
      <c r="H55" s="104">
        <f>141500000/2</f>
        <v>70750000</v>
      </c>
      <c r="I55" s="104">
        <v>0</v>
      </c>
      <c r="J55" s="102">
        <f>+H55-I55</f>
        <v>70750000</v>
      </c>
      <c r="K55" s="54"/>
      <c r="L55" s="15"/>
      <c r="M55" s="61"/>
      <c r="N55" s="61"/>
      <c r="O55" s="62"/>
      <c r="P55" s="48"/>
      <c r="Q55" s="48"/>
      <c r="T55" s="36"/>
      <c r="U55" s="65"/>
      <c r="V55" s="37"/>
      <c r="W55" s="37"/>
    </row>
    <row r="56" spans="1:23" s="3" customFormat="1" ht="37.5" customHeight="1">
      <c r="A56" s="217"/>
      <c r="B56" s="167"/>
      <c r="C56" s="144" t="s">
        <v>54</v>
      </c>
      <c r="D56" s="12">
        <v>13</v>
      </c>
      <c r="E56" s="150" t="s">
        <v>1</v>
      </c>
      <c r="F56" s="100">
        <v>38</v>
      </c>
      <c r="G56" s="100">
        <v>18</v>
      </c>
      <c r="H56" s="101">
        <v>0</v>
      </c>
      <c r="I56" s="101">
        <v>0</v>
      </c>
      <c r="J56" s="102">
        <f>+H56-I56</f>
        <v>0</v>
      </c>
      <c r="K56" s="54"/>
      <c r="L56" s="15"/>
      <c r="M56" s="61"/>
      <c r="N56" s="61"/>
      <c r="O56" s="62"/>
      <c r="P56" s="48"/>
      <c r="Q56" s="48"/>
      <c r="T56" s="36"/>
      <c r="U56" s="65"/>
      <c r="V56" s="37"/>
      <c r="W56" s="37"/>
    </row>
    <row r="57" spans="1:23" s="3" customFormat="1" ht="18">
      <c r="A57" s="217"/>
      <c r="B57" s="167"/>
      <c r="C57" s="227" t="s">
        <v>23</v>
      </c>
      <c r="D57" s="228"/>
      <c r="E57" s="228"/>
      <c r="F57" s="228"/>
      <c r="G57" s="229"/>
      <c r="H57" s="105">
        <f>SUM(H49:H56)</f>
        <v>83250000</v>
      </c>
      <c r="I57" s="93"/>
      <c r="J57" s="176">
        <f>SUM(J49:J56)</f>
        <v>83250000</v>
      </c>
      <c r="K57" s="54"/>
      <c r="L57" s="15"/>
      <c r="M57" s="61"/>
      <c r="N57" s="61"/>
      <c r="O57" s="62"/>
      <c r="P57" s="48"/>
      <c r="Q57" s="48"/>
      <c r="T57" s="36"/>
      <c r="U57" s="65"/>
      <c r="V57" s="37"/>
      <c r="W57" s="37"/>
    </row>
    <row r="58" spans="1:23" s="3" customFormat="1" ht="18">
      <c r="A58" s="217"/>
      <c r="B58" s="167"/>
      <c r="C58" s="227" t="s">
        <v>24</v>
      </c>
      <c r="D58" s="228"/>
      <c r="E58" s="228"/>
      <c r="F58" s="228"/>
      <c r="G58" s="228"/>
      <c r="H58" s="229"/>
      <c r="I58" s="105">
        <f>SUM(I49:I56)</f>
        <v>0</v>
      </c>
      <c r="J58" s="177"/>
      <c r="K58" s="54"/>
      <c r="L58" s="15"/>
      <c r="M58" s="61"/>
      <c r="N58" s="61"/>
      <c r="O58" s="62"/>
      <c r="P58" s="48"/>
      <c r="Q58" s="48"/>
      <c r="T58" s="36"/>
      <c r="U58" s="65"/>
      <c r="V58" s="37"/>
      <c r="W58" s="37"/>
    </row>
    <row r="59" spans="1:23" s="3" customFormat="1" ht="18.75" thickBot="1">
      <c r="A59" s="219"/>
      <c r="B59" s="168"/>
      <c r="C59" s="199" t="s">
        <v>25</v>
      </c>
      <c r="D59" s="200"/>
      <c r="E59" s="200"/>
      <c r="F59" s="200"/>
      <c r="G59" s="200"/>
      <c r="H59" s="201"/>
      <c r="I59" s="124">
        <f>+I58/H57</f>
        <v>0</v>
      </c>
      <c r="J59" s="178"/>
      <c r="K59" s="54"/>
      <c r="L59" s="15"/>
      <c r="M59" s="61"/>
      <c r="N59" s="61"/>
      <c r="O59" s="62"/>
      <c r="P59" s="48"/>
      <c r="Q59" s="48"/>
      <c r="T59" s="36"/>
      <c r="U59" s="65"/>
      <c r="V59" s="37"/>
      <c r="W59" s="37"/>
    </row>
    <row r="60" spans="1:23" s="3" customFormat="1" ht="16.5" customHeight="1">
      <c r="A60" s="213" t="s">
        <v>68</v>
      </c>
      <c r="B60" s="213" t="s">
        <v>0</v>
      </c>
      <c r="C60" s="188" t="s">
        <v>2</v>
      </c>
      <c r="D60" s="181" t="s">
        <v>20</v>
      </c>
      <c r="E60" s="188" t="s">
        <v>3</v>
      </c>
      <c r="F60" s="188" t="s">
        <v>6</v>
      </c>
      <c r="G60" s="188"/>
      <c r="H60" s="179" t="s">
        <v>7</v>
      </c>
      <c r="I60" s="179"/>
      <c r="J60" s="180"/>
      <c r="K60" s="54"/>
      <c r="L60" s="15"/>
      <c r="M60" s="61"/>
      <c r="N60" s="61"/>
      <c r="O60" s="62"/>
      <c r="P60" s="48"/>
      <c r="Q60" s="48"/>
      <c r="T60" s="36"/>
      <c r="U60" s="65"/>
      <c r="V60" s="37"/>
      <c r="W60" s="37"/>
    </row>
    <row r="61" spans="1:23" s="3" customFormat="1" ht="51" customHeight="1" thickBot="1">
      <c r="A61" s="214"/>
      <c r="B61" s="214"/>
      <c r="C61" s="189"/>
      <c r="D61" s="182"/>
      <c r="E61" s="189"/>
      <c r="F61" s="79" t="s">
        <v>8</v>
      </c>
      <c r="G61" s="79" t="s">
        <v>9</v>
      </c>
      <c r="H61" s="80" t="s">
        <v>10</v>
      </c>
      <c r="I61" s="80" t="s">
        <v>11</v>
      </c>
      <c r="J61" s="81" t="s">
        <v>12</v>
      </c>
      <c r="K61" s="54"/>
      <c r="L61" s="15"/>
      <c r="M61" s="61"/>
      <c r="N61" s="61"/>
      <c r="O61" s="62"/>
      <c r="P61" s="48"/>
      <c r="Q61" s="48"/>
      <c r="T61" s="36"/>
      <c r="U61" s="65"/>
      <c r="V61" s="37"/>
      <c r="W61" s="37"/>
    </row>
    <row r="62" spans="1:23" s="3" customFormat="1" ht="34.5" customHeight="1">
      <c r="A62" s="233" t="s">
        <v>75</v>
      </c>
      <c r="B62" s="166" t="s">
        <v>93</v>
      </c>
      <c r="C62" s="148" t="s">
        <v>37</v>
      </c>
      <c r="D62" s="125">
        <v>19</v>
      </c>
      <c r="E62" s="120" t="s">
        <v>39</v>
      </c>
      <c r="F62" s="121">
        <v>10</v>
      </c>
      <c r="G62" s="121">
        <v>22</v>
      </c>
      <c r="H62" s="122">
        <v>8013303</v>
      </c>
      <c r="I62" s="101">
        <f>+H62</f>
        <v>8013303</v>
      </c>
      <c r="J62" s="112">
        <f>+H62-I62</f>
        <v>0</v>
      </c>
      <c r="K62" s="54"/>
      <c r="L62" s="15"/>
      <c r="M62" s="61">
        <v>175228</v>
      </c>
      <c r="N62" s="61">
        <v>45086</v>
      </c>
      <c r="O62" s="62">
        <v>334406</v>
      </c>
      <c r="P62" s="48"/>
      <c r="Q62" s="48"/>
      <c r="T62" s="36"/>
      <c r="U62" s="65"/>
      <c r="V62" s="37"/>
      <c r="W62" s="37"/>
    </row>
    <row r="63" spans="1:23" s="3" customFormat="1" ht="37.5" customHeight="1">
      <c r="A63" s="217"/>
      <c r="B63" s="167"/>
      <c r="C63" s="146" t="s">
        <v>35</v>
      </c>
      <c r="D63" s="12">
        <v>20</v>
      </c>
      <c r="E63" s="99" t="s">
        <v>38</v>
      </c>
      <c r="F63" s="99">
        <v>2</v>
      </c>
      <c r="G63" s="99">
        <v>1</v>
      </c>
      <c r="H63" s="101">
        <f>36986697/2</f>
        <v>18493348.5</v>
      </c>
      <c r="I63" s="101">
        <v>0</v>
      </c>
      <c r="J63" s="112">
        <f>+H63-I63</f>
        <v>18493348.5</v>
      </c>
      <c r="K63" s="54"/>
      <c r="L63" s="15"/>
      <c r="M63" s="61"/>
      <c r="N63" s="61"/>
      <c r="O63" s="62"/>
      <c r="P63" s="48"/>
      <c r="Q63" s="48"/>
      <c r="T63" s="36"/>
      <c r="U63" s="65"/>
      <c r="V63" s="37"/>
      <c r="W63" s="37"/>
    </row>
    <row r="64" spans="1:23" s="3" customFormat="1" ht="37.5" customHeight="1">
      <c r="A64" s="217"/>
      <c r="B64" s="167"/>
      <c r="C64" s="138" t="s">
        <v>132</v>
      </c>
      <c r="D64" s="12"/>
      <c r="E64" s="99" t="s">
        <v>133</v>
      </c>
      <c r="F64" s="99">
        <v>1</v>
      </c>
      <c r="G64" s="99">
        <v>0</v>
      </c>
      <c r="H64" s="101">
        <f>1500000/2</f>
        <v>750000</v>
      </c>
      <c r="I64" s="101">
        <v>0</v>
      </c>
      <c r="J64" s="112">
        <f>+H64-I64</f>
        <v>750000</v>
      </c>
      <c r="K64" s="54"/>
      <c r="L64" s="15"/>
      <c r="M64" s="61"/>
      <c r="N64" s="61"/>
      <c r="O64" s="62"/>
      <c r="P64" s="48"/>
      <c r="Q64" s="48"/>
      <c r="T64" s="36"/>
      <c r="U64" s="65"/>
      <c r="V64" s="37"/>
      <c r="W64" s="37"/>
    </row>
    <row r="65" spans="1:23" s="3" customFormat="1" ht="52.5" customHeight="1">
      <c r="A65" s="217"/>
      <c r="B65" s="169"/>
      <c r="C65" s="146" t="s">
        <v>36</v>
      </c>
      <c r="D65" s="12">
        <v>21</v>
      </c>
      <c r="E65" s="99" t="s">
        <v>34</v>
      </c>
      <c r="F65" s="100">
        <v>10</v>
      </c>
      <c r="G65" s="100">
        <v>5</v>
      </c>
      <c r="H65" s="101">
        <f>1000000/2</f>
        <v>500000</v>
      </c>
      <c r="I65" s="101">
        <v>0</v>
      </c>
      <c r="J65" s="112">
        <f>+H65-I65</f>
        <v>500000</v>
      </c>
      <c r="K65" s="54"/>
      <c r="L65" s="15"/>
      <c r="M65" s="61">
        <v>105136</v>
      </c>
      <c r="N65" s="61">
        <v>420736</v>
      </c>
      <c r="O65" s="62"/>
      <c r="P65" s="48"/>
      <c r="Q65" s="48"/>
      <c r="T65" s="36"/>
      <c r="U65" s="65"/>
      <c r="V65" s="37"/>
      <c r="W65" s="37"/>
    </row>
    <row r="66" spans="1:23" s="3" customFormat="1" ht="28.5">
      <c r="A66" s="217"/>
      <c r="B66" s="169"/>
      <c r="C66" s="142" t="s">
        <v>111</v>
      </c>
      <c r="D66" s="68"/>
      <c r="E66" s="99" t="s">
        <v>120</v>
      </c>
      <c r="F66" s="100">
        <v>50</v>
      </c>
      <c r="G66" s="100">
        <v>0</v>
      </c>
      <c r="H66" s="101">
        <f>2500000/2</f>
        <v>1250000</v>
      </c>
      <c r="I66" s="101">
        <v>0</v>
      </c>
      <c r="J66" s="112">
        <f>+H66-I66</f>
        <v>1250000</v>
      </c>
      <c r="K66" s="54"/>
      <c r="L66" s="15"/>
      <c r="M66" s="61"/>
      <c r="N66" s="61"/>
      <c r="O66" s="62"/>
      <c r="P66" s="48"/>
      <c r="Q66" s="48"/>
      <c r="T66" s="36"/>
      <c r="U66" s="65"/>
      <c r="V66" s="37"/>
      <c r="W66" s="37"/>
    </row>
    <row r="67" spans="1:23" s="3" customFormat="1" ht="18">
      <c r="A67" s="217"/>
      <c r="B67" s="169"/>
      <c r="C67" s="227" t="s">
        <v>23</v>
      </c>
      <c r="D67" s="228"/>
      <c r="E67" s="228"/>
      <c r="F67" s="228"/>
      <c r="G67" s="229"/>
      <c r="H67" s="105">
        <f>SUM(H62:H66)</f>
        <v>29006651.5</v>
      </c>
      <c r="I67" s="93"/>
      <c r="J67" s="176">
        <f>SUM(J62:J66)</f>
        <v>20993348.5</v>
      </c>
      <c r="K67" s="86"/>
      <c r="L67" s="15"/>
      <c r="M67" s="61">
        <v>630821</v>
      </c>
      <c r="N67" s="61"/>
      <c r="O67" s="62"/>
      <c r="P67" s="48"/>
      <c r="Q67" s="48"/>
      <c r="T67" s="36"/>
      <c r="U67" s="65"/>
      <c r="V67" s="37"/>
      <c r="W67" s="37"/>
    </row>
    <row r="68" spans="1:23" s="3" customFormat="1" ht="18">
      <c r="A68" s="217"/>
      <c r="B68" s="169"/>
      <c r="C68" s="227" t="s">
        <v>24</v>
      </c>
      <c r="D68" s="228"/>
      <c r="E68" s="228"/>
      <c r="F68" s="228"/>
      <c r="G68" s="228"/>
      <c r="H68" s="229"/>
      <c r="I68" s="105">
        <f>SUM(I62:I67)</f>
        <v>8013303</v>
      </c>
      <c r="J68" s="177"/>
      <c r="K68" s="27"/>
      <c r="L68" s="15"/>
      <c r="M68" s="61">
        <v>4107244</v>
      </c>
      <c r="N68" s="61"/>
      <c r="O68" s="62"/>
      <c r="P68" s="48"/>
      <c r="Q68" s="48"/>
      <c r="T68" s="36"/>
      <c r="U68" s="65"/>
      <c r="V68" s="37"/>
      <c r="W68" s="37"/>
    </row>
    <row r="69" spans="1:23" s="3" customFormat="1" ht="18.75" thickBot="1">
      <c r="A69" s="217"/>
      <c r="B69" s="170"/>
      <c r="C69" s="199" t="s">
        <v>25</v>
      </c>
      <c r="D69" s="200"/>
      <c r="E69" s="200"/>
      <c r="F69" s="200"/>
      <c r="G69" s="200"/>
      <c r="H69" s="201"/>
      <c r="I69" s="124">
        <f>+I68/H67</f>
        <v>0.2762574301277071</v>
      </c>
      <c r="J69" s="178"/>
      <c r="K69" s="54">
        <v>80</v>
      </c>
      <c r="L69" s="15"/>
      <c r="M69" s="70"/>
      <c r="N69" s="20">
        <f>SUM(M62:N68)</f>
        <v>5484251</v>
      </c>
      <c r="O69" s="21">
        <f>SUM(O62:O68)</f>
        <v>334406</v>
      </c>
      <c r="P69" s="48"/>
      <c r="Q69" s="48"/>
      <c r="T69" s="36"/>
      <c r="U69" s="65"/>
      <c r="V69" s="37"/>
      <c r="W69" s="37"/>
    </row>
    <row r="70" spans="1:23" s="3" customFormat="1" ht="18.75" thickBot="1">
      <c r="A70" s="217"/>
      <c r="B70" s="166" t="s">
        <v>142</v>
      </c>
      <c r="C70" s="136" t="s">
        <v>106</v>
      </c>
      <c r="D70" s="125"/>
      <c r="E70" s="120" t="s">
        <v>38</v>
      </c>
      <c r="F70" s="121">
        <v>1</v>
      </c>
      <c r="G70" s="153">
        <v>1</v>
      </c>
      <c r="H70" s="101">
        <f>210000000/2</f>
        <v>105000000</v>
      </c>
      <c r="I70" s="122">
        <v>0</v>
      </c>
      <c r="J70" s="131">
        <f>+H70-I62</f>
        <v>96986697</v>
      </c>
      <c r="K70" s="54"/>
      <c r="L70" s="15"/>
      <c r="M70" s="70"/>
      <c r="N70" s="20"/>
      <c r="O70" s="21"/>
      <c r="P70" s="48"/>
      <c r="Q70" s="48"/>
      <c r="T70" s="36"/>
      <c r="U70" s="65"/>
      <c r="V70" s="37"/>
      <c r="W70" s="37"/>
    </row>
    <row r="71" spans="1:23" s="3" customFormat="1" ht="29.25" thickBot="1">
      <c r="A71" s="217"/>
      <c r="B71" s="167"/>
      <c r="C71" s="147" t="s">
        <v>134</v>
      </c>
      <c r="D71" s="158"/>
      <c r="E71" s="130" t="s">
        <v>135</v>
      </c>
      <c r="F71" s="156">
        <v>1</v>
      </c>
      <c r="G71" s="159">
        <v>1</v>
      </c>
      <c r="H71" s="101">
        <f>10000000/2</f>
        <v>5000000</v>
      </c>
      <c r="I71" s="122">
        <v>0</v>
      </c>
      <c r="J71" s="160"/>
      <c r="K71" s="54"/>
      <c r="L71" s="15"/>
      <c r="M71" s="70"/>
      <c r="N71" s="20"/>
      <c r="O71" s="21"/>
      <c r="P71" s="48"/>
      <c r="Q71" s="48"/>
      <c r="T71" s="36"/>
      <c r="U71" s="65"/>
      <c r="V71" s="37"/>
      <c r="W71" s="37"/>
    </row>
    <row r="72" spans="1:23" s="3" customFormat="1" ht="28.5">
      <c r="A72" s="217"/>
      <c r="B72" s="167"/>
      <c r="C72" s="138" t="s">
        <v>111</v>
      </c>
      <c r="D72" s="69"/>
      <c r="E72" s="99" t="s">
        <v>120</v>
      </c>
      <c r="F72" s="100">
        <v>50</v>
      </c>
      <c r="G72" s="100">
        <v>0</v>
      </c>
      <c r="H72" s="101">
        <f>6700522/2</f>
        <v>3350261</v>
      </c>
      <c r="I72" s="122">
        <v>0</v>
      </c>
      <c r="J72" s="102">
        <f>+H72-I72</f>
        <v>3350261</v>
      </c>
      <c r="K72" s="54"/>
      <c r="L72" s="15"/>
      <c r="M72" s="70"/>
      <c r="N72" s="20"/>
      <c r="O72" s="21"/>
      <c r="P72" s="48"/>
      <c r="Q72" s="48"/>
      <c r="T72" s="36"/>
      <c r="U72" s="65"/>
      <c r="V72" s="37"/>
      <c r="W72" s="37"/>
    </row>
    <row r="73" spans="1:23" s="3" customFormat="1" ht="23.25" customHeight="1">
      <c r="A73" s="217"/>
      <c r="B73" s="169"/>
      <c r="C73" s="262" t="s">
        <v>23</v>
      </c>
      <c r="D73" s="263"/>
      <c r="E73" s="263"/>
      <c r="F73" s="263"/>
      <c r="G73" s="264"/>
      <c r="H73" s="105">
        <f>SUM(H70:H72)</f>
        <v>113350261</v>
      </c>
      <c r="I73" s="95"/>
      <c r="J73" s="265">
        <f>+H73-I74</f>
        <v>113350261</v>
      </c>
      <c r="K73" s="54"/>
      <c r="L73" s="15"/>
      <c r="M73" s="70"/>
      <c r="N73" s="20"/>
      <c r="O73" s="21"/>
      <c r="P73" s="48"/>
      <c r="Q73" s="48"/>
      <c r="T73" s="36"/>
      <c r="U73" s="65"/>
      <c r="V73" s="37"/>
      <c r="W73" s="37"/>
    </row>
    <row r="74" spans="1:23" s="3" customFormat="1" ht="25.5" customHeight="1">
      <c r="A74" s="217"/>
      <c r="B74" s="169"/>
      <c r="C74" s="262" t="s">
        <v>24</v>
      </c>
      <c r="D74" s="263"/>
      <c r="E74" s="263"/>
      <c r="F74" s="263"/>
      <c r="G74" s="263"/>
      <c r="H74" s="264"/>
      <c r="I74" s="105">
        <f>SUM(I70:I73)</f>
        <v>0</v>
      </c>
      <c r="J74" s="266"/>
      <c r="K74" s="54"/>
      <c r="L74" s="15"/>
      <c r="M74" s="70"/>
      <c r="N74" s="20"/>
      <c r="O74" s="21"/>
      <c r="P74" s="48"/>
      <c r="Q74" s="48"/>
      <c r="T74" s="36"/>
      <c r="U74" s="65"/>
      <c r="V74" s="37"/>
      <c r="W74" s="37"/>
    </row>
    <row r="75" spans="1:23" s="3" customFormat="1" ht="32.25" customHeight="1" thickBot="1">
      <c r="A75" s="219"/>
      <c r="B75" s="170"/>
      <c r="C75" s="184" t="s">
        <v>25</v>
      </c>
      <c r="D75" s="185"/>
      <c r="E75" s="185"/>
      <c r="F75" s="185"/>
      <c r="G75" s="185"/>
      <c r="H75" s="186"/>
      <c r="I75" s="124">
        <f>+I74/H73</f>
        <v>0</v>
      </c>
      <c r="J75" s="267"/>
      <c r="K75" s="54"/>
      <c r="L75" s="15"/>
      <c r="M75" s="70"/>
      <c r="N75" s="20"/>
      <c r="O75" s="21"/>
      <c r="P75" s="48"/>
      <c r="Q75" s="48"/>
      <c r="T75" s="36"/>
      <c r="U75" s="65"/>
      <c r="V75" s="37"/>
      <c r="W75" s="37"/>
    </row>
    <row r="76" spans="1:23" s="3" customFormat="1" ht="19.5" customHeight="1">
      <c r="A76" s="213"/>
      <c r="B76" s="205" t="s">
        <v>0</v>
      </c>
      <c r="C76" s="188" t="s">
        <v>2</v>
      </c>
      <c r="D76" s="181" t="s">
        <v>20</v>
      </c>
      <c r="E76" s="188" t="s">
        <v>3</v>
      </c>
      <c r="F76" s="188" t="s">
        <v>6</v>
      </c>
      <c r="G76" s="188"/>
      <c r="H76" s="179" t="s">
        <v>7</v>
      </c>
      <c r="I76" s="179"/>
      <c r="J76" s="180"/>
      <c r="K76" s="54"/>
      <c r="L76" s="15"/>
      <c r="M76" s="61"/>
      <c r="N76" s="61"/>
      <c r="O76" s="62"/>
      <c r="P76" s="48"/>
      <c r="Q76" s="48"/>
      <c r="T76" s="36"/>
      <c r="U76" s="65"/>
      <c r="V76" s="37"/>
      <c r="W76" s="37"/>
    </row>
    <row r="77" spans="1:23" s="3" customFormat="1" ht="45.75" customHeight="1" thickBot="1">
      <c r="A77" s="214"/>
      <c r="B77" s="206"/>
      <c r="C77" s="189"/>
      <c r="D77" s="182"/>
      <c r="E77" s="189"/>
      <c r="F77" s="79" t="s">
        <v>8</v>
      </c>
      <c r="G77" s="79" t="s">
        <v>9</v>
      </c>
      <c r="H77" s="80" t="s">
        <v>10</v>
      </c>
      <c r="I77" s="80" t="s">
        <v>11</v>
      </c>
      <c r="J77" s="81" t="s">
        <v>12</v>
      </c>
      <c r="K77" s="54"/>
      <c r="L77" s="15"/>
      <c r="M77" s="61"/>
      <c r="N77" s="61"/>
      <c r="O77" s="62"/>
      <c r="P77" s="48"/>
      <c r="Q77" s="48"/>
      <c r="T77" s="36"/>
      <c r="U77" s="65"/>
      <c r="V77" s="37"/>
      <c r="W77" s="37"/>
    </row>
    <row r="78" spans="1:23" s="3" customFormat="1" ht="36" customHeight="1">
      <c r="A78" s="193" t="s">
        <v>76</v>
      </c>
      <c r="B78" s="166" t="s">
        <v>141</v>
      </c>
      <c r="C78" s="143" t="s">
        <v>40</v>
      </c>
      <c r="D78" s="125">
        <v>22</v>
      </c>
      <c r="E78" s="120" t="s">
        <v>43</v>
      </c>
      <c r="F78" s="121">
        <v>6</v>
      </c>
      <c r="G78" s="121">
        <v>0</v>
      </c>
      <c r="H78" s="122">
        <v>0</v>
      </c>
      <c r="I78" s="122">
        <v>0</v>
      </c>
      <c r="J78" s="123">
        <f aca="true" t="shared" si="3" ref="J78:J83">+H78-I78</f>
        <v>0</v>
      </c>
      <c r="K78" s="54"/>
      <c r="L78" s="15"/>
      <c r="M78" s="71">
        <v>951912</v>
      </c>
      <c r="N78" s="61">
        <v>69813</v>
      </c>
      <c r="O78" s="62">
        <v>412670</v>
      </c>
      <c r="P78" s="48"/>
      <c r="Q78" s="48"/>
      <c r="T78" s="36"/>
      <c r="U78" s="65"/>
      <c r="V78" s="37"/>
      <c r="W78" s="37"/>
    </row>
    <row r="79" spans="1:23" s="3" customFormat="1" ht="35.25" customHeight="1">
      <c r="A79" s="194"/>
      <c r="B79" s="167"/>
      <c r="C79" s="147" t="s">
        <v>117</v>
      </c>
      <c r="D79" s="12"/>
      <c r="E79" s="130" t="s">
        <v>94</v>
      </c>
      <c r="F79" s="100">
        <v>37</v>
      </c>
      <c r="G79" s="100">
        <v>37</v>
      </c>
      <c r="H79" s="101">
        <v>70200000</v>
      </c>
      <c r="I79" s="101">
        <v>70227792</v>
      </c>
      <c r="J79" s="102">
        <v>0</v>
      </c>
      <c r="K79" s="54"/>
      <c r="L79" s="15"/>
      <c r="M79" s="71"/>
      <c r="N79" s="61"/>
      <c r="O79" s="62"/>
      <c r="P79" s="48"/>
      <c r="Q79" s="48"/>
      <c r="T79" s="36"/>
      <c r="U79" s="65"/>
      <c r="V79" s="37"/>
      <c r="W79" s="37"/>
    </row>
    <row r="80" spans="1:23" s="3" customFormat="1" ht="36" customHeight="1">
      <c r="A80" s="194"/>
      <c r="B80" s="167"/>
      <c r="C80" s="144" t="s">
        <v>41</v>
      </c>
      <c r="D80" s="12">
        <v>23</v>
      </c>
      <c r="E80" s="99" t="s">
        <v>43</v>
      </c>
      <c r="F80" s="100">
        <v>0</v>
      </c>
      <c r="G80" s="100">
        <v>0</v>
      </c>
      <c r="H80" s="101">
        <v>0</v>
      </c>
      <c r="I80" s="101">
        <v>0</v>
      </c>
      <c r="J80" s="102">
        <f t="shared" si="3"/>
        <v>0</v>
      </c>
      <c r="K80" s="54"/>
      <c r="L80" s="15"/>
      <c r="M80" s="71">
        <f>280554*2</f>
        <v>561108</v>
      </c>
      <c r="N80" s="61">
        <f>105137*2</f>
        <v>210274</v>
      </c>
      <c r="O80" s="62"/>
      <c r="P80" s="48"/>
      <c r="Q80" s="48"/>
      <c r="T80" s="36"/>
      <c r="U80" s="65"/>
      <c r="V80" s="37"/>
      <c r="W80" s="37"/>
    </row>
    <row r="81" spans="1:23" s="3" customFormat="1" ht="28.5">
      <c r="A81" s="194"/>
      <c r="B81" s="167"/>
      <c r="C81" s="137" t="s">
        <v>42</v>
      </c>
      <c r="D81" s="68"/>
      <c r="E81" s="99" t="s">
        <v>95</v>
      </c>
      <c r="F81" s="100">
        <v>1</v>
      </c>
      <c r="G81" s="100">
        <v>0</v>
      </c>
      <c r="H81" s="101">
        <f>66483525/2</f>
        <v>33241762.5</v>
      </c>
      <c r="I81" s="101">
        <v>15592120</v>
      </c>
      <c r="J81" s="102">
        <f t="shared" si="3"/>
        <v>17649642.5</v>
      </c>
      <c r="K81" s="54"/>
      <c r="L81" s="15"/>
      <c r="M81" s="71">
        <v>425686</v>
      </c>
      <c r="N81" s="61">
        <v>63158</v>
      </c>
      <c r="O81" s="62"/>
      <c r="P81" s="48"/>
      <c r="Q81" s="48"/>
      <c r="T81" s="36"/>
      <c r="U81" s="64"/>
      <c r="V81" s="37"/>
      <c r="W81" s="37"/>
    </row>
    <row r="82" spans="1:23" s="3" customFormat="1" ht="28.5">
      <c r="A82" s="194"/>
      <c r="B82" s="167"/>
      <c r="C82" s="137" t="s">
        <v>77</v>
      </c>
      <c r="D82" s="68"/>
      <c r="E82" s="99" t="s">
        <v>44</v>
      </c>
      <c r="F82" s="100">
        <v>2</v>
      </c>
      <c r="G82" s="100">
        <v>2</v>
      </c>
      <c r="H82" s="101">
        <f>17800000/2</f>
        <v>8900000</v>
      </c>
      <c r="I82" s="101">
        <v>7108320</v>
      </c>
      <c r="J82" s="102">
        <f t="shared" si="3"/>
        <v>1791680</v>
      </c>
      <c r="K82" s="54"/>
      <c r="L82" s="15"/>
      <c r="M82" s="71">
        <v>215388</v>
      </c>
      <c r="N82" s="61">
        <v>75206</v>
      </c>
      <c r="O82" s="62"/>
      <c r="P82" s="48"/>
      <c r="Q82" s="48"/>
      <c r="T82" s="36"/>
      <c r="U82" s="65"/>
      <c r="V82" s="37"/>
      <c r="W82" s="37"/>
    </row>
    <row r="83" spans="1:23" s="3" customFormat="1" ht="28.5">
      <c r="A83" s="194"/>
      <c r="B83" s="167"/>
      <c r="C83" s="138" t="s">
        <v>111</v>
      </c>
      <c r="D83" s="68"/>
      <c r="E83" s="99" t="s">
        <v>120</v>
      </c>
      <c r="F83" s="100">
        <v>50</v>
      </c>
      <c r="G83" s="161">
        <v>0</v>
      </c>
      <c r="H83" s="104">
        <f>13516475/2</f>
        <v>6758237.5</v>
      </c>
      <c r="I83" s="104">
        <v>0</v>
      </c>
      <c r="J83" s="102">
        <f t="shared" si="3"/>
        <v>6758237.5</v>
      </c>
      <c r="K83" s="54"/>
      <c r="L83" s="15"/>
      <c r="M83" s="71">
        <v>210274</v>
      </c>
      <c r="N83" s="61">
        <v>145297</v>
      </c>
      <c r="O83" s="62"/>
      <c r="P83" s="48"/>
      <c r="Q83" s="48"/>
      <c r="T83" s="36" t="s">
        <v>65</v>
      </c>
      <c r="U83" s="65"/>
      <c r="V83" s="37"/>
      <c r="W83" s="37"/>
    </row>
    <row r="84" spans="1:23" s="3" customFormat="1" ht="18">
      <c r="A84" s="194"/>
      <c r="B84" s="167"/>
      <c r="C84" s="171" t="s">
        <v>23</v>
      </c>
      <c r="D84" s="172"/>
      <c r="E84" s="172"/>
      <c r="F84" s="172"/>
      <c r="G84" s="173"/>
      <c r="H84" s="105">
        <f>SUM(H78:H83)</f>
        <v>119100000</v>
      </c>
      <c r="I84" s="94"/>
      <c r="J84" s="176">
        <f>SUM(J78:J83)</f>
        <v>26199560</v>
      </c>
      <c r="K84" s="72"/>
      <c r="L84" s="15"/>
      <c r="M84" s="71"/>
      <c r="N84" s="61">
        <f>70091*2</f>
        <v>140182</v>
      </c>
      <c r="O84" s="62"/>
      <c r="P84" s="48"/>
      <c r="Q84" s="48"/>
      <c r="T84" s="36"/>
      <c r="U84" s="65"/>
      <c r="V84" s="37"/>
      <c r="W84" s="37"/>
    </row>
    <row r="85" spans="1:23" s="3" customFormat="1" ht="18">
      <c r="A85" s="194"/>
      <c r="B85" s="167"/>
      <c r="C85" s="171" t="s">
        <v>24</v>
      </c>
      <c r="D85" s="172"/>
      <c r="E85" s="172"/>
      <c r="F85" s="172"/>
      <c r="G85" s="172"/>
      <c r="H85" s="173"/>
      <c r="I85" s="105">
        <f>SUM(I78:I83)</f>
        <v>92928232</v>
      </c>
      <c r="J85" s="177"/>
      <c r="K85" s="27">
        <v>29</v>
      </c>
      <c r="L85" s="15"/>
      <c r="M85" s="71"/>
      <c r="N85" s="61"/>
      <c r="O85" s="62"/>
      <c r="P85" s="48"/>
      <c r="Q85" s="48"/>
      <c r="T85" s="36"/>
      <c r="U85" s="65"/>
      <c r="V85" s="37"/>
      <c r="W85" s="37"/>
    </row>
    <row r="86" spans="1:23" s="3" customFormat="1" ht="18.75" thickBot="1">
      <c r="A86" s="194"/>
      <c r="B86" s="168"/>
      <c r="C86" s="184" t="s">
        <v>25</v>
      </c>
      <c r="D86" s="185"/>
      <c r="E86" s="185"/>
      <c r="F86" s="185"/>
      <c r="G86" s="185"/>
      <c r="H86" s="186"/>
      <c r="I86" s="124">
        <f>+I85/H84</f>
        <v>0.7802538371116708</v>
      </c>
      <c r="J86" s="178"/>
      <c r="K86" s="54"/>
      <c r="L86" s="15"/>
      <c r="M86" s="25">
        <f>SUM(M78:M85)</f>
        <v>2364368</v>
      </c>
      <c r="N86" s="25">
        <f>SUM(N78:N85)</f>
        <v>703930</v>
      </c>
      <c r="O86" s="73">
        <f>SUM(O78:O85)</f>
        <v>412670</v>
      </c>
      <c r="P86" s="48"/>
      <c r="Q86" s="48"/>
      <c r="T86" s="36"/>
      <c r="U86" s="65"/>
      <c r="V86" s="37"/>
      <c r="W86" s="37"/>
    </row>
    <row r="87" spans="1:23" s="3" customFormat="1" ht="21.75" customHeight="1">
      <c r="A87" s="195"/>
      <c r="B87" s="205" t="s">
        <v>0</v>
      </c>
      <c r="C87" s="188" t="s">
        <v>2</v>
      </c>
      <c r="D87" s="181" t="s">
        <v>20</v>
      </c>
      <c r="E87" s="188" t="s">
        <v>3</v>
      </c>
      <c r="F87" s="188" t="s">
        <v>6</v>
      </c>
      <c r="G87" s="188"/>
      <c r="H87" s="179" t="s">
        <v>7</v>
      </c>
      <c r="I87" s="179"/>
      <c r="J87" s="180"/>
      <c r="K87" s="54"/>
      <c r="L87" s="15"/>
      <c r="M87" s="61"/>
      <c r="N87" s="61"/>
      <c r="O87" s="62"/>
      <c r="P87" s="48"/>
      <c r="Q87" s="48"/>
      <c r="T87" s="36"/>
      <c r="U87" s="65"/>
      <c r="V87" s="37"/>
      <c r="W87" s="37"/>
    </row>
    <row r="88" spans="1:23" s="3" customFormat="1" ht="48" customHeight="1" thickBot="1">
      <c r="A88" s="195"/>
      <c r="B88" s="206"/>
      <c r="C88" s="189"/>
      <c r="D88" s="182"/>
      <c r="E88" s="189"/>
      <c r="F88" s="79" t="s">
        <v>8</v>
      </c>
      <c r="G88" s="79" t="s">
        <v>9</v>
      </c>
      <c r="H88" s="80" t="s">
        <v>10</v>
      </c>
      <c r="I88" s="80" t="s">
        <v>11</v>
      </c>
      <c r="J88" s="81" t="s">
        <v>12</v>
      </c>
      <c r="K88" s="54"/>
      <c r="L88" s="15"/>
      <c r="M88" s="61"/>
      <c r="N88" s="61"/>
      <c r="O88" s="62"/>
      <c r="P88" s="48"/>
      <c r="Q88" s="48"/>
      <c r="T88" s="36"/>
      <c r="U88" s="65"/>
      <c r="V88" s="37"/>
      <c r="W88" s="37"/>
    </row>
    <row r="89" spans="1:23" s="3" customFormat="1" ht="42.75">
      <c r="A89" s="194"/>
      <c r="B89" s="166" t="s">
        <v>78</v>
      </c>
      <c r="C89" s="143" t="s">
        <v>47</v>
      </c>
      <c r="D89" s="125">
        <v>11</v>
      </c>
      <c r="E89" s="126" t="s">
        <v>34</v>
      </c>
      <c r="F89" s="121">
        <v>100</v>
      </c>
      <c r="G89" s="107">
        <v>100</v>
      </c>
      <c r="H89" s="127">
        <v>0</v>
      </c>
      <c r="I89" s="127">
        <v>0</v>
      </c>
      <c r="J89" s="123">
        <f>+H89-I89</f>
        <v>0</v>
      </c>
      <c r="K89" s="54"/>
      <c r="L89" s="15"/>
      <c r="M89" s="61">
        <v>232514</v>
      </c>
      <c r="N89" s="61">
        <v>77615</v>
      </c>
      <c r="O89" s="62">
        <v>233394</v>
      </c>
      <c r="P89" s="48">
        <v>18676636</v>
      </c>
      <c r="Q89" s="48">
        <v>282726</v>
      </c>
      <c r="R89" s="3">
        <f>+P89/2</f>
        <v>9338318</v>
      </c>
      <c r="S89" s="3">
        <f>+Q89/2</f>
        <v>141363</v>
      </c>
      <c r="T89" s="36"/>
      <c r="U89" s="65"/>
      <c r="V89" s="37"/>
      <c r="W89" s="37"/>
    </row>
    <row r="90" spans="1:23" s="3" customFormat="1" ht="57">
      <c r="A90" s="194"/>
      <c r="B90" s="167"/>
      <c r="C90" s="144" t="s">
        <v>48</v>
      </c>
      <c r="D90" s="12">
        <v>15</v>
      </c>
      <c r="E90" s="150" t="s">
        <v>51</v>
      </c>
      <c r="F90" s="100">
        <v>1</v>
      </c>
      <c r="G90" s="107">
        <v>1</v>
      </c>
      <c r="H90" s="108">
        <f>74598665/2</f>
        <v>37299332.5</v>
      </c>
      <c r="I90" s="108">
        <v>0</v>
      </c>
      <c r="J90" s="102">
        <f>+H90-I90</f>
        <v>37299332.5</v>
      </c>
      <c r="K90" s="54"/>
      <c r="L90" s="15"/>
      <c r="M90" s="61"/>
      <c r="N90" s="61"/>
      <c r="O90" s="62"/>
      <c r="P90" s="48"/>
      <c r="Q90" s="48"/>
      <c r="T90" s="36"/>
      <c r="U90" s="65"/>
      <c r="V90" s="37"/>
      <c r="W90" s="37"/>
    </row>
    <row r="91" spans="1:23" s="3" customFormat="1" ht="71.25">
      <c r="A91" s="194"/>
      <c r="B91" s="167"/>
      <c r="C91" s="145" t="s">
        <v>45</v>
      </c>
      <c r="D91" s="12">
        <v>16</v>
      </c>
      <c r="E91" s="151" t="s">
        <v>34</v>
      </c>
      <c r="F91" s="100">
        <v>100</v>
      </c>
      <c r="G91" s="107">
        <v>100</v>
      </c>
      <c r="H91" s="108">
        <v>0</v>
      </c>
      <c r="I91" s="108">
        <v>0</v>
      </c>
      <c r="J91" s="102">
        <f>+H91-I91</f>
        <v>0</v>
      </c>
      <c r="K91" s="54"/>
      <c r="L91" s="15"/>
      <c r="M91" s="61"/>
      <c r="N91" s="61"/>
      <c r="O91" s="62"/>
      <c r="P91" s="48"/>
      <c r="Q91" s="48"/>
      <c r="T91" s="36"/>
      <c r="U91" s="65"/>
      <c r="V91" s="37"/>
      <c r="W91" s="37"/>
    </row>
    <row r="92" spans="1:23" s="3" customFormat="1" ht="28.5">
      <c r="A92" s="194"/>
      <c r="B92" s="167"/>
      <c r="C92" s="144" t="s">
        <v>46</v>
      </c>
      <c r="D92" s="12">
        <v>17</v>
      </c>
      <c r="E92" s="150" t="s">
        <v>34</v>
      </c>
      <c r="F92" s="100">
        <v>50</v>
      </c>
      <c r="G92" s="107">
        <v>64</v>
      </c>
      <c r="H92" s="108">
        <v>0</v>
      </c>
      <c r="I92" s="108">
        <v>0</v>
      </c>
      <c r="J92" s="102">
        <f>+H92-I92</f>
        <v>0</v>
      </c>
      <c r="K92" s="54"/>
      <c r="L92" s="15"/>
      <c r="M92" s="61"/>
      <c r="N92" s="61"/>
      <c r="O92" s="62"/>
      <c r="P92" s="48"/>
      <c r="Q92" s="48"/>
      <c r="T92" s="36"/>
      <c r="U92" s="65"/>
      <c r="V92" s="37"/>
      <c r="W92" s="37"/>
    </row>
    <row r="93" spans="1:23" s="3" customFormat="1" ht="28.5">
      <c r="A93" s="194"/>
      <c r="B93" s="167"/>
      <c r="C93" s="146" t="s">
        <v>79</v>
      </c>
      <c r="D93" s="12"/>
      <c r="E93" s="150" t="s">
        <v>80</v>
      </c>
      <c r="F93" s="100">
        <v>40</v>
      </c>
      <c r="G93" s="107">
        <v>82</v>
      </c>
      <c r="H93" s="108">
        <f>28542766/2</f>
        <v>14271383</v>
      </c>
      <c r="I93" s="108">
        <v>0</v>
      </c>
      <c r="J93" s="101">
        <f>+H93-I93</f>
        <v>14271383</v>
      </c>
      <c r="K93" s="54"/>
      <c r="L93" s="15"/>
      <c r="M93" s="61"/>
      <c r="N93" s="61"/>
      <c r="O93" s="62"/>
      <c r="P93" s="48"/>
      <c r="Q93" s="48"/>
      <c r="T93" s="36"/>
      <c r="U93" s="65"/>
      <c r="V93" s="37"/>
      <c r="W93" s="37"/>
    </row>
    <row r="94" spans="1:23" s="3" customFormat="1" ht="85.5">
      <c r="A94" s="194"/>
      <c r="B94" s="167"/>
      <c r="C94" s="144" t="s">
        <v>49</v>
      </c>
      <c r="D94" s="12">
        <v>24</v>
      </c>
      <c r="E94" s="150" t="s">
        <v>34</v>
      </c>
      <c r="F94" s="100">
        <v>30</v>
      </c>
      <c r="G94" s="107">
        <v>79</v>
      </c>
      <c r="H94" s="108">
        <v>93000000</v>
      </c>
      <c r="I94" s="135">
        <v>92789934</v>
      </c>
      <c r="J94" s="101">
        <f aca="true" t="shared" si="4" ref="J94:J99">+H94-I94</f>
        <v>210066</v>
      </c>
      <c r="K94" s="54"/>
      <c r="L94" s="15"/>
      <c r="M94" s="61"/>
      <c r="N94" s="61"/>
      <c r="O94" s="62"/>
      <c r="P94" s="48"/>
      <c r="Q94" s="48"/>
      <c r="T94" s="36"/>
      <c r="U94" s="65"/>
      <c r="V94" s="37"/>
      <c r="W94" s="37"/>
    </row>
    <row r="95" spans="1:23" s="3" customFormat="1" ht="28.5">
      <c r="A95" s="194"/>
      <c r="B95" s="167"/>
      <c r="C95" s="144" t="s">
        <v>56</v>
      </c>
      <c r="D95" s="12">
        <v>25</v>
      </c>
      <c r="E95" s="99" t="s">
        <v>57</v>
      </c>
      <c r="F95" s="100">
        <v>60</v>
      </c>
      <c r="G95" s="107">
        <v>60</v>
      </c>
      <c r="H95" s="101">
        <v>0</v>
      </c>
      <c r="I95" s="101">
        <v>0</v>
      </c>
      <c r="J95" s="102">
        <f t="shared" si="4"/>
        <v>0</v>
      </c>
      <c r="K95" s="54"/>
      <c r="L95" s="15"/>
      <c r="M95" s="61"/>
      <c r="N95" s="61"/>
      <c r="O95" s="62"/>
      <c r="P95" s="48"/>
      <c r="Q95" s="48"/>
      <c r="T95" s="36"/>
      <c r="U95" s="65"/>
      <c r="V95" s="37"/>
      <c r="W95" s="37"/>
    </row>
    <row r="96" spans="1:23" s="3" customFormat="1" ht="28.5">
      <c r="A96" s="194"/>
      <c r="B96" s="167"/>
      <c r="C96" s="137" t="s">
        <v>81</v>
      </c>
      <c r="D96" s="12"/>
      <c r="E96" s="99" t="s">
        <v>52</v>
      </c>
      <c r="F96" s="100">
        <v>1</v>
      </c>
      <c r="G96" s="107">
        <v>1</v>
      </c>
      <c r="H96" s="101">
        <f>146383365/2</f>
        <v>73191682.5</v>
      </c>
      <c r="I96" s="103">
        <v>47491875</v>
      </c>
      <c r="J96" s="102">
        <f t="shared" si="4"/>
        <v>25699807.5</v>
      </c>
      <c r="K96" s="54"/>
      <c r="L96" s="15"/>
      <c r="M96" s="61"/>
      <c r="N96" s="61"/>
      <c r="O96" s="62"/>
      <c r="P96" s="48"/>
      <c r="Q96" s="48"/>
      <c r="T96" s="36"/>
      <c r="U96" s="65"/>
      <c r="V96" s="37"/>
      <c r="W96" s="37"/>
    </row>
    <row r="97" spans="1:23" s="3" customFormat="1" ht="28.5">
      <c r="A97" s="194"/>
      <c r="B97" s="167"/>
      <c r="C97" s="137" t="s">
        <v>96</v>
      </c>
      <c r="D97" s="97"/>
      <c r="E97" s="150" t="s">
        <v>52</v>
      </c>
      <c r="F97" s="100">
        <v>1</v>
      </c>
      <c r="G97" s="107">
        <v>1</v>
      </c>
      <c r="H97" s="101">
        <f>91825172/2</f>
        <v>45912586</v>
      </c>
      <c r="I97" s="111">
        <v>16967600</v>
      </c>
      <c r="J97" s="102">
        <f t="shared" si="4"/>
        <v>28944986</v>
      </c>
      <c r="K97" s="54"/>
      <c r="L97" s="15"/>
      <c r="M97" s="61"/>
      <c r="N97" s="61"/>
      <c r="O97" s="62"/>
      <c r="P97" s="48"/>
      <c r="Q97" s="48"/>
      <c r="T97" s="36"/>
      <c r="U97" s="65"/>
      <c r="V97" s="37"/>
      <c r="W97" s="37"/>
    </row>
    <row r="98" spans="1:23" s="3" customFormat="1" ht="42.75">
      <c r="A98" s="194"/>
      <c r="B98" s="167"/>
      <c r="C98" s="137" t="s">
        <v>97</v>
      </c>
      <c r="D98" s="97"/>
      <c r="E98" s="150" t="s">
        <v>98</v>
      </c>
      <c r="F98" s="100">
        <v>5</v>
      </c>
      <c r="G98" s="107">
        <v>0</v>
      </c>
      <c r="H98" s="101">
        <f>80402181/2</f>
        <v>40201090.5</v>
      </c>
      <c r="I98" s="111">
        <v>0</v>
      </c>
      <c r="J98" s="102">
        <f t="shared" si="4"/>
        <v>40201090.5</v>
      </c>
      <c r="K98" s="54"/>
      <c r="L98" s="15"/>
      <c r="M98" s="61"/>
      <c r="N98" s="61"/>
      <c r="O98" s="62"/>
      <c r="P98" s="48"/>
      <c r="Q98" s="48"/>
      <c r="T98" s="36"/>
      <c r="U98" s="65"/>
      <c r="V98" s="37"/>
      <c r="W98" s="37"/>
    </row>
    <row r="99" spans="1:23" s="3" customFormat="1" ht="28.5">
      <c r="A99" s="194"/>
      <c r="B99" s="197"/>
      <c r="C99" s="137" t="s">
        <v>50</v>
      </c>
      <c r="D99" s="97"/>
      <c r="E99" s="150" t="s">
        <v>34</v>
      </c>
      <c r="F99" s="100">
        <v>30</v>
      </c>
      <c r="G99" s="107">
        <v>52</v>
      </c>
      <c r="H99" s="101">
        <v>88000000</v>
      </c>
      <c r="I99" s="135">
        <v>87139265</v>
      </c>
      <c r="J99" s="102">
        <f t="shared" si="4"/>
        <v>860735</v>
      </c>
      <c r="K99" s="54"/>
      <c r="L99" s="15"/>
      <c r="M99" s="61">
        <v>75206</v>
      </c>
      <c r="N99" s="61">
        <v>184478</v>
      </c>
      <c r="O99" s="62">
        <v>553359</v>
      </c>
      <c r="P99" s="48">
        <v>494471</v>
      </c>
      <c r="Q99" s="48">
        <v>211643</v>
      </c>
      <c r="R99" s="3">
        <f aca="true" t="shared" si="5" ref="R99:S102">+P99/2</f>
        <v>247235.5</v>
      </c>
      <c r="S99" s="3">
        <f t="shared" si="5"/>
        <v>105821.5</v>
      </c>
      <c r="T99" s="36"/>
      <c r="U99" s="65"/>
      <c r="V99" s="37"/>
      <c r="W99" s="37"/>
    </row>
    <row r="100" spans="1:23" s="3" customFormat="1" ht="36" customHeight="1">
      <c r="A100" s="194"/>
      <c r="B100" s="197"/>
      <c r="C100" s="138" t="s">
        <v>111</v>
      </c>
      <c r="D100" s="97"/>
      <c r="E100" s="150" t="s">
        <v>120</v>
      </c>
      <c r="F100" s="100">
        <v>50</v>
      </c>
      <c r="G100" s="161">
        <f>+I100/H100*100</f>
        <v>50.87514016836121</v>
      </c>
      <c r="H100" s="104">
        <f>252106643/2</f>
        <v>126053321.5</v>
      </c>
      <c r="I100" s="101">
        <v>64129804</v>
      </c>
      <c r="J100" s="110">
        <f>+H100-I100</f>
        <v>61923517.5</v>
      </c>
      <c r="K100" s="54"/>
      <c r="L100" s="15"/>
      <c r="M100" s="61">
        <v>340670</v>
      </c>
      <c r="N100" s="61">
        <v>43078</v>
      </c>
      <c r="O100" s="62"/>
      <c r="P100" s="48">
        <v>282726</v>
      </c>
      <c r="Q100" s="48"/>
      <c r="R100" s="3">
        <f t="shared" si="5"/>
        <v>141363</v>
      </c>
      <c r="S100" s="3">
        <f t="shared" si="5"/>
        <v>0</v>
      </c>
      <c r="T100" s="36"/>
      <c r="U100" s="65"/>
      <c r="V100" s="37"/>
      <c r="W100" s="37"/>
    </row>
    <row r="101" spans="1:23" s="3" customFormat="1" ht="15">
      <c r="A101" s="194"/>
      <c r="B101" s="197"/>
      <c r="C101" s="234" t="s">
        <v>23</v>
      </c>
      <c r="D101" s="235"/>
      <c r="E101" s="235"/>
      <c r="F101" s="235"/>
      <c r="G101" s="236"/>
      <c r="H101" s="105">
        <f>SUM(H89:H100)</f>
        <v>517929396</v>
      </c>
      <c r="I101" s="98"/>
      <c r="J101" s="176">
        <f>+H101-I102</f>
        <v>209410918</v>
      </c>
      <c r="K101" s="86"/>
      <c r="L101" s="15"/>
      <c r="M101" s="61">
        <v>340670</v>
      </c>
      <c r="N101" s="61"/>
      <c r="O101" s="62"/>
      <c r="P101" s="48">
        <v>282726</v>
      </c>
      <c r="Q101" s="48"/>
      <c r="R101" s="3">
        <f t="shared" si="5"/>
        <v>141363</v>
      </c>
      <c r="S101" s="3">
        <f t="shared" si="5"/>
        <v>0</v>
      </c>
      <c r="V101" s="37"/>
      <c r="W101" s="37"/>
    </row>
    <row r="102" spans="1:23" s="3" customFormat="1" ht="15.75">
      <c r="A102" s="194"/>
      <c r="B102" s="197"/>
      <c r="C102" s="234" t="s">
        <v>24</v>
      </c>
      <c r="D102" s="235"/>
      <c r="E102" s="235"/>
      <c r="F102" s="235"/>
      <c r="G102" s="235"/>
      <c r="H102" s="236"/>
      <c r="I102" s="105">
        <f>SUM(I89:I100)</f>
        <v>308518478</v>
      </c>
      <c r="J102" s="177"/>
      <c r="K102" s="27">
        <v>31</v>
      </c>
      <c r="L102" s="15"/>
      <c r="M102" s="61">
        <v>425686</v>
      </c>
      <c r="N102" s="61"/>
      <c r="O102" s="62"/>
      <c r="P102" s="48">
        <v>141363</v>
      </c>
      <c r="Q102" s="48"/>
      <c r="R102" s="3">
        <f t="shared" si="5"/>
        <v>70681.5</v>
      </c>
      <c r="S102" s="3">
        <f t="shared" si="5"/>
        <v>0</v>
      </c>
      <c r="V102" s="37"/>
      <c r="W102" s="37"/>
    </row>
    <row r="103" spans="1:23" s="3" customFormat="1" ht="18.75" thickBot="1">
      <c r="A103" s="194"/>
      <c r="B103" s="198"/>
      <c r="C103" s="199" t="s">
        <v>25</v>
      </c>
      <c r="D103" s="200"/>
      <c r="E103" s="200"/>
      <c r="F103" s="200"/>
      <c r="G103" s="200"/>
      <c r="H103" s="201"/>
      <c r="I103" s="124">
        <f>+I102/H101</f>
        <v>0.5956767087998999</v>
      </c>
      <c r="J103" s="178"/>
      <c r="K103" s="54"/>
      <c r="L103" s="15"/>
      <c r="M103" s="25"/>
      <c r="N103" s="25">
        <f>SUM(M89:N102)</f>
        <v>1719917</v>
      </c>
      <c r="O103" s="25">
        <f>SUM(O89:O102)</f>
        <v>786753</v>
      </c>
      <c r="P103" s="25"/>
      <c r="Q103" s="25">
        <f>SUM(P89:Q102)</f>
        <v>20372291</v>
      </c>
      <c r="R103" s="3">
        <f>+Q103/2</f>
        <v>10186145.5</v>
      </c>
      <c r="S103" s="25">
        <f>SUM(R89:S102)</f>
        <v>10186145.5</v>
      </c>
      <c r="T103" s="36"/>
      <c r="U103" s="65"/>
      <c r="V103" s="37"/>
      <c r="W103" s="37"/>
    </row>
    <row r="104" spans="1:23" s="3" customFormat="1" ht="19.5" customHeight="1">
      <c r="A104" s="195"/>
      <c r="B104" s="82" t="s">
        <v>0</v>
      </c>
      <c r="C104" s="188" t="s">
        <v>2</v>
      </c>
      <c r="D104" s="181" t="s">
        <v>20</v>
      </c>
      <c r="E104" s="188" t="s">
        <v>3</v>
      </c>
      <c r="F104" s="188" t="s">
        <v>6</v>
      </c>
      <c r="G104" s="188"/>
      <c r="H104" s="179" t="s">
        <v>7</v>
      </c>
      <c r="I104" s="179"/>
      <c r="J104" s="180"/>
      <c r="K104" s="54"/>
      <c r="L104" s="15"/>
      <c r="M104" s="61"/>
      <c r="N104" s="61"/>
      <c r="O104" s="62"/>
      <c r="P104" s="48"/>
      <c r="Q104" s="48"/>
      <c r="T104" s="36"/>
      <c r="U104" s="65"/>
      <c r="V104" s="37"/>
      <c r="W104" s="37"/>
    </row>
    <row r="105" spans="1:23" s="3" customFormat="1" ht="50.25" customHeight="1" thickBot="1">
      <c r="A105" s="195"/>
      <c r="B105" s="132"/>
      <c r="C105" s="189"/>
      <c r="D105" s="182"/>
      <c r="E105" s="189"/>
      <c r="F105" s="79" t="s">
        <v>8</v>
      </c>
      <c r="G105" s="79" t="s">
        <v>9</v>
      </c>
      <c r="H105" s="80" t="s">
        <v>10</v>
      </c>
      <c r="I105" s="80" t="s">
        <v>11</v>
      </c>
      <c r="J105" s="81" t="s">
        <v>12</v>
      </c>
      <c r="K105" s="54"/>
      <c r="L105" s="15"/>
      <c r="M105" s="61"/>
      <c r="N105" s="61"/>
      <c r="O105" s="62"/>
      <c r="P105" s="48"/>
      <c r="Q105" s="48"/>
      <c r="T105" s="36"/>
      <c r="U105" s="65"/>
      <c r="V105" s="37"/>
      <c r="W105" s="37"/>
    </row>
    <row r="106" spans="1:23" s="3" customFormat="1" ht="18.75" customHeight="1" thickBot="1">
      <c r="A106" s="194"/>
      <c r="B106" s="166" t="s">
        <v>82</v>
      </c>
      <c r="C106" s="139" t="s">
        <v>99</v>
      </c>
      <c r="D106" s="119"/>
      <c r="E106" s="120" t="s">
        <v>38</v>
      </c>
      <c r="F106" s="121">
        <v>0</v>
      </c>
      <c r="G106" s="121">
        <v>0</v>
      </c>
      <c r="H106" s="122">
        <v>0</v>
      </c>
      <c r="I106" s="122">
        <v>0</v>
      </c>
      <c r="J106" s="123">
        <f aca="true" t="shared" si="6" ref="J106:J112">+H106-I106</f>
        <v>0</v>
      </c>
      <c r="K106" s="54"/>
      <c r="L106" s="15"/>
      <c r="M106" s="61"/>
      <c r="N106" s="61"/>
      <c r="O106" s="62"/>
      <c r="P106" s="48"/>
      <c r="Q106" s="48"/>
      <c r="T106" s="36"/>
      <c r="U106" s="65"/>
      <c r="V106" s="37"/>
      <c r="W106" s="37"/>
    </row>
    <row r="107" spans="1:23" s="3" customFormat="1" ht="18.75" customHeight="1">
      <c r="A107" s="194"/>
      <c r="B107" s="167"/>
      <c r="C107" s="140" t="s">
        <v>108</v>
      </c>
      <c r="D107" s="68"/>
      <c r="E107" s="130" t="s">
        <v>109</v>
      </c>
      <c r="F107" s="100">
        <v>0</v>
      </c>
      <c r="G107" s="100">
        <v>0</v>
      </c>
      <c r="H107" s="101">
        <v>0</v>
      </c>
      <c r="I107" s="101">
        <v>0</v>
      </c>
      <c r="J107" s="123">
        <f t="shared" si="6"/>
        <v>0</v>
      </c>
      <c r="K107" s="54"/>
      <c r="L107" s="15"/>
      <c r="M107" s="61"/>
      <c r="N107" s="61"/>
      <c r="O107" s="62"/>
      <c r="P107" s="48"/>
      <c r="Q107" s="48"/>
      <c r="T107" s="36"/>
      <c r="U107" s="65"/>
      <c r="V107" s="37"/>
      <c r="W107" s="37"/>
    </row>
    <row r="108" spans="1:23" s="3" customFormat="1" ht="18">
      <c r="A108" s="194"/>
      <c r="B108" s="169"/>
      <c r="C108" s="141" t="s">
        <v>100</v>
      </c>
      <c r="D108" s="68"/>
      <c r="E108" s="99" t="s">
        <v>38</v>
      </c>
      <c r="F108" s="100">
        <v>0</v>
      </c>
      <c r="G108" s="100">
        <v>0</v>
      </c>
      <c r="H108" s="101">
        <v>0</v>
      </c>
      <c r="I108" s="101">
        <v>0</v>
      </c>
      <c r="J108" s="112">
        <f t="shared" si="6"/>
        <v>0</v>
      </c>
      <c r="K108" s="54"/>
      <c r="L108" s="15"/>
      <c r="M108" s="61"/>
      <c r="N108" s="61"/>
      <c r="O108" s="62"/>
      <c r="P108" s="48"/>
      <c r="Q108" s="48"/>
      <c r="T108" s="36"/>
      <c r="U108" s="65"/>
      <c r="V108" s="37"/>
      <c r="W108" s="37"/>
    </row>
    <row r="109" spans="1:23" s="3" customFormat="1" ht="18">
      <c r="A109" s="194"/>
      <c r="B109" s="169"/>
      <c r="C109" s="141" t="s">
        <v>53</v>
      </c>
      <c r="D109" s="68"/>
      <c r="E109" s="99" t="s">
        <v>53</v>
      </c>
      <c r="F109" s="100">
        <v>3</v>
      </c>
      <c r="G109" s="100">
        <v>0</v>
      </c>
      <c r="H109" s="101">
        <f>4500000/2</f>
        <v>2250000</v>
      </c>
      <c r="I109" s="101">
        <v>0</v>
      </c>
      <c r="J109" s="112">
        <f t="shared" si="6"/>
        <v>2250000</v>
      </c>
      <c r="K109" s="54"/>
      <c r="L109" s="15"/>
      <c r="M109" s="61"/>
      <c r="N109" s="61"/>
      <c r="O109" s="62"/>
      <c r="P109" s="48"/>
      <c r="Q109" s="48"/>
      <c r="T109" s="36"/>
      <c r="U109" s="65"/>
      <c r="V109" s="37"/>
      <c r="W109" s="37"/>
    </row>
    <row r="110" spans="1:23" s="3" customFormat="1" ht="18">
      <c r="A110" s="194"/>
      <c r="B110" s="169"/>
      <c r="C110" s="141" t="s">
        <v>101</v>
      </c>
      <c r="D110" s="68"/>
      <c r="E110" s="99" t="s">
        <v>102</v>
      </c>
      <c r="F110" s="100">
        <v>0</v>
      </c>
      <c r="G110" s="100">
        <v>0</v>
      </c>
      <c r="H110" s="104">
        <v>0</v>
      </c>
      <c r="I110" s="101">
        <v>0</v>
      </c>
      <c r="J110" s="112">
        <f t="shared" si="6"/>
        <v>0</v>
      </c>
      <c r="K110" s="54"/>
      <c r="L110" s="15"/>
      <c r="M110" s="61"/>
      <c r="N110" s="61"/>
      <c r="O110" s="62"/>
      <c r="P110" s="48"/>
      <c r="Q110" s="48"/>
      <c r="T110" s="36"/>
      <c r="U110" s="65"/>
      <c r="V110" s="37"/>
      <c r="W110" s="37"/>
    </row>
    <row r="111" spans="1:23" s="3" customFormat="1" ht="33" customHeight="1">
      <c r="A111" s="194"/>
      <c r="B111" s="169"/>
      <c r="C111" s="142" t="s">
        <v>103</v>
      </c>
      <c r="D111" s="68"/>
      <c r="E111" s="99" t="s">
        <v>120</v>
      </c>
      <c r="F111" s="100">
        <v>50</v>
      </c>
      <c r="G111" s="161">
        <v>50</v>
      </c>
      <c r="H111" s="104">
        <f>82000000/2</f>
        <v>41000000</v>
      </c>
      <c r="I111" s="101">
        <v>4919600</v>
      </c>
      <c r="J111" s="112">
        <f t="shared" si="6"/>
        <v>36080400</v>
      </c>
      <c r="K111" s="74"/>
      <c r="L111" s="15"/>
      <c r="M111" s="61"/>
      <c r="N111" s="61"/>
      <c r="O111" s="62"/>
      <c r="P111" s="48"/>
      <c r="Q111" s="48"/>
      <c r="T111" s="36"/>
      <c r="U111" s="65"/>
      <c r="V111" s="37"/>
      <c r="W111" s="37"/>
    </row>
    <row r="112" spans="1:23" s="3" customFormat="1" ht="28.5">
      <c r="A112" s="194"/>
      <c r="B112" s="169"/>
      <c r="C112" s="142" t="s">
        <v>58</v>
      </c>
      <c r="D112" s="97"/>
      <c r="E112" s="99" t="s">
        <v>120</v>
      </c>
      <c r="F112" s="100">
        <v>50</v>
      </c>
      <c r="G112" s="163">
        <v>0</v>
      </c>
      <c r="H112" s="104">
        <f>6500000/2</f>
        <v>3250000</v>
      </c>
      <c r="I112" s="101">
        <v>0</v>
      </c>
      <c r="J112" s="113">
        <f t="shared" si="6"/>
        <v>3250000</v>
      </c>
      <c r="K112" s="74"/>
      <c r="L112" s="15"/>
      <c r="M112" s="61"/>
      <c r="N112" s="61"/>
      <c r="O112" s="62"/>
      <c r="P112" s="48"/>
      <c r="Q112" s="48"/>
      <c r="T112" s="36"/>
      <c r="U112" s="65"/>
      <c r="V112" s="37"/>
      <c r="W112" s="37"/>
    </row>
    <row r="113" spans="1:23" s="3" customFormat="1" ht="18">
      <c r="A113" s="194"/>
      <c r="B113" s="169"/>
      <c r="C113" s="171" t="s">
        <v>23</v>
      </c>
      <c r="D113" s="172"/>
      <c r="E113" s="172"/>
      <c r="F113" s="172"/>
      <c r="G113" s="173"/>
      <c r="H113" s="105">
        <f>SUM(H106:H112)</f>
        <v>46500000</v>
      </c>
      <c r="I113" s="98"/>
      <c r="J113" s="176">
        <f>SUM(J106:J112)</f>
        <v>41580400</v>
      </c>
      <c r="K113" s="75"/>
      <c r="L113" s="15"/>
      <c r="M113" s="61"/>
      <c r="N113" s="61"/>
      <c r="O113" s="62"/>
      <c r="P113" s="48"/>
      <c r="Q113" s="48"/>
      <c r="T113" s="36"/>
      <c r="U113" s="65"/>
      <c r="V113" s="37"/>
      <c r="W113" s="37"/>
    </row>
    <row r="114" spans="1:23" s="3" customFormat="1" ht="18">
      <c r="A114" s="194"/>
      <c r="B114" s="169"/>
      <c r="C114" s="171" t="s">
        <v>24</v>
      </c>
      <c r="D114" s="172"/>
      <c r="E114" s="172"/>
      <c r="F114" s="172"/>
      <c r="G114" s="172"/>
      <c r="H114" s="173"/>
      <c r="I114" s="105">
        <f>SUM(I106:I112)</f>
        <v>4919600</v>
      </c>
      <c r="J114" s="177"/>
      <c r="K114" s="76">
        <v>31</v>
      </c>
      <c r="L114" s="15"/>
      <c r="M114" s="61"/>
      <c r="N114" s="61"/>
      <c r="O114" s="62"/>
      <c r="P114" s="48"/>
      <c r="Q114" s="48"/>
      <c r="T114" s="36"/>
      <c r="U114" s="65"/>
      <c r="V114" s="37"/>
      <c r="W114" s="37"/>
    </row>
    <row r="115" spans="1:23" s="3" customFormat="1" ht="18.75" thickBot="1">
      <c r="A115" s="194"/>
      <c r="B115" s="170"/>
      <c r="C115" s="184" t="s">
        <v>25</v>
      </c>
      <c r="D115" s="185"/>
      <c r="E115" s="185"/>
      <c r="F115" s="185"/>
      <c r="G115" s="185"/>
      <c r="H115" s="186"/>
      <c r="I115" s="124">
        <f>+I114/H113</f>
        <v>0.10579784946236559</v>
      </c>
      <c r="J115" s="178"/>
      <c r="K115" s="54"/>
      <c r="L115" s="15"/>
      <c r="M115" s="61"/>
      <c r="N115" s="61"/>
      <c r="O115" s="62"/>
      <c r="P115" s="48"/>
      <c r="Q115" s="48"/>
      <c r="T115" s="36"/>
      <c r="U115" s="65"/>
      <c r="V115" s="37"/>
      <c r="W115" s="37"/>
    </row>
    <row r="116" spans="1:23" s="3" customFormat="1" ht="26.25" customHeight="1">
      <c r="A116" s="195"/>
      <c r="B116" s="205" t="s">
        <v>0</v>
      </c>
      <c r="C116" s="188" t="s">
        <v>2</v>
      </c>
      <c r="D116" s="181" t="s">
        <v>20</v>
      </c>
      <c r="E116" s="188" t="s">
        <v>3</v>
      </c>
      <c r="F116" s="188" t="s">
        <v>6</v>
      </c>
      <c r="G116" s="188"/>
      <c r="H116" s="179" t="s">
        <v>7</v>
      </c>
      <c r="I116" s="179"/>
      <c r="J116" s="180"/>
      <c r="K116" s="54"/>
      <c r="L116" s="15"/>
      <c r="M116" s="61"/>
      <c r="N116" s="61"/>
      <c r="O116" s="62"/>
      <c r="P116" s="48"/>
      <c r="Q116" s="48"/>
      <c r="T116" s="36"/>
      <c r="U116" s="65"/>
      <c r="V116" s="37"/>
      <c r="W116" s="37"/>
    </row>
    <row r="117" spans="1:23" s="3" customFormat="1" ht="47.25" customHeight="1" thickBot="1">
      <c r="A117" s="195"/>
      <c r="B117" s="206"/>
      <c r="C117" s="189"/>
      <c r="D117" s="182"/>
      <c r="E117" s="189"/>
      <c r="F117" s="79" t="s">
        <v>8</v>
      </c>
      <c r="G117" s="79" t="s">
        <v>9</v>
      </c>
      <c r="H117" s="80" t="s">
        <v>10</v>
      </c>
      <c r="I117" s="80" t="s">
        <v>11</v>
      </c>
      <c r="J117" s="81" t="s">
        <v>12</v>
      </c>
      <c r="K117" s="54"/>
      <c r="L117" s="15"/>
      <c r="M117" s="61"/>
      <c r="N117" s="61"/>
      <c r="O117" s="62"/>
      <c r="P117" s="48"/>
      <c r="Q117" s="48"/>
      <c r="T117" s="36"/>
      <c r="U117" s="65"/>
      <c r="V117" s="37"/>
      <c r="W117" s="37"/>
    </row>
    <row r="118" spans="1:23" s="3" customFormat="1" ht="27" customHeight="1">
      <c r="A118" s="194"/>
      <c r="B118" s="166" t="s">
        <v>83</v>
      </c>
      <c r="C118" s="136" t="s">
        <v>110</v>
      </c>
      <c r="D118" s="119"/>
      <c r="E118" s="126" t="s">
        <v>1</v>
      </c>
      <c r="F118" s="121">
        <v>100</v>
      </c>
      <c r="G118" s="121">
        <f>+I118/H118*100</f>
        <v>98.58993124999999</v>
      </c>
      <c r="H118" s="122">
        <v>112000000</v>
      </c>
      <c r="I118" s="134">
        <v>110420723</v>
      </c>
      <c r="J118" s="123">
        <f>+H118-I118</f>
        <v>1579277</v>
      </c>
      <c r="K118" s="54"/>
      <c r="L118" s="15"/>
      <c r="M118" s="61">
        <v>70091</v>
      </c>
      <c r="N118" s="61"/>
      <c r="O118" s="62">
        <v>413662</v>
      </c>
      <c r="P118" s="48"/>
      <c r="Q118" s="48"/>
      <c r="T118" s="36"/>
      <c r="U118" s="65"/>
      <c r="V118" s="37"/>
      <c r="W118" s="37"/>
    </row>
    <row r="119" spans="1:23" s="3" customFormat="1" ht="30" customHeight="1">
      <c r="A119" s="194"/>
      <c r="B119" s="167"/>
      <c r="C119" s="137" t="s">
        <v>104</v>
      </c>
      <c r="D119" s="68"/>
      <c r="E119" s="150" t="s">
        <v>105</v>
      </c>
      <c r="F119" s="100">
        <v>1</v>
      </c>
      <c r="G119" s="162">
        <f>+I119/H119</f>
        <v>0.978943652173913</v>
      </c>
      <c r="H119" s="101">
        <v>23000000</v>
      </c>
      <c r="I119" s="103">
        <v>22515704</v>
      </c>
      <c r="J119" s="102">
        <f>+H119-I119</f>
        <v>484296</v>
      </c>
      <c r="K119" s="54"/>
      <c r="L119" s="15"/>
      <c r="M119" s="61"/>
      <c r="N119" s="61"/>
      <c r="O119" s="62"/>
      <c r="P119" s="48"/>
      <c r="Q119" s="48"/>
      <c r="T119" s="36"/>
      <c r="U119" s="65"/>
      <c r="V119" s="37"/>
      <c r="W119" s="37"/>
    </row>
    <row r="120" spans="1:23" s="3" customFormat="1" ht="27" customHeight="1">
      <c r="A120" s="194"/>
      <c r="B120" s="167"/>
      <c r="C120" s="138" t="s">
        <v>58</v>
      </c>
      <c r="D120" s="68"/>
      <c r="E120" s="150" t="s">
        <v>120</v>
      </c>
      <c r="F120" s="100">
        <v>40</v>
      </c>
      <c r="G120" s="161">
        <v>0</v>
      </c>
      <c r="H120" s="104">
        <f>18000648/2</f>
        <v>9000324</v>
      </c>
      <c r="I120" s="101">
        <v>0</v>
      </c>
      <c r="J120" s="102">
        <f>+H120-I120</f>
        <v>9000324</v>
      </c>
      <c r="K120" s="54"/>
      <c r="L120" s="15"/>
      <c r="M120" s="61"/>
      <c r="N120" s="61"/>
      <c r="O120" s="62"/>
      <c r="P120" s="48"/>
      <c r="Q120" s="48"/>
      <c r="T120" s="36"/>
      <c r="U120" s="65"/>
      <c r="V120" s="37"/>
      <c r="W120" s="37"/>
    </row>
    <row r="121" spans="1:23" s="3" customFormat="1" ht="18">
      <c r="A121" s="194"/>
      <c r="B121" s="169"/>
      <c r="C121" s="183" t="s">
        <v>23</v>
      </c>
      <c r="D121" s="183"/>
      <c r="E121" s="183"/>
      <c r="F121" s="183"/>
      <c r="G121" s="183"/>
      <c r="H121" s="114">
        <f>+H118+H119+H120</f>
        <v>144000324</v>
      </c>
      <c r="I121" s="98"/>
      <c r="J121" s="174">
        <f>+H121-I122</f>
        <v>11063897</v>
      </c>
      <c r="K121" s="30"/>
      <c r="L121" s="15"/>
      <c r="M121" s="61"/>
      <c r="N121" s="61"/>
      <c r="O121" s="62"/>
      <c r="P121" s="48"/>
      <c r="Q121" s="48"/>
      <c r="T121" s="36"/>
      <c r="U121" s="65"/>
      <c r="V121" s="37"/>
      <c r="W121" s="37"/>
    </row>
    <row r="122" spans="1:23" s="3" customFormat="1" ht="18">
      <c r="A122" s="194"/>
      <c r="B122" s="169"/>
      <c r="C122" s="183" t="s">
        <v>24</v>
      </c>
      <c r="D122" s="183"/>
      <c r="E122" s="183"/>
      <c r="F122" s="183"/>
      <c r="G122" s="183"/>
      <c r="H122" s="183"/>
      <c r="I122" s="114">
        <f>SUM(I118:I120)</f>
        <v>132936427</v>
      </c>
      <c r="J122" s="174"/>
      <c r="K122" s="76">
        <v>21</v>
      </c>
      <c r="L122" s="15"/>
      <c r="M122" s="61"/>
      <c r="N122" s="61"/>
      <c r="O122" s="62"/>
      <c r="P122" s="48"/>
      <c r="Q122" s="48"/>
      <c r="T122" s="36"/>
      <c r="U122" s="65"/>
      <c r="V122" s="37"/>
      <c r="W122" s="37"/>
    </row>
    <row r="123" spans="1:23" s="5" customFormat="1" ht="37.5" customHeight="1" thickBot="1">
      <c r="A123" s="194"/>
      <c r="B123" s="170"/>
      <c r="C123" s="187" t="s">
        <v>25</v>
      </c>
      <c r="D123" s="187"/>
      <c r="E123" s="187"/>
      <c r="F123" s="187"/>
      <c r="G123" s="187"/>
      <c r="H123" s="187"/>
      <c r="I123" s="115">
        <f>+I122/H121</f>
        <v>0.9231675548174461</v>
      </c>
      <c r="J123" s="175"/>
      <c r="K123" s="27">
        <f>SUM(K18:K122)/7</f>
        <v>29</v>
      </c>
      <c r="L123" s="67"/>
      <c r="M123" s="20">
        <f>SUM(M118:M122)</f>
        <v>70091</v>
      </c>
      <c r="N123" s="20"/>
      <c r="O123" s="20">
        <f>SUM(O118:O122)</f>
        <v>413662</v>
      </c>
      <c r="P123" s="24"/>
      <c r="Q123" s="24"/>
      <c r="R123" s="77"/>
      <c r="S123" s="77"/>
      <c r="T123" s="78"/>
      <c r="U123" s="39"/>
      <c r="V123" s="38"/>
      <c r="W123" s="38"/>
    </row>
    <row r="124" spans="1:23" s="5" customFormat="1" ht="119.25" customHeight="1">
      <c r="A124" s="194"/>
      <c r="B124" s="166" t="s">
        <v>118</v>
      </c>
      <c r="C124" s="149" t="s">
        <v>113</v>
      </c>
      <c r="D124" s="133"/>
      <c r="E124" s="120" t="s">
        <v>38</v>
      </c>
      <c r="F124" s="120">
        <v>1</v>
      </c>
      <c r="G124" s="120">
        <v>0</v>
      </c>
      <c r="H124" s="122">
        <f>50000000+500000000/2</f>
        <v>300000000</v>
      </c>
      <c r="I124" s="103">
        <v>0</v>
      </c>
      <c r="J124" s="123">
        <f>+H124-I124</f>
        <v>300000000</v>
      </c>
      <c r="K124" s="27"/>
      <c r="L124" s="67"/>
      <c r="M124" s="20"/>
      <c r="N124" s="20"/>
      <c r="O124" s="20"/>
      <c r="P124" s="24"/>
      <c r="Q124" s="24"/>
      <c r="R124" s="77"/>
      <c r="S124" s="77"/>
      <c r="T124" s="78"/>
      <c r="U124" s="39"/>
      <c r="V124" s="38"/>
      <c r="W124" s="38"/>
    </row>
    <row r="125" spans="1:23" s="5" customFormat="1" ht="66.75" customHeight="1">
      <c r="A125" s="194"/>
      <c r="B125" s="167"/>
      <c r="C125" s="138" t="s">
        <v>114</v>
      </c>
      <c r="D125" s="116"/>
      <c r="E125" s="99" t="s">
        <v>112</v>
      </c>
      <c r="F125" s="99">
        <v>19</v>
      </c>
      <c r="G125" s="99">
        <f>10+6</f>
        <v>16</v>
      </c>
      <c r="H125" s="101">
        <f>91900000/2</f>
        <v>45950000</v>
      </c>
      <c r="I125" s="103">
        <v>10452704</v>
      </c>
      <c r="J125" s="102">
        <f>+H125-I125</f>
        <v>35497296</v>
      </c>
      <c r="K125" s="27"/>
      <c r="L125" s="67"/>
      <c r="M125" s="20"/>
      <c r="N125" s="20"/>
      <c r="O125" s="20"/>
      <c r="P125" s="24"/>
      <c r="Q125" s="24"/>
      <c r="R125" s="77"/>
      <c r="S125" s="77"/>
      <c r="T125" s="78"/>
      <c r="U125" s="39"/>
      <c r="V125" s="38"/>
      <c r="W125" s="38"/>
    </row>
    <row r="126" spans="1:23" s="5" customFormat="1" ht="86.25" customHeight="1">
      <c r="A126" s="194"/>
      <c r="B126" s="167"/>
      <c r="C126" s="138" t="s">
        <v>115</v>
      </c>
      <c r="D126" s="116"/>
      <c r="E126" s="99" t="s">
        <v>116</v>
      </c>
      <c r="F126" s="99">
        <v>37</v>
      </c>
      <c r="G126" s="99">
        <f>9+8</f>
        <v>17</v>
      </c>
      <c r="H126" s="101">
        <v>21600000</v>
      </c>
      <c r="I126" s="103">
        <v>21600000</v>
      </c>
      <c r="J126" s="102">
        <f>+H126-I126</f>
        <v>0</v>
      </c>
      <c r="K126" s="27"/>
      <c r="L126" s="67"/>
      <c r="M126" s="117"/>
      <c r="N126" s="20"/>
      <c r="O126" s="20"/>
      <c r="P126" s="24"/>
      <c r="Q126" s="24"/>
      <c r="R126" s="77"/>
      <c r="S126" s="77"/>
      <c r="T126" s="78"/>
      <c r="U126" s="39"/>
      <c r="V126" s="38"/>
      <c r="W126" s="38"/>
    </row>
    <row r="127" spans="1:24" s="5" customFormat="1" ht="18">
      <c r="A127" s="194"/>
      <c r="B127" s="167"/>
      <c r="C127" s="183" t="s">
        <v>23</v>
      </c>
      <c r="D127" s="183"/>
      <c r="E127" s="183"/>
      <c r="F127" s="183"/>
      <c r="G127" s="183"/>
      <c r="H127" s="114">
        <f>SUM(H124:H126)</f>
        <v>367550000</v>
      </c>
      <c r="I127" s="114">
        <f>SUM(I124:I126)</f>
        <v>32052704</v>
      </c>
      <c r="J127" s="176">
        <f>+H127-I128</f>
        <v>367550000</v>
      </c>
      <c r="K127" s="118"/>
      <c r="L127" s="27"/>
      <c r="M127" s="67"/>
      <c r="N127" s="20"/>
      <c r="O127" s="20"/>
      <c r="P127" s="20"/>
      <c r="Q127" s="24"/>
      <c r="R127" s="24"/>
      <c r="S127" s="77"/>
      <c r="T127" s="77"/>
      <c r="U127" s="78"/>
      <c r="V127" s="39"/>
      <c r="W127" s="38"/>
      <c r="X127" s="38"/>
    </row>
    <row r="128" spans="1:24" s="5" customFormat="1" ht="18">
      <c r="A128" s="194"/>
      <c r="B128" s="167"/>
      <c r="C128" s="183" t="s">
        <v>24</v>
      </c>
      <c r="D128" s="183"/>
      <c r="E128" s="183"/>
      <c r="F128" s="183"/>
      <c r="G128" s="183"/>
      <c r="H128" s="183"/>
      <c r="I128" s="114"/>
      <c r="J128" s="177"/>
      <c r="K128" s="118"/>
      <c r="L128" s="27"/>
      <c r="M128" s="67"/>
      <c r="N128" s="20"/>
      <c r="O128" s="20"/>
      <c r="P128" s="20"/>
      <c r="Q128" s="24"/>
      <c r="R128" s="24"/>
      <c r="S128" s="77"/>
      <c r="T128" s="77"/>
      <c r="U128" s="78"/>
      <c r="V128" s="39"/>
      <c r="W128" s="38"/>
      <c r="X128" s="38"/>
    </row>
    <row r="129" spans="1:24" s="5" customFormat="1" ht="18.75" thickBot="1">
      <c r="A129" s="196"/>
      <c r="B129" s="168"/>
      <c r="C129" s="187" t="s">
        <v>25</v>
      </c>
      <c r="D129" s="187"/>
      <c r="E129" s="187"/>
      <c r="F129" s="187"/>
      <c r="G129" s="187"/>
      <c r="H129" s="187"/>
      <c r="I129" s="115">
        <f>+I127/H127</f>
        <v>0.087206377363624</v>
      </c>
      <c r="J129" s="178"/>
      <c r="K129" s="118"/>
      <c r="L129" s="27"/>
      <c r="M129" s="67"/>
      <c r="N129" s="20"/>
      <c r="O129" s="20"/>
      <c r="P129" s="20"/>
      <c r="Q129" s="24"/>
      <c r="R129" s="24"/>
      <c r="S129" s="77"/>
      <c r="T129" s="77"/>
      <c r="U129" s="78"/>
      <c r="V129" s="39"/>
      <c r="W129" s="38"/>
      <c r="X129" s="38"/>
    </row>
    <row r="130" spans="1:23" ht="24" customHeight="1">
      <c r="A130" s="190" t="s">
        <v>137</v>
      </c>
      <c r="B130" s="191"/>
      <c r="C130" s="191"/>
      <c r="D130" s="191"/>
      <c r="E130" s="191"/>
      <c r="F130" s="191"/>
      <c r="G130" s="191"/>
      <c r="H130" s="192"/>
      <c r="I130" s="105">
        <f>+H17+H25+H34+H46+H57+H67+H73+H84+H101+H113+H121+H127</f>
        <v>5714517752.5</v>
      </c>
      <c r="J130" s="177">
        <f>+I130-I131</f>
        <v>1950743525.5</v>
      </c>
      <c r="L130" s="6"/>
      <c r="M130" s="18"/>
      <c r="N130" s="18"/>
      <c r="O130" s="19"/>
      <c r="P130" s="23"/>
      <c r="Q130" s="23"/>
      <c r="R130" s="7"/>
      <c r="T130" s="36"/>
      <c r="U130" s="65"/>
      <c r="V130" s="37"/>
      <c r="W130" s="37"/>
    </row>
    <row r="131" spans="1:23" ht="24" customHeight="1">
      <c r="A131" s="247" t="s">
        <v>138</v>
      </c>
      <c r="B131" s="248"/>
      <c r="C131" s="248"/>
      <c r="D131" s="248"/>
      <c r="E131" s="248"/>
      <c r="F131" s="248"/>
      <c r="G131" s="248"/>
      <c r="H131" s="249"/>
      <c r="I131" s="114">
        <f>+I18+I26+I35+I47+I58+I68+I74+I85+I102+I114+I122+I127</f>
        <v>3763774227</v>
      </c>
      <c r="J131" s="177"/>
      <c r="L131" s="6"/>
      <c r="M131" s="18"/>
      <c r="N131" s="18"/>
      <c r="O131" s="19"/>
      <c r="P131" s="23"/>
      <c r="Q131" s="23"/>
      <c r="R131" s="7"/>
      <c r="T131" s="36"/>
      <c r="U131" s="65"/>
      <c r="V131" s="37"/>
      <c r="W131" s="37"/>
    </row>
    <row r="132" spans="1:23" ht="24" customHeight="1" thickBot="1">
      <c r="A132" s="202" t="s">
        <v>139</v>
      </c>
      <c r="B132" s="203"/>
      <c r="C132" s="203"/>
      <c r="D132" s="203"/>
      <c r="E132" s="203"/>
      <c r="F132" s="203"/>
      <c r="G132" s="203"/>
      <c r="H132" s="204"/>
      <c r="I132" s="115">
        <f>+I131/I130</f>
        <v>0.6586337447903483</v>
      </c>
      <c r="J132" s="178"/>
      <c r="L132" s="6"/>
      <c r="M132" s="18"/>
      <c r="N132" s="18"/>
      <c r="O132" s="19"/>
      <c r="P132" s="23"/>
      <c r="Q132" s="23"/>
      <c r="R132" s="7"/>
      <c r="T132" s="36"/>
      <c r="U132" s="65"/>
      <c r="V132" s="37"/>
      <c r="W132" s="37"/>
    </row>
    <row r="133" spans="20:23" ht="18">
      <c r="T133" s="36"/>
      <c r="U133" s="65"/>
      <c r="V133" s="37"/>
      <c r="W133" s="37"/>
    </row>
    <row r="134" spans="20:23" ht="18">
      <c r="T134" s="36"/>
      <c r="U134" s="65"/>
      <c r="V134" s="37"/>
      <c r="W134" s="37"/>
    </row>
    <row r="135" spans="20:23" ht="18">
      <c r="T135" s="36"/>
      <c r="U135" s="65"/>
      <c r="V135" s="37"/>
      <c r="W135" s="37"/>
    </row>
    <row r="136" spans="20:23" ht="18">
      <c r="T136" s="36"/>
      <c r="U136" s="65"/>
      <c r="V136" s="37"/>
      <c r="W136" s="37"/>
    </row>
    <row r="137" spans="20:23" ht="18">
      <c r="T137" s="36"/>
      <c r="U137" s="65"/>
      <c r="V137" s="37"/>
      <c r="W137" s="37"/>
    </row>
    <row r="138" spans="20:23" ht="18">
      <c r="T138" s="36"/>
      <c r="U138" s="65"/>
      <c r="V138" s="37"/>
      <c r="W138" s="37"/>
    </row>
    <row r="139" spans="20:23" ht="18">
      <c r="T139" s="36"/>
      <c r="U139" s="65"/>
      <c r="V139" s="37"/>
      <c r="W139" s="37"/>
    </row>
    <row r="140" spans="20:23" ht="18">
      <c r="T140" s="36"/>
      <c r="U140" s="65"/>
      <c r="V140" s="37"/>
      <c r="W140" s="37"/>
    </row>
    <row r="141" spans="20:23" ht="18">
      <c r="T141" s="36"/>
      <c r="U141" s="65"/>
      <c r="V141" s="37"/>
      <c r="W141" s="37"/>
    </row>
    <row r="142" spans="20:23" ht="18">
      <c r="T142" s="36"/>
      <c r="U142" s="65"/>
      <c r="V142" s="37"/>
      <c r="W142" s="37"/>
    </row>
    <row r="143" spans="20:23" ht="18">
      <c r="T143" s="36"/>
      <c r="U143" s="65"/>
      <c r="V143" s="37"/>
      <c r="W143" s="37"/>
    </row>
    <row r="144" spans="20:23" ht="18">
      <c r="T144" s="36"/>
      <c r="U144" s="65"/>
      <c r="V144" s="37"/>
      <c r="W144" s="37"/>
    </row>
    <row r="145" spans="20:23" ht="18">
      <c r="T145" s="36"/>
      <c r="U145" s="65"/>
      <c r="V145" s="37"/>
      <c r="W145" s="37"/>
    </row>
    <row r="146" spans="20:23" ht="18">
      <c r="T146" s="36"/>
      <c r="U146" s="65"/>
      <c r="V146" s="37"/>
      <c r="W146" s="37"/>
    </row>
    <row r="147" spans="20:23" ht="18">
      <c r="T147" s="36"/>
      <c r="U147" s="65"/>
      <c r="V147" s="37"/>
      <c r="W147" s="37"/>
    </row>
  </sheetData>
  <sheetProtection/>
  <mergeCells count="125">
    <mergeCell ref="F20:G20"/>
    <mergeCell ref="C35:H35"/>
    <mergeCell ref="D20:D21"/>
    <mergeCell ref="E20:E21"/>
    <mergeCell ref="C20:C21"/>
    <mergeCell ref="C28:C29"/>
    <mergeCell ref="C34:G34"/>
    <mergeCell ref="D28:D29"/>
    <mergeCell ref="H28:J28"/>
    <mergeCell ref="J34:J36"/>
    <mergeCell ref="C73:G73"/>
    <mergeCell ref="J67:J69"/>
    <mergeCell ref="C60:C61"/>
    <mergeCell ref="H60:J60"/>
    <mergeCell ref="D60:D61"/>
    <mergeCell ref="C59:H59"/>
    <mergeCell ref="C36:H36"/>
    <mergeCell ref="J73:J75"/>
    <mergeCell ref="C74:H74"/>
    <mergeCell ref="C26:H26"/>
    <mergeCell ref="C27:H27"/>
    <mergeCell ref="C25:G25"/>
    <mergeCell ref="E28:E29"/>
    <mergeCell ref="F28:G28"/>
    <mergeCell ref="J17:J19"/>
    <mergeCell ref="C17:G17"/>
    <mergeCell ref="C18:H18"/>
    <mergeCell ref="C19:H19"/>
    <mergeCell ref="J25:J27"/>
    <mergeCell ref="J84:J86"/>
    <mergeCell ref="C76:C77"/>
    <mergeCell ref="H20:J20"/>
    <mergeCell ref="C84:G84"/>
    <mergeCell ref="E60:E61"/>
    <mergeCell ref="F60:G60"/>
    <mergeCell ref="J57:J59"/>
    <mergeCell ref="C58:H58"/>
    <mergeCell ref="C85:H85"/>
    <mergeCell ref="C86:H86"/>
    <mergeCell ref="C48:H48"/>
    <mergeCell ref="C69:H69"/>
    <mergeCell ref="D76:D77"/>
    <mergeCell ref="E76:E77"/>
    <mergeCell ref="F76:G76"/>
    <mergeCell ref="C75:H75"/>
    <mergeCell ref="A131:H131"/>
    <mergeCell ref="B4:J4"/>
    <mergeCell ref="E7:E8"/>
    <mergeCell ref="F7:G7"/>
    <mergeCell ref="H7:J7"/>
    <mergeCell ref="B78:B86"/>
    <mergeCell ref="B87:B88"/>
    <mergeCell ref="A5:B5"/>
    <mergeCell ref="E116:E117"/>
    <mergeCell ref="C57:G57"/>
    <mergeCell ref="A1:I3"/>
    <mergeCell ref="B76:B77"/>
    <mergeCell ref="B62:B69"/>
    <mergeCell ref="C68:H68"/>
    <mergeCell ref="B37:B48"/>
    <mergeCell ref="H76:J76"/>
    <mergeCell ref="C67:G67"/>
    <mergeCell ref="B49:B59"/>
    <mergeCell ref="A76:A77"/>
    <mergeCell ref="C47:H47"/>
    <mergeCell ref="A60:A61"/>
    <mergeCell ref="B60:B61"/>
    <mergeCell ref="A62:A75"/>
    <mergeCell ref="B70:B75"/>
    <mergeCell ref="F87:G87"/>
    <mergeCell ref="C102:H102"/>
    <mergeCell ref="C101:G101"/>
    <mergeCell ref="D87:D88"/>
    <mergeCell ref="H87:J87"/>
    <mergeCell ref="C87:C88"/>
    <mergeCell ref="A30:A59"/>
    <mergeCell ref="B30:B36"/>
    <mergeCell ref="D7:D8"/>
    <mergeCell ref="B6:J6"/>
    <mergeCell ref="B22:B27"/>
    <mergeCell ref="C46:G46"/>
    <mergeCell ref="C7:C8"/>
    <mergeCell ref="B9:B19"/>
    <mergeCell ref="B28:B29"/>
    <mergeCell ref="J46:J48"/>
    <mergeCell ref="A132:H132"/>
    <mergeCell ref="B116:B117"/>
    <mergeCell ref="C5:E5"/>
    <mergeCell ref="A7:A8"/>
    <mergeCell ref="A9:A27"/>
    <mergeCell ref="B20:B21"/>
    <mergeCell ref="A28:A29"/>
    <mergeCell ref="H5:J5"/>
    <mergeCell ref="B7:B8"/>
    <mergeCell ref="H104:J104"/>
    <mergeCell ref="F116:G116"/>
    <mergeCell ref="A78:A129"/>
    <mergeCell ref="B89:B103"/>
    <mergeCell ref="D104:D105"/>
    <mergeCell ref="C103:H103"/>
    <mergeCell ref="J101:J103"/>
    <mergeCell ref="E104:E105"/>
    <mergeCell ref="C104:C105"/>
    <mergeCell ref="F104:G104"/>
    <mergeCell ref="E87:E88"/>
    <mergeCell ref="C115:H115"/>
    <mergeCell ref="C123:H123"/>
    <mergeCell ref="J127:J129"/>
    <mergeCell ref="C116:C117"/>
    <mergeCell ref="A130:H130"/>
    <mergeCell ref="C121:G121"/>
    <mergeCell ref="C127:G127"/>
    <mergeCell ref="C128:H128"/>
    <mergeCell ref="C129:H129"/>
    <mergeCell ref="J130:J132"/>
    <mergeCell ref="B124:B129"/>
    <mergeCell ref="B118:B123"/>
    <mergeCell ref="C113:G113"/>
    <mergeCell ref="C114:H114"/>
    <mergeCell ref="J121:J123"/>
    <mergeCell ref="B106:B115"/>
    <mergeCell ref="J113:J115"/>
    <mergeCell ref="H116:J116"/>
    <mergeCell ref="D116:D117"/>
    <mergeCell ref="C122:H122"/>
  </mergeCells>
  <printOptions horizontalCentered="1" verticalCentered="1"/>
  <pageMargins left="0.07874015748031496" right="0.07874015748031496" top="0.3937007874015748" bottom="0.3937007874015748" header="0" footer="0"/>
  <pageSetup horizontalDpi="600" verticalDpi="600" orientation="landscape" scale="60" r:id="rId4"/>
  <headerFooter alignWithMargins="0">
    <oddFooter>&amp;ROFICINA DE PLANEACIÓN
Junio 30 de 2012</oddFooter>
  </headerFooter>
  <rowBreaks count="4" manualBreakCount="4">
    <brk id="27" max="18" man="1"/>
    <brk id="59" max="18" man="1"/>
    <brk id="86" max="18" man="1"/>
    <brk id="103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carlos alberto vargas muñoz</cp:lastModifiedBy>
  <cp:lastPrinted>2012-07-26T14:03:28Z</cp:lastPrinted>
  <dcterms:created xsi:type="dcterms:W3CDTF">2004-04-28T15:04:46Z</dcterms:created>
  <dcterms:modified xsi:type="dcterms:W3CDTF">2012-07-26T14:04:14Z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