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BE/1. CAM/RESULTADOS MONITOREOS CALIDAD DE AGUA/"/>
    </mc:Choice>
  </mc:AlternateContent>
  <xr:revisionPtr revIDLastSave="0" documentId="13_ncr:1_{A014AF20-B898-5141-8E6F-DD0C54C8896C}" xr6:coauthVersionLast="47" xr6:coauthVersionMax="47" xr10:uidLastSave="{00000000-0000-0000-0000-000000000000}"/>
  <bookViews>
    <workbookView xWindow="120" yWindow="1780" windowWidth="28800" windowHeight="15920" xr2:uid="{9053D4B2-170C-EA4F-BE0A-E09491C643AC}"/>
  </bookViews>
  <sheets>
    <sheet name="OD" sheetId="3" r:id="rId1"/>
    <sheet name="pH" sheetId="1" r:id="rId2"/>
    <sheet name="DQO" sheetId="4" r:id="rId3"/>
    <sheet name="CE" sheetId="5" r:id="rId4"/>
    <sheet name="SST" sheetId="6" r:id="rId5"/>
    <sheet name="NT" sheetId="7" r:id="rId6"/>
    <sheet name="P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8" l="1"/>
  <c r="I5" i="8"/>
  <c r="H10" i="8"/>
  <c r="H5" i="8"/>
  <c r="G10" i="8"/>
  <c r="G5" i="8"/>
  <c r="F10" i="8"/>
  <c r="F5" i="8"/>
  <c r="E5" i="8"/>
  <c r="D10" i="8"/>
  <c r="D5" i="8"/>
  <c r="C10" i="8"/>
  <c r="C6" i="8"/>
  <c r="C5" i="8"/>
  <c r="E10" i="8"/>
  <c r="I6" i="8"/>
  <c r="H6" i="8"/>
  <c r="G6" i="8"/>
  <c r="F6" i="8"/>
  <c r="E6" i="8"/>
  <c r="D6" i="8"/>
  <c r="B10" i="8"/>
  <c r="B6" i="8"/>
  <c r="B5" i="8"/>
  <c r="I10" i="7"/>
  <c r="I5" i="7"/>
  <c r="H5" i="7"/>
  <c r="G5" i="7"/>
  <c r="F5" i="7"/>
  <c r="C6" i="7"/>
  <c r="C5" i="7"/>
  <c r="H10" i="7"/>
  <c r="G10" i="7"/>
  <c r="F10" i="7"/>
  <c r="E10" i="7"/>
  <c r="D10" i="7"/>
  <c r="C10" i="7"/>
  <c r="I6" i="7"/>
  <c r="H6" i="7"/>
  <c r="G6" i="7"/>
  <c r="F6" i="7"/>
  <c r="E6" i="7"/>
  <c r="D6" i="7"/>
  <c r="E5" i="7"/>
  <c r="D5" i="7"/>
  <c r="B10" i="7"/>
  <c r="B6" i="7"/>
  <c r="B5" i="7"/>
  <c r="I10" i="6"/>
  <c r="I6" i="6"/>
  <c r="I5" i="6"/>
  <c r="H10" i="6"/>
  <c r="H6" i="6"/>
  <c r="H5" i="6"/>
  <c r="G10" i="6"/>
  <c r="G6" i="6"/>
  <c r="G5" i="6"/>
  <c r="F10" i="6" l="1"/>
  <c r="F6" i="6"/>
  <c r="F5" i="6"/>
  <c r="E10" i="6"/>
  <c r="E6" i="6"/>
  <c r="E5" i="6"/>
  <c r="D10" i="6"/>
  <c r="D6" i="6"/>
  <c r="D5" i="6"/>
  <c r="C10" i="6"/>
  <c r="C6" i="6"/>
  <c r="C5" i="6"/>
  <c r="B10" i="6"/>
  <c r="B6" i="6"/>
  <c r="B5" i="6"/>
  <c r="I10" i="5"/>
  <c r="I6" i="5"/>
  <c r="I5" i="5"/>
  <c r="H10" i="5"/>
  <c r="H6" i="5"/>
  <c r="H5" i="5"/>
  <c r="G10" i="5"/>
  <c r="G6" i="5"/>
  <c r="G5" i="5"/>
  <c r="F10" i="5"/>
  <c r="F6" i="5"/>
  <c r="F5" i="5"/>
  <c r="E10" i="5"/>
  <c r="E6" i="5"/>
  <c r="E5" i="5"/>
  <c r="D10" i="5"/>
  <c r="D6" i="5"/>
  <c r="D5" i="5"/>
  <c r="C10" i="5"/>
  <c r="C6" i="5"/>
  <c r="C5" i="5"/>
  <c r="B10" i="5"/>
  <c r="B6" i="5"/>
  <c r="B5" i="5"/>
  <c r="I10" i="4"/>
  <c r="I6" i="4"/>
  <c r="I5" i="4"/>
  <c r="H10" i="4"/>
  <c r="H6" i="4"/>
  <c r="H5" i="4"/>
  <c r="G10" i="4"/>
  <c r="G6" i="4"/>
  <c r="G5" i="4"/>
  <c r="F10" i="4"/>
  <c r="F6" i="4"/>
  <c r="F5" i="4"/>
  <c r="E10" i="4"/>
  <c r="E6" i="4"/>
  <c r="E5" i="4"/>
  <c r="D10" i="4"/>
  <c r="D6" i="4"/>
  <c r="D5" i="4"/>
  <c r="C10" i="4"/>
  <c r="C6" i="4"/>
  <c r="C5" i="4"/>
  <c r="B10" i="4"/>
  <c r="B6" i="4"/>
  <c r="B5" i="4"/>
  <c r="I10" i="3"/>
  <c r="I6" i="3"/>
  <c r="I5" i="3"/>
  <c r="H10" i="3"/>
  <c r="H6" i="3"/>
  <c r="H5" i="3"/>
  <c r="G10" i="3"/>
  <c r="G6" i="3"/>
  <c r="G5" i="3"/>
  <c r="F10" i="3"/>
  <c r="F6" i="3"/>
  <c r="F5" i="3"/>
  <c r="E10" i="3"/>
  <c r="E6" i="3"/>
  <c r="E5" i="3"/>
  <c r="D10" i="3"/>
  <c r="D6" i="3"/>
  <c r="D5" i="3"/>
  <c r="C10" i="3"/>
  <c r="C6" i="3"/>
  <c r="C5" i="3"/>
  <c r="B10" i="3"/>
  <c r="B6" i="3"/>
  <c r="B5" i="3"/>
  <c r="B18" i="1"/>
  <c r="C18" i="1"/>
  <c r="D18" i="1"/>
  <c r="E18" i="1"/>
  <c r="F18" i="1"/>
  <c r="G18" i="1"/>
  <c r="B19" i="1"/>
  <c r="C19" i="1"/>
  <c r="D19" i="1"/>
  <c r="E19" i="1"/>
  <c r="F19" i="1"/>
  <c r="G19" i="1"/>
  <c r="H18" i="1"/>
  <c r="I18" i="1"/>
  <c r="H19" i="1"/>
  <c r="I19" i="1"/>
  <c r="B23" i="1"/>
  <c r="C23" i="1"/>
  <c r="D23" i="1"/>
  <c r="E23" i="1"/>
  <c r="F23" i="1"/>
  <c r="G23" i="1"/>
  <c r="H23" i="1"/>
  <c r="I23" i="1"/>
  <c r="G13" i="1"/>
  <c r="G12" i="1"/>
  <c r="G11" i="1"/>
  <c r="G10" i="1"/>
  <c r="G9" i="1"/>
  <c r="G8" i="1"/>
  <c r="G7" i="1"/>
  <c r="G6" i="1"/>
  <c r="C13" i="1"/>
  <c r="C12" i="1"/>
  <c r="C11" i="1"/>
  <c r="C10" i="1"/>
  <c r="C9" i="1"/>
  <c r="C8" i="1"/>
  <c r="C7" i="1"/>
  <c r="C6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<sst xmlns="http://schemas.openxmlformats.org/spreadsheetml/2006/main" count="85" uniqueCount="18">
  <si>
    <t>pH</t>
  </si>
  <si>
    <t>Año</t>
  </si>
  <si>
    <t>R. Las Ceibas antes de Q. La Plata</t>
  </si>
  <si>
    <t>Q. La Plata</t>
  </si>
  <si>
    <t>Q. Motilón</t>
  </si>
  <si>
    <t>Q. San Bartolo</t>
  </si>
  <si>
    <t>B. El Guayabo</t>
  </si>
  <si>
    <t>Q. Los Micos</t>
  </si>
  <si>
    <t>B. El Tomo</t>
  </si>
  <si>
    <t>R. Ceibas antes del R. Magdalena</t>
  </si>
  <si>
    <t>Punto de monitoreo</t>
  </si>
  <si>
    <t>Límite Dec. 1076 de 2015</t>
  </si>
  <si>
    <t>OXÍGENO DISUELTO</t>
  </si>
  <si>
    <t>DQO</t>
  </si>
  <si>
    <t>CONDUCTIVIDAD ELÉCTRICA</t>
  </si>
  <si>
    <t>SÓLIDOS SUSPENDIDOS TOTALES</t>
  </si>
  <si>
    <t>NITRÓGENO TOTAL</t>
  </si>
  <si>
    <t>FÓSFORO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</si>
</sst>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5" fontId="0" fillId="2" borderId="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24242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Oxígeno Disuelto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OD!$B$4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OD!$B$5:$B$10</c:f>
              <c:numCache>
                <c:formatCode>0.00</c:formatCode>
                <c:ptCount val="6"/>
                <c:pt idx="0">
                  <c:v>7.1550000000000002</c:v>
                </c:pt>
                <c:pt idx="1">
                  <c:v>6.93</c:v>
                </c:pt>
                <c:pt idx="2" formatCode="General">
                  <c:v>7.2</c:v>
                </c:pt>
                <c:pt idx="3" formatCode="General">
                  <c:v>7.05</c:v>
                </c:pt>
                <c:pt idx="4" formatCode="General">
                  <c:v>7</c:v>
                </c:pt>
                <c:pt idx="5" formatCode="0.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0-F44D-B39E-1AB6C09B13BC}"/>
            </c:ext>
          </c:extLst>
        </c:ser>
        <c:ser>
          <c:idx val="1"/>
          <c:order val="1"/>
          <c:tx>
            <c:strRef>
              <c:f>OD!$C$4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OD!$C$5:$C$10</c:f>
              <c:numCache>
                <c:formatCode>0.00</c:formatCode>
                <c:ptCount val="6"/>
                <c:pt idx="0">
                  <c:v>7.1150000000000002</c:v>
                </c:pt>
                <c:pt idx="1">
                  <c:v>7.4749999999999996</c:v>
                </c:pt>
                <c:pt idx="2" formatCode="General">
                  <c:v>6.34</c:v>
                </c:pt>
                <c:pt idx="3" formatCode="General">
                  <c:v>6.71</c:v>
                </c:pt>
                <c:pt idx="4" formatCode="General">
                  <c:v>7.4</c:v>
                </c:pt>
                <c:pt idx="5" formatCode="0.0">
                  <c:v>6.3533333333333344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0-F44D-B39E-1AB6C09B13BC}"/>
            </c:ext>
          </c:extLst>
        </c:ser>
        <c:ser>
          <c:idx val="2"/>
          <c:order val="2"/>
          <c:tx>
            <c:strRef>
              <c:f>OD!$D$4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OD!$D$5:$D$10</c:f>
              <c:numCache>
                <c:formatCode>0.00</c:formatCode>
                <c:ptCount val="6"/>
                <c:pt idx="0">
                  <c:v>7.0350000000000001</c:v>
                </c:pt>
                <c:pt idx="1">
                  <c:v>7.9649999999999999</c:v>
                </c:pt>
                <c:pt idx="2" formatCode="General">
                  <c:v>7.12</c:v>
                </c:pt>
                <c:pt idx="3" formatCode="General">
                  <c:v>7.12</c:v>
                </c:pt>
                <c:pt idx="4" formatCode="General">
                  <c:v>7</c:v>
                </c:pt>
                <c:pt idx="5" formatCode="0.0">
                  <c:v>6.0399999999999991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0-F44D-B39E-1AB6C09B13BC}"/>
            </c:ext>
          </c:extLst>
        </c:ser>
        <c:ser>
          <c:idx val="3"/>
          <c:order val="3"/>
          <c:tx>
            <c:strRef>
              <c:f>OD!$E$4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OD!$E$5:$E$10</c:f>
              <c:numCache>
                <c:formatCode>0.00</c:formatCode>
                <c:ptCount val="6"/>
                <c:pt idx="0">
                  <c:v>7.3849999999999998</c:v>
                </c:pt>
                <c:pt idx="1">
                  <c:v>7.2850000000000001</c:v>
                </c:pt>
                <c:pt idx="2" formatCode="General">
                  <c:v>7.03</c:v>
                </c:pt>
                <c:pt idx="3" formatCode="General">
                  <c:v>6.92</c:v>
                </c:pt>
                <c:pt idx="4">
                  <c:v>6.88</c:v>
                </c:pt>
                <c:pt idx="5" formatCode="0.0">
                  <c:v>6.666666666666667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40-F44D-B39E-1AB6C09B13BC}"/>
            </c:ext>
          </c:extLst>
        </c:ser>
        <c:ser>
          <c:idx val="4"/>
          <c:order val="4"/>
          <c:tx>
            <c:strRef>
              <c:f>OD!$F$4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OD!$F$5:$F$10</c:f>
              <c:numCache>
                <c:formatCode>0.00</c:formatCode>
                <c:ptCount val="6"/>
                <c:pt idx="0">
                  <c:v>7.5350000000000001</c:v>
                </c:pt>
                <c:pt idx="1">
                  <c:v>6.83</c:v>
                </c:pt>
                <c:pt idx="2" formatCode="General">
                  <c:v>7.02</c:v>
                </c:pt>
                <c:pt idx="3" formatCode="General">
                  <c:v>7.07</c:v>
                </c:pt>
                <c:pt idx="4" formatCode="General">
                  <c:v>6.24</c:v>
                </c:pt>
                <c:pt idx="5" formatCode="0.0">
                  <c:v>6.4033333333333333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40-F44D-B39E-1AB6C09B13BC}"/>
            </c:ext>
          </c:extLst>
        </c:ser>
        <c:ser>
          <c:idx val="5"/>
          <c:order val="5"/>
          <c:tx>
            <c:strRef>
              <c:f>OD!$G$4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OD!$G$5:$G$10</c:f>
              <c:numCache>
                <c:formatCode>0.00</c:formatCode>
                <c:ptCount val="6"/>
                <c:pt idx="0">
                  <c:v>8.4049999999999994</c:v>
                </c:pt>
                <c:pt idx="1">
                  <c:v>6.8150000000000004</c:v>
                </c:pt>
                <c:pt idx="2" formatCode="General">
                  <c:v>7.97</c:v>
                </c:pt>
                <c:pt idx="3" formatCode="General">
                  <c:v>6.91</c:v>
                </c:pt>
                <c:pt idx="4" formatCode="General">
                  <c:v>7.56</c:v>
                </c:pt>
                <c:pt idx="5" formatCode="0.0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40-F44D-B39E-1AB6C09B13BC}"/>
            </c:ext>
          </c:extLst>
        </c:ser>
        <c:ser>
          <c:idx val="6"/>
          <c:order val="6"/>
          <c:tx>
            <c:strRef>
              <c:f>OD!$H$4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OD!$H$5:$H$10</c:f>
              <c:numCache>
                <c:formatCode>0.00</c:formatCode>
                <c:ptCount val="6"/>
                <c:pt idx="0">
                  <c:v>8.504999999999999</c:v>
                </c:pt>
                <c:pt idx="1">
                  <c:v>6.5250000000000004</c:v>
                </c:pt>
                <c:pt idx="2" formatCode="General">
                  <c:v>7.96</c:v>
                </c:pt>
                <c:pt idx="3" formatCode="General">
                  <c:v>6.93</c:v>
                </c:pt>
                <c:pt idx="4">
                  <c:v>7.23</c:v>
                </c:pt>
                <c:pt idx="5" formatCode="0.0">
                  <c:v>6.2399999999999993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40-F44D-B39E-1AB6C09B13BC}"/>
            </c:ext>
          </c:extLst>
        </c:ser>
        <c:ser>
          <c:idx val="7"/>
          <c:order val="7"/>
          <c:tx>
            <c:strRef>
              <c:f>OD!$I$4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OD!$A$5:$A$10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OD!$I$5:$I$10</c:f>
              <c:numCache>
                <c:formatCode>0.00</c:formatCode>
                <c:ptCount val="6"/>
                <c:pt idx="0">
                  <c:v>8.8649999999999984</c:v>
                </c:pt>
                <c:pt idx="1">
                  <c:v>4.9950000000000001</c:v>
                </c:pt>
                <c:pt idx="2" formatCode="General">
                  <c:v>8.2799999999999994</c:v>
                </c:pt>
                <c:pt idx="3" formatCode="General">
                  <c:v>6.43</c:v>
                </c:pt>
                <c:pt idx="4" formatCode="General">
                  <c:v>6.5</c:v>
                </c:pt>
                <c:pt idx="5" formatCode="0.0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40-F44D-B39E-1AB6C09B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0.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pH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pH!$B$17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pH!$B$18:$B$23</c:f>
              <c:numCache>
                <c:formatCode>0.00</c:formatCode>
                <c:ptCount val="6"/>
                <c:pt idx="0">
                  <c:v>7.0950000000000006</c:v>
                </c:pt>
                <c:pt idx="1">
                  <c:v>6.7550000000000008</c:v>
                </c:pt>
                <c:pt idx="2" formatCode="General">
                  <c:v>7.7</c:v>
                </c:pt>
                <c:pt idx="3" formatCode="General">
                  <c:v>7.52</c:v>
                </c:pt>
                <c:pt idx="4" formatCode="General">
                  <c:v>7.74</c:v>
                </c:pt>
                <c:pt idx="5" formatCode="0.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3-DF40-BCC8-7E5102488DF0}"/>
            </c:ext>
          </c:extLst>
        </c:ser>
        <c:ser>
          <c:idx val="1"/>
          <c:order val="1"/>
          <c:tx>
            <c:strRef>
              <c:f>pH!$C$17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pH!$C$18:$C$23</c:f>
              <c:numCache>
                <c:formatCode>0.00</c:formatCode>
                <c:ptCount val="6"/>
                <c:pt idx="0">
                  <c:v>7.0449999999999999</c:v>
                </c:pt>
                <c:pt idx="1">
                  <c:v>7.04</c:v>
                </c:pt>
                <c:pt idx="2" formatCode="General">
                  <c:v>7.46</c:v>
                </c:pt>
                <c:pt idx="3" formatCode="General">
                  <c:v>7.81</c:v>
                </c:pt>
                <c:pt idx="4" formatCode="General">
                  <c:v>7.57</c:v>
                </c:pt>
                <c:pt idx="5" formatCode="0.0">
                  <c:v>7.996666666666667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3-DF40-BCC8-7E5102488DF0}"/>
            </c:ext>
          </c:extLst>
        </c:ser>
        <c:ser>
          <c:idx val="2"/>
          <c:order val="2"/>
          <c:tx>
            <c:strRef>
              <c:f>pH!$D$17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pH!$D$18:$D$23</c:f>
              <c:numCache>
                <c:formatCode>0.00</c:formatCode>
                <c:ptCount val="6"/>
                <c:pt idx="0">
                  <c:v>7.1050000000000004</c:v>
                </c:pt>
                <c:pt idx="1">
                  <c:v>6.5250000000000004</c:v>
                </c:pt>
                <c:pt idx="2" formatCode="General">
                  <c:v>7.57</c:v>
                </c:pt>
                <c:pt idx="3" formatCode="General">
                  <c:v>8.01</c:v>
                </c:pt>
                <c:pt idx="4" formatCode="General">
                  <c:v>7.74</c:v>
                </c:pt>
                <c:pt idx="5" formatCode="0.0">
                  <c:v>8.0833333333333339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3-DF40-BCC8-7E5102488DF0}"/>
            </c:ext>
          </c:extLst>
        </c:ser>
        <c:ser>
          <c:idx val="3"/>
          <c:order val="3"/>
          <c:tx>
            <c:strRef>
              <c:f>pH!$E$17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pH!$E$18:$E$23</c:f>
              <c:numCache>
                <c:formatCode>0.00</c:formatCode>
                <c:ptCount val="6"/>
                <c:pt idx="0">
                  <c:v>7.2</c:v>
                </c:pt>
                <c:pt idx="1">
                  <c:v>6.4250000000000007</c:v>
                </c:pt>
                <c:pt idx="2" formatCode="General">
                  <c:v>7.94</c:v>
                </c:pt>
                <c:pt idx="3" formatCode="General">
                  <c:v>7.91</c:v>
                </c:pt>
                <c:pt idx="4">
                  <c:v>7.3</c:v>
                </c:pt>
                <c:pt idx="5" formatCode="0.0">
                  <c:v>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B3-DF40-BCC8-7E5102488DF0}"/>
            </c:ext>
          </c:extLst>
        </c:ser>
        <c:ser>
          <c:idx val="4"/>
          <c:order val="4"/>
          <c:tx>
            <c:strRef>
              <c:f>pH!$F$17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pH!$F$18:$F$23</c:f>
              <c:numCache>
                <c:formatCode>0.00</c:formatCode>
                <c:ptCount val="6"/>
                <c:pt idx="0">
                  <c:v>7.335</c:v>
                </c:pt>
                <c:pt idx="1">
                  <c:v>6.9</c:v>
                </c:pt>
                <c:pt idx="2" formatCode="General">
                  <c:v>7.95</c:v>
                </c:pt>
                <c:pt idx="3" formatCode="General">
                  <c:v>7.65</c:v>
                </c:pt>
                <c:pt idx="4" formatCode="General">
                  <c:v>7.37</c:v>
                </c:pt>
                <c:pt idx="5" formatCode="0.0">
                  <c:v>7.8500000000000005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B3-DF40-BCC8-7E5102488DF0}"/>
            </c:ext>
          </c:extLst>
        </c:ser>
        <c:ser>
          <c:idx val="5"/>
          <c:order val="5"/>
          <c:tx>
            <c:strRef>
              <c:f>pH!$G$17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pH!$G$18:$G$23</c:f>
              <c:numCache>
                <c:formatCode>0.00</c:formatCode>
                <c:ptCount val="6"/>
                <c:pt idx="0">
                  <c:v>6.98</c:v>
                </c:pt>
                <c:pt idx="1">
                  <c:v>6.45</c:v>
                </c:pt>
                <c:pt idx="2" formatCode="General">
                  <c:v>7.97</c:v>
                </c:pt>
                <c:pt idx="3" formatCode="General">
                  <c:v>7.86</c:v>
                </c:pt>
                <c:pt idx="4" formatCode="General">
                  <c:v>8.0399999999999991</c:v>
                </c:pt>
                <c:pt idx="5" formatCode="0.0">
                  <c:v>7.9233333333333329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B3-DF40-BCC8-7E5102488DF0}"/>
            </c:ext>
          </c:extLst>
        </c:ser>
        <c:ser>
          <c:idx val="6"/>
          <c:order val="6"/>
          <c:tx>
            <c:strRef>
              <c:f>pH!$H$17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pH!$H$18:$H$23</c:f>
              <c:numCache>
                <c:formatCode>0.00</c:formatCode>
                <c:ptCount val="6"/>
                <c:pt idx="0">
                  <c:v>7.04</c:v>
                </c:pt>
                <c:pt idx="1">
                  <c:v>6.85</c:v>
                </c:pt>
                <c:pt idx="2" formatCode="General">
                  <c:v>7.99</c:v>
                </c:pt>
                <c:pt idx="3" formatCode="General">
                  <c:v>7.85</c:v>
                </c:pt>
                <c:pt idx="4">
                  <c:v>7.7</c:v>
                </c:pt>
                <c:pt idx="5" formatCode="0.0">
                  <c:v>7.9366666666666674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B3-DF40-BCC8-7E5102488DF0}"/>
            </c:ext>
          </c:extLst>
        </c:ser>
        <c:ser>
          <c:idx val="7"/>
          <c:order val="7"/>
          <c:tx>
            <c:strRef>
              <c:f>pH!$I$17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pH!$A$18:$A$23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pH!$I$18:$I$23</c:f>
              <c:numCache>
                <c:formatCode>0.00</c:formatCode>
                <c:ptCount val="6"/>
                <c:pt idx="0">
                  <c:v>7.6</c:v>
                </c:pt>
                <c:pt idx="1">
                  <c:v>6.5500000000000007</c:v>
                </c:pt>
                <c:pt idx="2" formatCode="General">
                  <c:v>7.95</c:v>
                </c:pt>
                <c:pt idx="3" formatCode="General">
                  <c:v>7.81</c:v>
                </c:pt>
                <c:pt idx="4" formatCode="General">
                  <c:v>7.88</c:v>
                </c:pt>
                <c:pt idx="5" formatCode="0.0">
                  <c:v>7.7733333333333334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B3-DF40-BCC8-7E5102488DF0}"/>
            </c:ext>
          </c:extLst>
        </c:ser>
        <c:ser>
          <c:idx val="8"/>
          <c:order val="8"/>
          <c:tx>
            <c:v>Dec. 1076/2015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7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7B-2543-8FE5-B63F72613801}"/>
            </c:ext>
          </c:extLst>
        </c:ser>
        <c:ser>
          <c:idx val="9"/>
          <c:order val="9"/>
          <c:tx>
            <c:v>Dec. 1076/2015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7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9</c:v>
              </c:pt>
              <c:pt idx="5">
                <c:v>9</c:v>
              </c:pt>
              <c:pt idx="6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7B-2543-8FE5-B63F72613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Unidades</a:t>
                </a:r>
                <a:r>
                  <a:rPr lang="es-MX" baseline="0"/>
                  <a:t> de pH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0.3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DQO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DQO!$B$4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DQO!$B$5:$B$10</c:f>
              <c:numCache>
                <c:formatCode>0.00</c:formatCode>
                <c:ptCount val="6"/>
                <c:pt idx="0">
                  <c:v>29.5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16.100000000000001</c:v>
                </c:pt>
                <c:pt idx="5" formatCode="0.0">
                  <c:v>17.533333333333335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7-E64F-B3FF-B7DF2EAB8379}"/>
            </c:ext>
          </c:extLst>
        </c:ser>
        <c:ser>
          <c:idx val="1"/>
          <c:order val="1"/>
          <c:tx>
            <c:strRef>
              <c:f>DQO!$C$4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DQO!$C$5:$C$10</c:f>
              <c:numCache>
                <c:formatCode>0.00</c:formatCode>
                <c:ptCount val="6"/>
                <c:pt idx="0">
                  <c:v>21.5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11.8</c:v>
                </c:pt>
                <c:pt idx="5" formatCode="0.0">
                  <c:v>20.566666666666666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7-E64F-B3FF-B7DF2EAB8379}"/>
            </c:ext>
          </c:extLst>
        </c:ser>
        <c:ser>
          <c:idx val="2"/>
          <c:order val="2"/>
          <c:tx>
            <c:strRef>
              <c:f>DQO!$D$4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DQO!$D$5:$D$10</c:f>
              <c:numCache>
                <c:formatCode>0.00</c:formatCode>
                <c:ptCount val="6"/>
                <c:pt idx="0">
                  <c:v>17.5</c:v>
                </c:pt>
                <c:pt idx="1">
                  <c:v>24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14.7</c:v>
                </c:pt>
                <c:pt idx="5" formatCode="0.0">
                  <c:v>18.333333333333332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7-E64F-B3FF-B7DF2EAB8379}"/>
            </c:ext>
          </c:extLst>
        </c:ser>
        <c:ser>
          <c:idx val="3"/>
          <c:order val="3"/>
          <c:tx>
            <c:strRef>
              <c:f>DQO!$E$4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DQO!$E$5:$E$10</c:f>
              <c:numCache>
                <c:formatCode>0.00</c:formatCode>
                <c:ptCount val="6"/>
                <c:pt idx="0">
                  <c:v>16.5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>
                  <c:v>10</c:v>
                </c:pt>
                <c:pt idx="5" formatCode="0.0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7-E64F-B3FF-B7DF2EAB8379}"/>
            </c:ext>
          </c:extLst>
        </c:ser>
        <c:ser>
          <c:idx val="4"/>
          <c:order val="4"/>
          <c:tx>
            <c:strRef>
              <c:f>DQO!$F$4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DQO!$F$5:$F$10</c:f>
              <c:numCache>
                <c:formatCode>0.00</c:formatCode>
                <c:ptCount val="6"/>
                <c:pt idx="0">
                  <c:v>17.5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18.899999999999999</c:v>
                </c:pt>
                <c:pt idx="5" formatCode="0.0">
                  <c:v>22.266666666666666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7-E64F-B3FF-B7DF2EAB8379}"/>
            </c:ext>
          </c:extLst>
        </c:ser>
        <c:ser>
          <c:idx val="5"/>
          <c:order val="5"/>
          <c:tx>
            <c:strRef>
              <c:f>DQO!$G$4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DQO!$G$5:$G$10</c:f>
              <c:numCache>
                <c:formatCode>0.00</c:formatCode>
                <c:ptCount val="6"/>
                <c:pt idx="0">
                  <c:v>17</c:v>
                </c:pt>
                <c:pt idx="1">
                  <c:v>23.5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10.6</c:v>
                </c:pt>
                <c:pt idx="5" formatCode="0.0">
                  <c:v>36.93333333333333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7-E64F-B3FF-B7DF2EAB8379}"/>
            </c:ext>
          </c:extLst>
        </c:ser>
        <c:ser>
          <c:idx val="6"/>
          <c:order val="6"/>
          <c:tx>
            <c:strRef>
              <c:f>DQO!$H$4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DQO!$H$5:$H$10</c:f>
              <c:numCache>
                <c:formatCode>0.00</c:formatCode>
                <c:ptCount val="6"/>
                <c:pt idx="0">
                  <c:v>24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>
                  <c:v>20</c:v>
                </c:pt>
                <c:pt idx="5" formatCode="0.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97-E64F-B3FF-B7DF2EAB8379}"/>
            </c:ext>
          </c:extLst>
        </c:ser>
        <c:ser>
          <c:idx val="7"/>
          <c:order val="7"/>
          <c:tx>
            <c:strRef>
              <c:f>DQO!$I$4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DQO!$A$5:$A$10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DQO!$I$5:$I$10</c:f>
              <c:numCache>
                <c:formatCode>0.00</c:formatCode>
                <c:ptCount val="6"/>
                <c:pt idx="0">
                  <c:v>33.5</c:v>
                </c:pt>
                <c:pt idx="1">
                  <c:v>20</c:v>
                </c:pt>
                <c:pt idx="2" formatCode="General">
                  <c:v>10</c:v>
                </c:pt>
                <c:pt idx="3" formatCode="General">
                  <c:v>10</c:v>
                </c:pt>
                <c:pt idx="4" formatCode="General">
                  <c:v>10</c:v>
                </c:pt>
                <c:pt idx="5" formatCode="0.0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97-E64F-B3FF-B7DF2EAB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Conductividad Eléctrica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CE!$B$5:$B$10</c:f>
              <c:numCache>
                <c:formatCode>0</c:formatCode>
                <c:ptCount val="6"/>
                <c:pt idx="0">
                  <c:v>263.05</c:v>
                </c:pt>
                <c:pt idx="1">
                  <c:v>192.1</c:v>
                </c:pt>
                <c:pt idx="2">
                  <c:v>73</c:v>
                </c:pt>
                <c:pt idx="3">
                  <c:v>74</c:v>
                </c:pt>
                <c:pt idx="4">
                  <c:v>101</c:v>
                </c:pt>
                <c:pt idx="5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C-1D48-8D66-D8B4CD0C89F9}"/>
            </c:ext>
          </c:extLst>
        </c:ser>
        <c:ser>
          <c:idx val="1"/>
          <c:order val="1"/>
          <c:tx>
            <c:strRef>
              <c:f>CE!$C$4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CE!$C$5:$C$10</c:f>
              <c:numCache>
                <c:formatCode>0</c:formatCode>
                <c:ptCount val="6"/>
                <c:pt idx="0">
                  <c:v>171.75</c:v>
                </c:pt>
                <c:pt idx="1">
                  <c:v>144.5</c:v>
                </c:pt>
                <c:pt idx="2">
                  <c:v>153</c:v>
                </c:pt>
                <c:pt idx="3">
                  <c:v>147</c:v>
                </c:pt>
                <c:pt idx="4">
                  <c:v>100</c:v>
                </c:pt>
                <c:pt idx="5">
                  <c:v>115.66666666666667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C-1D48-8D66-D8B4CD0C89F9}"/>
            </c:ext>
          </c:extLst>
        </c:ser>
        <c:ser>
          <c:idx val="2"/>
          <c:order val="2"/>
          <c:tx>
            <c:strRef>
              <c:f>CE!$D$4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CE!$D$5:$D$10</c:f>
              <c:numCache>
                <c:formatCode>0</c:formatCode>
                <c:ptCount val="6"/>
                <c:pt idx="0">
                  <c:v>297.75</c:v>
                </c:pt>
                <c:pt idx="1">
                  <c:v>265.5</c:v>
                </c:pt>
                <c:pt idx="2">
                  <c:v>125</c:v>
                </c:pt>
                <c:pt idx="3">
                  <c:v>170</c:v>
                </c:pt>
                <c:pt idx="4">
                  <c:v>101</c:v>
                </c:pt>
                <c:pt idx="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C-1D48-8D66-D8B4CD0C89F9}"/>
            </c:ext>
          </c:extLst>
        </c:ser>
        <c:ser>
          <c:idx val="3"/>
          <c:order val="3"/>
          <c:tx>
            <c:strRef>
              <c:f>CE!$E$4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CE!$E$5:$E$10</c:f>
              <c:numCache>
                <c:formatCode>0</c:formatCode>
                <c:ptCount val="6"/>
                <c:pt idx="0">
                  <c:v>171.3</c:v>
                </c:pt>
                <c:pt idx="1">
                  <c:v>194</c:v>
                </c:pt>
                <c:pt idx="2">
                  <c:v>129</c:v>
                </c:pt>
                <c:pt idx="3">
                  <c:v>138</c:v>
                </c:pt>
                <c:pt idx="4">
                  <c:v>131</c:v>
                </c:pt>
                <c:pt idx="5">
                  <c:v>111.83333333333333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0C-1D48-8D66-D8B4CD0C89F9}"/>
            </c:ext>
          </c:extLst>
        </c:ser>
        <c:ser>
          <c:idx val="4"/>
          <c:order val="4"/>
          <c:tx>
            <c:strRef>
              <c:f>CE!$F$4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CE!$F$5:$F$10</c:f>
              <c:numCache>
                <c:formatCode>0</c:formatCode>
                <c:ptCount val="6"/>
                <c:pt idx="0">
                  <c:v>120.45</c:v>
                </c:pt>
                <c:pt idx="1">
                  <c:v>134.5</c:v>
                </c:pt>
                <c:pt idx="2">
                  <c:v>143</c:v>
                </c:pt>
                <c:pt idx="3">
                  <c:v>130</c:v>
                </c:pt>
                <c:pt idx="4">
                  <c:v>98</c:v>
                </c:pt>
                <c:pt idx="5">
                  <c:v>114.66666666666667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0C-1D48-8D66-D8B4CD0C89F9}"/>
            </c:ext>
          </c:extLst>
        </c:ser>
        <c:ser>
          <c:idx val="5"/>
          <c:order val="5"/>
          <c:tx>
            <c:strRef>
              <c:f>CE!$G$4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CE!$G$5:$G$10</c:f>
              <c:numCache>
                <c:formatCode>0</c:formatCode>
                <c:ptCount val="6"/>
                <c:pt idx="0">
                  <c:v>208.5</c:v>
                </c:pt>
                <c:pt idx="1">
                  <c:v>181.5</c:v>
                </c:pt>
                <c:pt idx="2">
                  <c:v>235</c:v>
                </c:pt>
                <c:pt idx="3">
                  <c:v>150</c:v>
                </c:pt>
                <c:pt idx="4">
                  <c:v>196</c:v>
                </c:pt>
                <c:pt idx="5">
                  <c:v>203.56666666666669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0C-1D48-8D66-D8B4CD0C89F9}"/>
            </c:ext>
          </c:extLst>
        </c:ser>
        <c:ser>
          <c:idx val="6"/>
          <c:order val="6"/>
          <c:tx>
            <c:strRef>
              <c:f>CE!$H$4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CE!$H$5:$H$10</c:f>
              <c:numCache>
                <c:formatCode>0</c:formatCode>
                <c:ptCount val="6"/>
                <c:pt idx="0">
                  <c:v>120</c:v>
                </c:pt>
                <c:pt idx="1">
                  <c:v>156</c:v>
                </c:pt>
                <c:pt idx="2">
                  <c:v>169</c:v>
                </c:pt>
                <c:pt idx="3">
                  <c:v>150</c:v>
                </c:pt>
                <c:pt idx="4">
                  <c:v>120</c:v>
                </c:pt>
                <c:pt idx="5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0C-1D48-8D66-D8B4CD0C89F9}"/>
            </c:ext>
          </c:extLst>
        </c:ser>
        <c:ser>
          <c:idx val="7"/>
          <c:order val="7"/>
          <c:tx>
            <c:strRef>
              <c:f>CE!$I$4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CE!$A$5:$A$10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CE!$I$5:$I$10</c:f>
              <c:numCache>
                <c:formatCode>0</c:formatCode>
                <c:ptCount val="6"/>
                <c:pt idx="0">
                  <c:v>174.1</c:v>
                </c:pt>
                <c:pt idx="1">
                  <c:v>184</c:v>
                </c:pt>
                <c:pt idx="2">
                  <c:v>225</c:v>
                </c:pt>
                <c:pt idx="3">
                  <c:v>180</c:v>
                </c:pt>
                <c:pt idx="4">
                  <c:v>138</c:v>
                </c:pt>
                <c:pt idx="5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0C-1D48-8D66-D8B4CD0C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μS/cm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Sólidos Suspendidos Totales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SST!$B$4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SST!$B$5:$B$10</c:f>
              <c:numCache>
                <c:formatCode>0</c:formatCode>
                <c:ptCount val="6"/>
                <c:pt idx="0">
                  <c:v>10</c:v>
                </c:pt>
                <c:pt idx="1">
                  <c:v>24.35</c:v>
                </c:pt>
                <c:pt idx="2">
                  <c:v>10</c:v>
                </c:pt>
                <c:pt idx="3">
                  <c:v>10</c:v>
                </c:pt>
                <c:pt idx="4">
                  <c:v>337</c:v>
                </c:pt>
                <c:pt idx="5">
                  <c:v>7.8966666666666656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B-DF4C-AF49-301E4D5FB664}"/>
            </c:ext>
          </c:extLst>
        </c:ser>
        <c:ser>
          <c:idx val="1"/>
          <c:order val="1"/>
          <c:tx>
            <c:strRef>
              <c:f>SST!$C$4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SST!$C$5:$C$10</c:f>
              <c:numCache>
                <c:formatCode>0</c:formatCode>
                <c:ptCount val="6"/>
                <c:pt idx="0">
                  <c:v>10</c:v>
                </c:pt>
                <c:pt idx="1">
                  <c:v>49.1</c:v>
                </c:pt>
                <c:pt idx="2">
                  <c:v>53</c:v>
                </c:pt>
                <c:pt idx="3">
                  <c:v>10</c:v>
                </c:pt>
                <c:pt idx="4">
                  <c:v>11</c:v>
                </c:pt>
                <c:pt idx="5">
                  <c:v>54.163333333333334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B-DF4C-AF49-301E4D5FB664}"/>
            </c:ext>
          </c:extLst>
        </c:ser>
        <c:ser>
          <c:idx val="2"/>
          <c:order val="2"/>
          <c:tx>
            <c:strRef>
              <c:f>SST!$D$4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SST!$D$5:$D$10</c:f>
              <c:numCache>
                <c:formatCode>0</c:formatCode>
                <c:ptCount val="6"/>
                <c:pt idx="0">
                  <c:v>73</c:v>
                </c:pt>
                <c:pt idx="1">
                  <c:v>64.5</c:v>
                </c:pt>
                <c:pt idx="2">
                  <c:v>10</c:v>
                </c:pt>
                <c:pt idx="3">
                  <c:v>10</c:v>
                </c:pt>
                <c:pt idx="4">
                  <c:v>5.5</c:v>
                </c:pt>
                <c:pt idx="5">
                  <c:v>69.533333333333331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B-DF4C-AF49-301E4D5FB664}"/>
            </c:ext>
          </c:extLst>
        </c:ser>
        <c:ser>
          <c:idx val="3"/>
          <c:order val="3"/>
          <c:tx>
            <c:strRef>
              <c:f>SST!$E$4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SST!$E$5:$E$10</c:f>
              <c:numCache>
                <c:formatCode>0</c:formatCode>
                <c:ptCount val="6"/>
                <c:pt idx="0">
                  <c:v>40.5</c:v>
                </c:pt>
                <c:pt idx="1">
                  <c:v>75.849999999999994</c:v>
                </c:pt>
                <c:pt idx="2">
                  <c:v>10</c:v>
                </c:pt>
                <c:pt idx="3">
                  <c:v>10</c:v>
                </c:pt>
                <c:pt idx="4">
                  <c:v>5.5</c:v>
                </c:pt>
                <c:pt idx="5">
                  <c:v>118.49666666666667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1B-DF4C-AF49-301E4D5FB664}"/>
            </c:ext>
          </c:extLst>
        </c:ser>
        <c:ser>
          <c:idx val="4"/>
          <c:order val="4"/>
          <c:tx>
            <c:strRef>
              <c:f>SST!$F$4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SST!$F$5:$F$10</c:f>
              <c:numCache>
                <c:formatCode>0</c:formatCode>
                <c:ptCount val="6"/>
                <c:pt idx="0">
                  <c:v>181.5</c:v>
                </c:pt>
                <c:pt idx="1">
                  <c:v>52.15</c:v>
                </c:pt>
                <c:pt idx="2">
                  <c:v>10</c:v>
                </c:pt>
                <c:pt idx="3">
                  <c:v>11</c:v>
                </c:pt>
                <c:pt idx="4">
                  <c:v>275</c:v>
                </c:pt>
                <c:pt idx="5">
                  <c:v>658.6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1B-DF4C-AF49-301E4D5FB664}"/>
            </c:ext>
          </c:extLst>
        </c:ser>
        <c:ser>
          <c:idx val="5"/>
          <c:order val="5"/>
          <c:tx>
            <c:strRef>
              <c:f>SST!$G$4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SST!$G$5:$G$10</c:f>
              <c:numCache>
                <c:formatCode>0</c:formatCode>
                <c:ptCount val="6"/>
                <c:pt idx="0">
                  <c:v>10</c:v>
                </c:pt>
                <c:pt idx="1">
                  <c:v>83.5</c:v>
                </c:pt>
                <c:pt idx="2">
                  <c:v>10</c:v>
                </c:pt>
                <c:pt idx="3">
                  <c:v>10</c:v>
                </c:pt>
                <c:pt idx="4">
                  <c:v>44.5</c:v>
                </c:pt>
                <c:pt idx="5">
                  <c:v>239.33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1B-DF4C-AF49-301E4D5FB664}"/>
            </c:ext>
          </c:extLst>
        </c:ser>
        <c:ser>
          <c:idx val="6"/>
          <c:order val="6"/>
          <c:tx>
            <c:strRef>
              <c:f>SST!$H$4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SST!$H$5:$H$10</c:f>
              <c:numCache>
                <c:formatCode>0</c:formatCode>
                <c:ptCount val="6"/>
                <c:pt idx="0">
                  <c:v>221.5</c:v>
                </c:pt>
                <c:pt idx="1">
                  <c:v>58</c:v>
                </c:pt>
                <c:pt idx="2">
                  <c:v>10.5</c:v>
                </c:pt>
                <c:pt idx="3">
                  <c:v>10</c:v>
                </c:pt>
                <c:pt idx="4">
                  <c:v>437</c:v>
                </c:pt>
                <c:pt idx="5">
                  <c:v>118.66333333333334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1B-DF4C-AF49-301E4D5FB664}"/>
            </c:ext>
          </c:extLst>
        </c:ser>
        <c:ser>
          <c:idx val="7"/>
          <c:order val="7"/>
          <c:tx>
            <c:strRef>
              <c:f>SST!$I$4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SST!$A$5:$A$10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SST!$I$5:$I$10</c:f>
              <c:numCache>
                <c:formatCode>0</c:formatCode>
                <c:ptCount val="6"/>
                <c:pt idx="0">
                  <c:v>329.5</c:v>
                </c:pt>
                <c:pt idx="1">
                  <c:v>64.05</c:v>
                </c:pt>
                <c:pt idx="2">
                  <c:v>10</c:v>
                </c:pt>
                <c:pt idx="3">
                  <c:v>10</c:v>
                </c:pt>
                <c:pt idx="4">
                  <c:v>311</c:v>
                </c:pt>
                <c:pt idx="5">
                  <c:v>62.233333333333327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1B-DF4C-AF49-301E4D5F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Nitrógeno Total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NT!$B$4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NT!$B$5:$B$10</c:f>
              <c:numCache>
                <c:formatCode>0</c:formatCode>
                <c:ptCount val="6"/>
                <c:pt idx="0" formatCode="0.0">
                  <c:v>0.35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6-6448-84CF-35E2A2809C01}"/>
            </c:ext>
          </c:extLst>
        </c:ser>
        <c:ser>
          <c:idx val="1"/>
          <c:order val="1"/>
          <c:tx>
            <c:strRef>
              <c:f>NT!$C$4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NT!$C$5:$C$10</c:f>
              <c:numCache>
                <c:formatCode>0</c:formatCode>
                <c:ptCount val="6"/>
                <c:pt idx="0" formatCode="0.0">
                  <c:v>0.5</c:v>
                </c:pt>
                <c:pt idx="1">
                  <c:v>3.4950000000000001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6-6448-84CF-35E2A2809C01}"/>
            </c:ext>
          </c:extLst>
        </c:ser>
        <c:ser>
          <c:idx val="2"/>
          <c:order val="2"/>
          <c:tx>
            <c:strRef>
              <c:f>NT!$D$4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NT!$D$5:$D$10</c:f>
              <c:numCache>
                <c:formatCode>0</c:formatCode>
                <c:ptCount val="6"/>
                <c:pt idx="0" formatCode="0.0">
                  <c:v>0.35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6-6448-84CF-35E2A2809C01}"/>
            </c:ext>
          </c:extLst>
        </c:ser>
        <c:ser>
          <c:idx val="3"/>
          <c:order val="3"/>
          <c:tx>
            <c:strRef>
              <c:f>NT!$E$4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NT!$E$5:$E$10</c:f>
              <c:numCache>
                <c:formatCode>0</c:formatCode>
                <c:ptCount val="6"/>
                <c:pt idx="0" formatCode="0.0">
                  <c:v>0.35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D6-6448-84CF-35E2A2809C01}"/>
            </c:ext>
          </c:extLst>
        </c:ser>
        <c:ser>
          <c:idx val="4"/>
          <c:order val="4"/>
          <c:tx>
            <c:strRef>
              <c:f>NT!$F$4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NT!$F$5:$F$10</c:f>
              <c:numCache>
                <c:formatCode>0</c:formatCode>
                <c:ptCount val="6"/>
                <c:pt idx="0" formatCode="0.0">
                  <c:v>0.3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D6-6448-84CF-35E2A2809C01}"/>
            </c:ext>
          </c:extLst>
        </c:ser>
        <c:ser>
          <c:idx val="5"/>
          <c:order val="5"/>
          <c:tx>
            <c:strRef>
              <c:f>NT!$G$4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NT!$G$5:$G$10</c:f>
              <c:numCache>
                <c:formatCode>0</c:formatCode>
                <c:ptCount val="6"/>
                <c:pt idx="0" formatCode="0.0">
                  <c:v>0.3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D6-6448-84CF-35E2A2809C01}"/>
            </c:ext>
          </c:extLst>
        </c:ser>
        <c:ser>
          <c:idx val="6"/>
          <c:order val="6"/>
          <c:tx>
            <c:strRef>
              <c:f>NT!$H$4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NT!$H$5:$H$10</c:f>
              <c:numCache>
                <c:formatCode>0</c:formatCode>
                <c:ptCount val="6"/>
                <c:pt idx="0" formatCode="0.0">
                  <c:v>2.5</c:v>
                </c:pt>
                <c:pt idx="1">
                  <c:v>3.5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D6-6448-84CF-35E2A2809C01}"/>
            </c:ext>
          </c:extLst>
        </c:ser>
        <c:ser>
          <c:idx val="7"/>
          <c:order val="7"/>
          <c:tx>
            <c:strRef>
              <c:f>NT!$I$4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NT!$A$5:$A$10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NT!$I$5:$I$10</c:f>
              <c:numCache>
                <c:formatCode>0</c:formatCode>
                <c:ptCount val="6"/>
                <c:pt idx="0" formatCode="0.0">
                  <c:v>1.4</c:v>
                </c:pt>
                <c:pt idx="1">
                  <c:v>3.5</c:v>
                </c:pt>
                <c:pt idx="2">
                  <c:v>6.03</c:v>
                </c:pt>
                <c:pt idx="3">
                  <c:v>5</c:v>
                </c:pt>
                <c:pt idx="4">
                  <c:v>1</c:v>
                </c:pt>
                <c:pt idx="5">
                  <c:v>1.4666666666666668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D6-6448-84CF-35E2A2809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6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Tendencia</a:t>
            </a:r>
            <a:r>
              <a:rPr lang="es-MX" baseline="0"/>
              <a:t> de Fósforo Total Cuenca río Las Ceibas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PT!$B$4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ln w="28575" cap="rnd">
              <a:solidFill>
                <a:srgbClr val="FF2F92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PT!$B$5:$B$10</c:f>
              <c:numCache>
                <c:formatCode>0.0</c:formatCode>
                <c:ptCount val="6"/>
                <c:pt idx="0">
                  <c:v>0.48599999999999999</c:v>
                </c:pt>
                <c:pt idx="1">
                  <c:v>0.1</c:v>
                </c:pt>
                <c:pt idx="2">
                  <c:v>1.69</c:v>
                </c:pt>
                <c:pt idx="3">
                  <c:v>0.2</c:v>
                </c:pt>
                <c:pt idx="4">
                  <c:v>1.2</c:v>
                </c:pt>
                <c:pt idx="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0-E346-9B11-CAFA6908EF92}"/>
            </c:ext>
          </c:extLst>
        </c:ser>
        <c:ser>
          <c:idx val="1"/>
          <c:order val="1"/>
          <c:tx>
            <c:strRef>
              <c:f>PT!$C$4</c:f>
              <c:strCache>
                <c:ptCount val="1"/>
                <c:pt idx="0">
                  <c:v>Q. La Plata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PT!$C$5:$C$10</c:f>
              <c:numCache>
                <c:formatCode>0.0</c:formatCode>
                <c:ptCount val="6"/>
                <c:pt idx="0">
                  <c:v>0.47649999999999998</c:v>
                </c:pt>
                <c:pt idx="1">
                  <c:v>9.5000000000000001E-2</c:v>
                </c:pt>
                <c:pt idx="2">
                  <c:v>0.2</c:v>
                </c:pt>
                <c:pt idx="3">
                  <c:v>0.2</c:v>
                </c:pt>
                <c:pt idx="4" formatCode="0.00">
                  <c:v>0.05</c:v>
                </c:pt>
                <c:pt idx="5">
                  <c:v>9.7333333333333341E-2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0-E346-9B11-CAFA6908EF92}"/>
            </c:ext>
          </c:extLst>
        </c:ser>
        <c:ser>
          <c:idx val="2"/>
          <c:order val="2"/>
          <c:tx>
            <c:strRef>
              <c:f>PT!$D$4</c:f>
              <c:strCache>
                <c:ptCount val="1"/>
                <c:pt idx="0">
                  <c:v>Q. Motilón</c:v>
                </c:pt>
              </c:strCache>
            </c:strRef>
          </c:tx>
          <c:spPr>
            <a:ln w="28575" cap="rnd">
              <a:solidFill>
                <a:srgbClr val="424242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PT!$D$5:$D$10</c:f>
              <c:numCache>
                <c:formatCode>0.0</c:formatCode>
                <c:ptCount val="6"/>
                <c:pt idx="0">
                  <c:v>0.61299999999999999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 formatCode="0.00">
                  <c:v>0.05</c:v>
                </c:pt>
                <c:pt idx="5">
                  <c:v>0.23800000000000002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0-E346-9B11-CAFA6908EF92}"/>
            </c:ext>
          </c:extLst>
        </c:ser>
        <c:ser>
          <c:idx val="3"/>
          <c:order val="3"/>
          <c:tx>
            <c:strRef>
              <c:f>PT!$E$4</c:f>
              <c:strCache>
                <c:ptCount val="1"/>
                <c:pt idx="0">
                  <c:v>Q. San Bartolo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PT!$E$5:$E$10</c:f>
              <c:numCache>
                <c:formatCode>0.0</c:formatCode>
                <c:ptCount val="6"/>
                <c:pt idx="0">
                  <c:v>0.57199999999999995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 formatCode="0.00">
                  <c:v>0.05</c:v>
                </c:pt>
                <c:pt idx="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F0-E346-9B11-CAFA6908EF92}"/>
            </c:ext>
          </c:extLst>
        </c:ser>
        <c:ser>
          <c:idx val="4"/>
          <c:order val="4"/>
          <c:tx>
            <c:strRef>
              <c:f>PT!$F$4</c:f>
              <c:strCache>
                <c:ptCount val="1"/>
                <c:pt idx="0">
                  <c:v>B. El Guayabo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PT!$F$5:$F$10</c:f>
              <c:numCache>
                <c:formatCode>0.0</c:formatCode>
                <c:ptCount val="6"/>
                <c:pt idx="0">
                  <c:v>0.68399999999999994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 formatCode="0.000">
                  <c:v>0.99399999999999999</c:v>
                </c:pt>
                <c:pt idx="5">
                  <c:v>0.56233333333333335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F0-E346-9B11-CAFA6908EF92}"/>
            </c:ext>
          </c:extLst>
        </c:ser>
        <c:ser>
          <c:idx val="5"/>
          <c:order val="5"/>
          <c:tx>
            <c:strRef>
              <c:f>PT!$G$4</c:f>
              <c:strCache>
                <c:ptCount val="1"/>
                <c:pt idx="0">
                  <c:v>Q. Los Micos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PT!$G$5:$G$10</c:f>
              <c:numCache>
                <c:formatCode>0.0</c:formatCode>
                <c:ptCount val="6"/>
                <c:pt idx="0">
                  <c:v>0.33400000000000002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 formatCode="0.00">
                  <c:v>0.05</c:v>
                </c:pt>
                <c:pt idx="5">
                  <c:v>0.19133333333333333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F0-E346-9B11-CAFA6908EF92}"/>
            </c:ext>
          </c:extLst>
        </c:ser>
        <c:ser>
          <c:idx val="6"/>
          <c:order val="6"/>
          <c:tx>
            <c:strRef>
              <c:f>PT!$H$4</c:f>
              <c:strCache>
                <c:ptCount val="1"/>
                <c:pt idx="0">
                  <c:v>B. El Tomo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PT!$H$5:$H$10</c:f>
              <c:numCache>
                <c:formatCode>0.0</c:formatCode>
                <c:ptCount val="6"/>
                <c:pt idx="0">
                  <c:v>0.64900000000000002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 formatCode="0.000">
                  <c:v>0.59799999999999998</c:v>
                </c:pt>
                <c:pt idx="5">
                  <c:v>0.13899999999999998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F0-E346-9B11-CAFA6908EF92}"/>
            </c:ext>
          </c:extLst>
        </c:ser>
        <c:ser>
          <c:idx val="7"/>
          <c:order val="7"/>
          <c:tx>
            <c:strRef>
              <c:f>PT!$I$4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PT!$A$5:$A$10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PT!$I$5:$I$10</c:f>
              <c:numCache>
                <c:formatCode>0.0</c:formatCode>
                <c:ptCount val="6"/>
                <c:pt idx="0">
                  <c:v>1.0425</c:v>
                </c:pt>
                <c:pt idx="1">
                  <c:v>0.1</c:v>
                </c:pt>
                <c:pt idx="2">
                  <c:v>0.23499999999999999</c:v>
                </c:pt>
                <c:pt idx="3">
                  <c:v>0.2</c:v>
                </c:pt>
                <c:pt idx="4" formatCode="0.00">
                  <c:v>0.05</c:v>
                </c:pt>
                <c:pt idx="5">
                  <c:v>0.25299999999999995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F0-E346-9B11-CAFA6908E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F25665-DD4D-2041-8B75-9A8580E96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192381</xdr:colOff>
      <xdr:row>3</xdr:row>
      <xdr:rowOff>499412</xdr:rowOff>
    </xdr:from>
    <xdr:to>
      <xdr:col>16</xdr:col>
      <xdr:colOff>628536</xdr:colOff>
      <xdr:row>20</xdr:row>
      <xdr:rowOff>53043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0C4E451-DD93-F5D4-4E9B-A0AC0090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787400</xdr:colOff>
      <xdr:row>4</xdr:row>
      <xdr:rowOff>76805</xdr:rowOff>
    </xdr:from>
    <xdr:to>
      <xdr:col>16</xdr:col>
      <xdr:colOff>226786</xdr:colOff>
      <xdr:row>4</xdr:row>
      <xdr:rowOff>529167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040089E-3FA0-3448-A8EC-594DD6EA856C}"/>
            </a:ext>
          </a:extLst>
        </xdr:cNvPr>
        <xdr:cNvSpPr txBox="1"/>
      </xdr:nvSpPr>
      <xdr:spPr>
        <a:xfrm>
          <a:off x="16722876" y="1316567"/>
          <a:ext cx="1102481" cy="45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C00000"/>
              </a:solidFill>
            </a:rPr>
            <a:t>Límite</a:t>
          </a:r>
        </a:p>
        <a:p>
          <a:r>
            <a:rPr lang="es-MX" sz="1100" b="1">
              <a:solidFill>
                <a:srgbClr val="C00000"/>
              </a:solidFill>
            </a:rPr>
            <a:t>Dec.</a:t>
          </a:r>
          <a:r>
            <a:rPr lang="es-MX" sz="1100" b="1" baseline="0">
              <a:solidFill>
                <a:srgbClr val="C00000"/>
              </a:solidFill>
            </a:rPr>
            <a:t> 1076/2015</a:t>
          </a:r>
          <a:endParaRPr lang="es-MX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14</xdr:col>
      <xdr:colOff>773491</xdr:colOff>
      <xdr:row>12</xdr:row>
      <xdr:rowOff>17538</xdr:rowOff>
    </xdr:from>
    <xdr:to>
      <xdr:col>16</xdr:col>
      <xdr:colOff>212877</xdr:colOff>
      <xdr:row>14</xdr:row>
      <xdr:rowOff>61685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9818D69-F1F5-6046-B296-AF10814D0186}"/>
            </a:ext>
          </a:extLst>
        </xdr:cNvPr>
        <xdr:cNvSpPr txBox="1"/>
      </xdr:nvSpPr>
      <xdr:spPr>
        <a:xfrm>
          <a:off x="16708967" y="3283252"/>
          <a:ext cx="1102481" cy="45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C00000"/>
              </a:solidFill>
            </a:rPr>
            <a:t>Límite</a:t>
          </a:r>
        </a:p>
        <a:p>
          <a:r>
            <a:rPr lang="es-MX" sz="1100" b="1">
              <a:solidFill>
                <a:srgbClr val="C00000"/>
              </a:solidFill>
            </a:rPr>
            <a:t>Dec.</a:t>
          </a:r>
          <a:r>
            <a:rPr lang="es-MX" sz="1100" b="1" baseline="0">
              <a:solidFill>
                <a:srgbClr val="C00000"/>
              </a:solidFill>
            </a:rPr>
            <a:t> 1076/2015</a:t>
          </a:r>
          <a:endParaRPr lang="es-MX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9BC84B-F386-DE46-ACB3-E73D6BA8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6C9A86-8B75-DE49-88EF-1E7B345AD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B07054-FF7C-A940-9B85-88912A5C4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CEBDE1-BA71-AA4A-A5DE-F15479CF8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177262</xdr:colOff>
      <xdr:row>0</xdr:row>
      <xdr:rowOff>106317</xdr:rowOff>
    </xdr:from>
    <xdr:to>
      <xdr:col>16</xdr:col>
      <xdr:colOff>613417</xdr:colOff>
      <xdr:row>20</xdr:row>
      <xdr:rowOff>7686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57897A-72E4-8C48-8876-77EC6EA8A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F72D-3FAE-3F4B-BC30-C9C441D859C2}">
  <dimension ref="A1:I10"/>
  <sheetViews>
    <sheetView tabSelected="1" zoomScale="84" workbookViewId="0"/>
  </sheetViews>
  <sheetFormatPr baseColWidth="10" defaultRowHeight="16" x14ac:dyDescent="0.2"/>
  <cols>
    <col min="1" max="1" width="29.1640625" style="1" bestFit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0" t="s">
        <v>12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6">
        <f>AVERAGE(7.37,6.94)</f>
        <v>7.1550000000000002</v>
      </c>
      <c r="C5" s="6">
        <f>AVERAGE(7.25,6.98)</f>
        <v>7.1150000000000002</v>
      </c>
      <c r="D5" s="6">
        <f>AVERAGE(7.08,6.99)</f>
        <v>7.0350000000000001</v>
      </c>
      <c r="E5" s="6">
        <f>AVERAGE(7.11,7.66)</f>
        <v>7.3849999999999998</v>
      </c>
      <c r="F5" s="6">
        <f>AVERAGE(7.32,7.75)</f>
        <v>7.5350000000000001</v>
      </c>
      <c r="G5" s="6">
        <f>AVERAGE(7.79,9.02)</f>
        <v>8.4049999999999994</v>
      </c>
      <c r="H5" s="6">
        <f>AVERAGE(8.24,8.77)</f>
        <v>8.504999999999999</v>
      </c>
      <c r="I5" s="6">
        <f>AVERAGE(8.62,9.11)</f>
        <v>8.8649999999999984</v>
      </c>
    </row>
    <row r="6" spans="1:9" x14ac:dyDescent="0.2">
      <c r="A6" s="11">
        <v>2018</v>
      </c>
      <c r="B6" s="6">
        <f>AVERAGE(7.36,6.5)</f>
        <v>6.93</v>
      </c>
      <c r="C6" s="6">
        <f>AVERAGE(8.45,6.5)</f>
        <v>7.4749999999999996</v>
      </c>
      <c r="D6" s="6">
        <f>AVERAGE(8.43,7.5)</f>
        <v>7.9649999999999999</v>
      </c>
      <c r="E6" s="6">
        <f>AVERAGE(7.87,6.7)</f>
        <v>7.2850000000000001</v>
      </c>
      <c r="F6" s="6">
        <f>AVERAGE(7.86,5.8)</f>
        <v>6.83</v>
      </c>
      <c r="G6" s="6">
        <f>AVERAGE(8.23,5.4)</f>
        <v>6.8150000000000004</v>
      </c>
      <c r="H6" s="6">
        <f>AVERAGE(7.65,5.4)</f>
        <v>6.5250000000000004</v>
      </c>
      <c r="I6" s="6">
        <f>AVERAGE(5.09,4.9)</f>
        <v>4.9950000000000001</v>
      </c>
    </row>
    <row r="7" spans="1:9" x14ac:dyDescent="0.2">
      <c r="A7" s="2">
        <v>2019</v>
      </c>
      <c r="B7" s="7">
        <v>7.2</v>
      </c>
      <c r="C7" s="7">
        <v>6.34</v>
      </c>
      <c r="D7" s="7">
        <v>7.12</v>
      </c>
      <c r="E7" s="7">
        <v>7.03</v>
      </c>
      <c r="F7" s="7">
        <v>7.02</v>
      </c>
      <c r="G7" s="7">
        <v>7.97</v>
      </c>
      <c r="H7" s="7">
        <v>7.96</v>
      </c>
      <c r="I7" s="7">
        <v>8.2799999999999994</v>
      </c>
    </row>
    <row r="8" spans="1:9" x14ac:dyDescent="0.2">
      <c r="A8" s="2">
        <v>2021</v>
      </c>
      <c r="B8" s="7">
        <v>7.05</v>
      </c>
      <c r="C8" s="7">
        <v>6.71</v>
      </c>
      <c r="D8" s="7">
        <v>7.12</v>
      </c>
      <c r="E8" s="7">
        <v>6.92</v>
      </c>
      <c r="F8" s="7">
        <v>7.07</v>
      </c>
      <c r="G8" s="7">
        <v>6.91</v>
      </c>
      <c r="H8" s="7">
        <v>6.93</v>
      </c>
      <c r="I8" s="7">
        <v>6.43</v>
      </c>
    </row>
    <row r="9" spans="1:9" x14ac:dyDescent="0.2">
      <c r="A9" s="2">
        <v>2022</v>
      </c>
      <c r="B9" s="7">
        <v>7</v>
      </c>
      <c r="C9" s="7">
        <v>7.4</v>
      </c>
      <c r="D9" s="7">
        <v>7</v>
      </c>
      <c r="E9" s="6">
        <v>6.88</v>
      </c>
      <c r="F9" s="7">
        <v>6.24</v>
      </c>
      <c r="G9" s="7">
        <v>7.56</v>
      </c>
      <c r="H9" s="6">
        <v>7.23</v>
      </c>
      <c r="I9" s="7">
        <v>6.5</v>
      </c>
    </row>
    <row r="10" spans="1:9" x14ac:dyDescent="0.2">
      <c r="A10" s="2">
        <v>2023</v>
      </c>
      <c r="B10" s="8">
        <f>AVERAGE(8.4,8.1,3)</f>
        <v>6.5</v>
      </c>
      <c r="C10" s="8">
        <f>AVERAGE(8.14,7.92,3)</f>
        <v>6.3533333333333344</v>
      </c>
      <c r="D10" s="8">
        <f>AVERAGE(7.59,8.03,2.5)</f>
        <v>6.0399999999999991</v>
      </c>
      <c r="E10" s="8">
        <f>AVERAGE(7.76,8.24,4)</f>
        <v>6.666666666666667</v>
      </c>
      <c r="F10" s="8">
        <f>AVERAGE(7.79,8.22,3.2)</f>
        <v>6.4033333333333333</v>
      </c>
      <c r="G10" s="8">
        <f>AVERAGE(7.81,8.13,2.9)</f>
        <v>6.28</v>
      </c>
      <c r="H10" s="8">
        <f>AVERAGE(7.89,8.03,2.8)</f>
        <v>6.2399999999999993</v>
      </c>
      <c r="I10" s="8">
        <f>AVERAGE(7.35,5.5,2.9)</f>
        <v>5.25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CF2E-8A9B-8A43-AF38-9953190CC9F1}">
  <dimension ref="A1:I23"/>
  <sheetViews>
    <sheetView zoomScale="84" workbookViewId="0">
      <selection activeCell="A2" sqref="A2"/>
    </sheetView>
  </sheetViews>
  <sheetFormatPr baseColWidth="10" defaultRowHeight="16" x14ac:dyDescent="0.2"/>
  <cols>
    <col min="1" max="1" width="29.1640625" style="1" bestFit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" t="s">
        <v>0</v>
      </c>
    </row>
    <row r="3" spans="1:9" x14ac:dyDescent="0.2">
      <c r="A3" s="2" t="s">
        <v>1</v>
      </c>
      <c r="B3" s="2">
        <v>2017</v>
      </c>
      <c r="C3" s="2">
        <v>2018</v>
      </c>
      <c r="D3" s="2">
        <v>2019</v>
      </c>
      <c r="E3" s="2">
        <v>2021</v>
      </c>
      <c r="F3" s="2">
        <v>2022</v>
      </c>
      <c r="G3" s="2">
        <v>2023</v>
      </c>
      <c r="H3" s="3"/>
      <c r="I3" s="3"/>
    </row>
    <row r="4" spans="1:9" ht="51" x14ac:dyDescent="0.2">
      <c r="A4" s="2" t="s">
        <v>10</v>
      </c>
      <c r="B4" s="2" t="s">
        <v>0</v>
      </c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4" t="s">
        <v>11</v>
      </c>
      <c r="I4" s="4" t="s">
        <v>11</v>
      </c>
    </row>
    <row r="5" spans="1:9" ht="51" x14ac:dyDescent="0.2">
      <c r="A5" s="2"/>
      <c r="B5" s="2">
        <v>2017</v>
      </c>
      <c r="C5" s="2">
        <v>2018</v>
      </c>
      <c r="D5" s="2">
        <v>2019</v>
      </c>
      <c r="E5" s="2">
        <v>2021</v>
      </c>
      <c r="F5" s="2">
        <v>2022</v>
      </c>
      <c r="G5" s="2">
        <v>2023</v>
      </c>
      <c r="H5" s="4" t="s">
        <v>11</v>
      </c>
      <c r="I5" s="4" t="s">
        <v>11</v>
      </c>
    </row>
    <row r="6" spans="1:9" x14ac:dyDescent="0.2">
      <c r="A6" s="5" t="s">
        <v>2</v>
      </c>
      <c r="B6" s="6">
        <f>AVERAGE(6.94,7.25)</f>
        <v>7.0950000000000006</v>
      </c>
      <c r="C6" s="6">
        <f>AVERAGE(7.11,6.4)</f>
        <v>6.7550000000000008</v>
      </c>
      <c r="D6" s="7">
        <v>7.7</v>
      </c>
      <c r="E6" s="7">
        <v>7.52</v>
      </c>
      <c r="F6" s="7">
        <v>7.74</v>
      </c>
      <c r="G6" s="8">
        <f>AVERAGE(7.8,8,7.6)</f>
        <v>7.8</v>
      </c>
      <c r="H6" s="9">
        <v>5</v>
      </c>
      <c r="I6" s="9">
        <v>9</v>
      </c>
    </row>
    <row r="7" spans="1:9" x14ac:dyDescent="0.2">
      <c r="A7" s="5" t="s">
        <v>3</v>
      </c>
      <c r="B7" s="6">
        <f>AVERAGE(6.74,7.35)</f>
        <v>7.0449999999999999</v>
      </c>
      <c r="C7" s="6">
        <f>AVERAGE(7.38,6.7)</f>
        <v>7.04</v>
      </c>
      <c r="D7" s="7">
        <v>7.46</v>
      </c>
      <c r="E7" s="7">
        <v>7.81</v>
      </c>
      <c r="F7" s="7">
        <v>7.57</v>
      </c>
      <c r="G7" s="8">
        <f>AVERAGE(7.7,8.35,7.94)</f>
        <v>7.996666666666667</v>
      </c>
      <c r="H7" s="9">
        <v>5</v>
      </c>
      <c r="I7" s="9">
        <v>9</v>
      </c>
    </row>
    <row r="8" spans="1:9" x14ac:dyDescent="0.2">
      <c r="A8" s="5" t="s">
        <v>4</v>
      </c>
      <c r="B8" s="6">
        <f>AVERAGE(6.68,7.53)</f>
        <v>7.1050000000000004</v>
      </c>
      <c r="C8" s="6">
        <f>AVERAGE(7.55,5.5)</f>
        <v>6.5250000000000004</v>
      </c>
      <c r="D8" s="7">
        <v>7.57</v>
      </c>
      <c r="E8" s="7">
        <v>8.01</v>
      </c>
      <c r="F8" s="7">
        <v>7.74</v>
      </c>
      <c r="G8" s="8">
        <f>AVERAGE(7.86,8.42,7.97)</f>
        <v>8.0833333333333339</v>
      </c>
      <c r="H8" s="9">
        <v>5</v>
      </c>
      <c r="I8" s="9">
        <v>9</v>
      </c>
    </row>
    <row r="9" spans="1:9" x14ac:dyDescent="0.2">
      <c r="A9" s="5" t="s">
        <v>5</v>
      </c>
      <c r="B9" s="6">
        <f>AVERAGE(6.79,7.61)</f>
        <v>7.2</v>
      </c>
      <c r="C9" s="6">
        <f>AVERAGE(7.15,5.7)</f>
        <v>6.4250000000000007</v>
      </c>
      <c r="D9" s="7">
        <v>7.94</v>
      </c>
      <c r="E9" s="7">
        <v>7.91</v>
      </c>
      <c r="F9" s="6">
        <v>7.3</v>
      </c>
      <c r="G9" s="8">
        <f>AVERAGE(7.72,8,7.92)</f>
        <v>7.88</v>
      </c>
      <c r="H9" s="9">
        <v>5</v>
      </c>
      <c r="I9" s="9">
        <v>9</v>
      </c>
    </row>
    <row r="10" spans="1:9" x14ac:dyDescent="0.2">
      <c r="A10" s="5" t="s">
        <v>6</v>
      </c>
      <c r="B10" s="6">
        <f>AVERAGE(7.06,7.61)</f>
        <v>7.335</v>
      </c>
      <c r="C10" s="6">
        <f>AVERAGE(7.4,6.4)</f>
        <v>6.9</v>
      </c>
      <c r="D10" s="7">
        <v>7.95</v>
      </c>
      <c r="E10" s="7">
        <v>7.65</v>
      </c>
      <c r="F10" s="7">
        <v>7.37</v>
      </c>
      <c r="G10" s="8">
        <f>AVERAGE(7.78,8.06,7.71)</f>
        <v>7.8500000000000005</v>
      </c>
      <c r="H10" s="9">
        <v>5</v>
      </c>
      <c r="I10" s="9">
        <v>9</v>
      </c>
    </row>
    <row r="11" spans="1:9" x14ac:dyDescent="0.2">
      <c r="A11" s="5" t="s">
        <v>7</v>
      </c>
      <c r="B11" s="6">
        <f>AVERAGE(7.16,6.8)</f>
        <v>6.98</v>
      </c>
      <c r="C11" s="6">
        <f>AVERAGE(7.2,5.7)</f>
        <v>6.45</v>
      </c>
      <c r="D11" s="7">
        <v>7.97</v>
      </c>
      <c r="E11" s="7">
        <v>7.86</v>
      </c>
      <c r="F11" s="7">
        <v>8.0399999999999991</v>
      </c>
      <c r="G11" s="8">
        <f>AVERAGE(7.6,7.81,8.36)</f>
        <v>7.9233333333333329</v>
      </c>
      <c r="H11" s="9">
        <v>5</v>
      </c>
      <c r="I11" s="9">
        <v>9</v>
      </c>
    </row>
    <row r="12" spans="1:9" x14ac:dyDescent="0.2">
      <c r="A12" s="5" t="s">
        <v>8</v>
      </c>
      <c r="B12" s="6">
        <f>AVERAGE(7.18,6.9)</f>
        <v>7.04</v>
      </c>
      <c r="C12" s="6">
        <f>AVERAGE(7.3,6.4)</f>
        <v>6.85</v>
      </c>
      <c r="D12" s="7">
        <v>7.99</v>
      </c>
      <c r="E12" s="7">
        <v>7.85</v>
      </c>
      <c r="F12" s="6">
        <v>7.7</v>
      </c>
      <c r="G12" s="8">
        <f>AVERAGE(7.96,7.82,8.03)</f>
        <v>7.9366666666666674</v>
      </c>
      <c r="H12" s="9">
        <v>5</v>
      </c>
      <c r="I12" s="9">
        <v>9</v>
      </c>
    </row>
    <row r="13" spans="1:9" x14ac:dyDescent="0.2">
      <c r="A13" s="5" t="s">
        <v>9</v>
      </c>
      <c r="B13" s="6">
        <f>AVERAGE(7.9,7.3)</f>
        <v>7.6</v>
      </c>
      <c r="C13" s="6">
        <f>AVERAGE(7.2,5.9)</f>
        <v>6.5500000000000007</v>
      </c>
      <c r="D13" s="7">
        <v>7.95</v>
      </c>
      <c r="E13" s="7">
        <v>7.81</v>
      </c>
      <c r="F13" s="7">
        <v>7.88</v>
      </c>
      <c r="G13" s="8">
        <f>AVERAGE(8.4,7.77,7.15)</f>
        <v>7.7733333333333334</v>
      </c>
      <c r="H13" s="9">
        <v>5</v>
      </c>
      <c r="I13" s="9">
        <v>9</v>
      </c>
    </row>
    <row r="14" spans="1:9" ht="17" x14ac:dyDescent="0.2">
      <c r="A14" s="4" t="s">
        <v>11</v>
      </c>
      <c r="B14" s="9">
        <v>5</v>
      </c>
      <c r="C14" s="9">
        <v>5</v>
      </c>
      <c r="D14" s="9">
        <v>5</v>
      </c>
      <c r="E14" s="9">
        <v>5</v>
      </c>
      <c r="F14" s="9">
        <v>5</v>
      </c>
      <c r="G14" s="9">
        <v>5</v>
      </c>
    </row>
    <row r="15" spans="1:9" ht="17" x14ac:dyDescent="0.2">
      <c r="A15" s="4" t="s">
        <v>11</v>
      </c>
      <c r="B15">
        <v>9</v>
      </c>
      <c r="C15">
        <v>9</v>
      </c>
      <c r="D15">
        <v>9</v>
      </c>
      <c r="E15">
        <v>9</v>
      </c>
      <c r="F15">
        <v>9</v>
      </c>
      <c r="G15">
        <v>9</v>
      </c>
    </row>
    <row r="17" spans="1:9" x14ac:dyDescent="0.2">
      <c r="A17" s="10"/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  <c r="H17" s="5" t="s">
        <v>8</v>
      </c>
      <c r="I17" s="5" t="s">
        <v>9</v>
      </c>
    </row>
    <row r="18" spans="1:9" x14ac:dyDescent="0.2">
      <c r="A18" s="2">
        <v>2017</v>
      </c>
      <c r="B18" s="6">
        <f>AVERAGE(6.94,7.25)</f>
        <v>7.0950000000000006</v>
      </c>
      <c r="C18" s="6">
        <f>AVERAGE(6.74,7.35)</f>
        <v>7.0449999999999999</v>
      </c>
      <c r="D18" s="6">
        <f>AVERAGE(6.68,7.53)</f>
        <v>7.1050000000000004</v>
      </c>
      <c r="E18" s="6">
        <f>AVERAGE(6.79,7.61)</f>
        <v>7.2</v>
      </c>
      <c r="F18" s="6">
        <f>AVERAGE(7.06,7.61)</f>
        <v>7.335</v>
      </c>
      <c r="G18" s="6">
        <f>AVERAGE(7.16,6.8)</f>
        <v>6.98</v>
      </c>
      <c r="H18" s="6">
        <f>AVERAGE(7.18,6.9)</f>
        <v>7.04</v>
      </c>
      <c r="I18" s="6">
        <f>AVERAGE(7.9,7.3)</f>
        <v>7.6</v>
      </c>
    </row>
    <row r="19" spans="1:9" x14ac:dyDescent="0.2">
      <c r="A19" s="11">
        <v>2018</v>
      </c>
      <c r="B19" s="6">
        <f>AVERAGE(7.11,6.4)</f>
        <v>6.7550000000000008</v>
      </c>
      <c r="C19" s="6">
        <f>AVERAGE(7.38,6.7)</f>
        <v>7.04</v>
      </c>
      <c r="D19" s="6">
        <f>AVERAGE(7.55,5.5)</f>
        <v>6.5250000000000004</v>
      </c>
      <c r="E19" s="6">
        <f>AVERAGE(7.15,5.7)</f>
        <v>6.4250000000000007</v>
      </c>
      <c r="F19" s="6">
        <f>AVERAGE(7.4,6.4)</f>
        <v>6.9</v>
      </c>
      <c r="G19" s="6">
        <f>AVERAGE(7.2,5.7)</f>
        <v>6.45</v>
      </c>
      <c r="H19" s="6">
        <f>AVERAGE(7.3,6.4)</f>
        <v>6.85</v>
      </c>
      <c r="I19" s="6">
        <f>AVERAGE(7.2,5.9)</f>
        <v>6.5500000000000007</v>
      </c>
    </row>
    <row r="20" spans="1:9" x14ac:dyDescent="0.2">
      <c r="A20" s="2">
        <v>2019</v>
      </c>
      <c r="B20" s="7">
        <v>7.7</v>
      </c>
      <c r="C20" s="7">
        <v>7.46</v>
      </c>
      <c r="D20" s="7">
        <v>7.57</v>
      </c>
      <c r="E20" s="7">
        <v>7.94</v>
      </c>
      <c r="F20" s="7">
        <v>7.95</v>
      </c>
      <c r="G20" s="7">
        <v>7.97</v>
      </c>
      <c r="H20" s="7">
        <v>7.99</v>
      </c>
      <c r="I20" s="7">
        <v>7.95</v>
      </c>
    </row>
    <row r="21" spans="1:9" x14ac:dyDescent="0.2">
      <c r="A21" s="2">
        <v>2021</v>
      </c>
      <c r="B21" s="7">
        <v>7.52</v>
      </c>
      <c r="C21" s="7">
        <v>7.81</v>
      </c>
      <c r="D21" s="7">
        <v>8.01</v>
      </c>
      <c r="E21" s="7">
        <v>7.91</v>
      </c>
      <c r="F21" s="7">
        <v>7.65</v>
      </c>
      <c r="G21" s="7">
        <v>7.86</v>
      </c>
      <c r="H21" s="7">
        <v>7.85</v>
      </c>
      <c r="I21" s="7">
        <v>7.81</v>
      </c>
    </row>
    <row r="22" spans="1:9" x14ac:dyDescent="0.2">
      <c r="A22" s="2">
        <v>2022</v>
      </c>
      <c r="B22" s="7">
        <v>7.74</v>
      </c>
      <c r="C22" s="7">
        <v>7.57</v>
      </c>
      <c r="D22" s="7">
        <v>7.74</v>
      </c>
      <c r="E22" s="6">
        <v>7.3</v>
      </c>
      <c r="F22" s="7">
        <v>7.37</v>
      </c>
      <c r="G22" s="7">
        <v>8.0399999999999991</v>
      </c>
      <c r="H22" s="6">
        <v>7.7</v>
      </c>
      <c r="I22" s="7">
        <v>7.88</v>
      </c>
    </row>
    <row r="23" spans="1:9" x14ac:dyDescent="0.2">
      <c r="A23" s="2">
        <v>2023</v>
      </c>
      <c r="B23" s="8">
        <f>AVERAGE(7.8,8,7.6)</f>
        <v>7.8</v>
      </c>
      <c r="C23" s="8">
        <f>AVERAGE(7.7,8.35,7.94)</f>
        <v>7.996666666666667</v>
      </c>
      <c r="D23" s="8">
        <f>AVERAGE(7.86,8.42,7.97)</f>
        <v>8.0833333333333339</v>
      </c>
      <c r="E23" s="8">
        <f>AVERAGE(7.72,8,7.92)</f>
        <v>7.88</v>
      </c>
      <c r="F23" s="8">
        <f>AVERAGE(7.78,8.06,7.71)</f>
        <v>7.8500000000000005</v>
      </c>
      <c r="G23" s="8">
        <f>AVERAGE(7.6,7.81,8.36)</f>
        <v>7.9233333333333329</v>
      </c>
      <c r="H23" s="8">
        <f>AVERAGE(7.96,7.82,8.03)</f>
        <v>7.9366666666666674</v>
      </c>
      <c r="I23" s="8">
        <f>AVERAGE(8.4,7.77,7.15)</f>
        <v>7.7733333333333334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30CD-93B3-BF4E-AF43-52FD7FA8ACF7}">
  <dimension ref="A1:I10"/>
  <sheetViews>
    <sheetView zoomScale="119" workbookViewId="0">
      <selection activeCell="B7" sqref="B7"/>
    </sheetView>
  </sheetViews>
  <sheetFormatPr baseColWidth="10" defaultRowHeight="16" x14ac:dyDescent="0.2"/>
  <cols>
    <col min="1" max="1" width="29.1640625" style="1" bestFit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0" t="s">
        <v>13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6">
        <f>AVERAGE(29,30)</f>
        <v>29.5</v>
      </c>
      <c r="C5" s="6">
        <f>AVERAGE(20,23)</f>
        <v>21.5</v>
      </c>
      <c r="D5" s="6">
        <f>AVERAGE(10,25)</f>
        <v>17.5</v>
      </c>
      <c r="E5" s="6">
        <f>AVERAGE(14,19)</f>
        <v>16.5</v>
      </c>
      <c r="F5" s="6">
        <f>AVERAGE(10,25)</f>
        <v>17.5</v>
      </c>
      <c r="G5" s="6">
        <f>AVERAGE(10,24)</f>
        <v>17</v>
      </c>
      <c r="H5" s="6">
        <f>AVERAGE(19,29)</f>
        <v>24</v>
      </c>
      <c r="I5" s="6">
        <f>AVERAGE(26,41)</f>
        <v>33.5</v>
      </c>
    </row>
    <row r="6" spans="1:9" x14ac:dyDescent="0.2">
      <c r="A6" s="11">
        <v>2018</v>
      </c>
      <c r="B6" s="6">
        <f>AVERAGE(20,20)</f>
        <v>20</v>
      </c>
      <c r="C6" s="6">
        <f>AVERAGE(20,20)</f>
        <v>20</v>
      </c>
      <c r="D6" s="6">
        <f>AVERAGE(28,20)</f>
        <v>24</v>
      </c>
      <c r="E6" s="6">
        <f>AVERAGE(20,20)</f>
        <v>20</v>
      </c>
      <c r="F6" s="6">
        <f>AVERAGE(20,20)</f>
        <v>20</v>
      </c>
      <c r="G6" s="6">
        <f>AVERAGE(27,20)</f>
        <v>23.5</v>
      </c>
      <c r="H6" s="6">
        <f>AVERAGE(20,20)</f>
        <v>20</v>
      </c>
      <c r="I6" s="6">
        <f>AVERAGE(20,20)</f>
        <v>20</v>
      </c>
    </row>
    <row r="7" spans="1:9" x14ac:dyDescent="0.2">
      <c r="A7" s="2">
        <v>2019</v>
      </c>
      <c r="B7" s="7">
        <v>10</v>
      </c>
      <c r="C7" s="7">
        <v>10</v>
      </c>
      <c r="D7" s="7">
        <v>10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</row>
    <row r="8" spans="1:9" x14ac:dyDescent="0.2">
      <c r="A8" s="2">
        <v>2021</v>
      </c>
      <c r="B8" s="7">
        <v>10</v>
      </c>
      <c r="C8" s="7">
        <v>10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</row>
    <row r="9" spans="1:9" x14ac:dyDescent="0.2">
      <c r="A9" s="2">
        <v>2022</v>
      </c>
      <c r="B9" s="7">
        <v>16.100000000000001</v>
      </c>
      <c r="C9" s="7">
        <v>11.8</v>
      </c>
      <c r="D9" s="7">
        <v>14.7</v>
      </c>
      <c r="E9" s="6">
        <v>10</v>
      </c>
      <c r="F9" s="7">
        <v>18.899999999999999</v>
      </c>
      <c r="G9" s="7">
        <v>10.6</v>
      </c>
      <c r="H9" s="6">
        <v>20</v>
      </c>
      <c r="I9" s="7">
        <v>10</v>
      </c>
    </row>
    <row r="10" spans="1:9" x14ac:dyDescent="0.2">
      <c r="A10" s="2">
        <v>2023</v>
      </c>
      <c r="B10" s="8">
        <f>AVERAGE(14.9,12.7,25)</f>
        <v>17.533333333333335</v>
      </c>
      <c r="C10" s="8">
        <f>AVERAGE(10,26.7,25)</f>
        <v>20.566666666666666</v>
      </c>
      <c r="D10" s="8">
        <f>AVERAGE(16.1,13.9,25)</f>
        <v>18.333333333333332</v>
      </c>
      <c r="E10" s="8">
        <f>AVERAGE(10,33.4,25)</f>
        <v>22.8</v>
      </c>
      <c r="F10" s="8">
        <f>AVERAGE(0,41.8,25)</f>
        <v>22.266666666666666</v>
      </c>
      <c r="G10" s="8">
        <f>AVERAGE(15.5,70.3,25)</f>
        <v>36.93333333333333</v>
      </c>
      <c r="H10" s="8">
        <f>AVERAGE(10,10,25)</f>
        <v>15</v>
      </c>
      <c r="I10" s="8">
        <f>AVERAGE(10,12.7,25)</f>
        <v>15.9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EC85-89B4-B142-9092-560D188AD4F3}">
  <dimension ref="A1:I10"/>
  <sheetViews>
    <sheetView workbookViewId="0">
      <selection activeCell="K22" sqref="K22"/>
    </sheetView>
  </sheetViews>
  <sheetFormatPr baseColWidth="10" defaultRowHeight="16" x14ac:dyDescent="0.2"/>
  <cols>
    <col min="1" max="1" width="25" style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0" t="s">
        <v>14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12">
        <f>AVERAGE(184.1,342)</f>
        <v>263.05</v>
      </c>
      <c r="C5" s="12">
        <f>AVERAGE(180,163.5)</f>
        <v>171.75</v>
      </c>
      <c r="D5" s="12">
        <f>AVERAGE(394,201.5)</f>
        <v>297.75</v>
      </c>
      <c r="E5" s="12">
        <f>AVERAGE(181.4,161.2)</f>
        <v>171.3</v>
      </c>
      <c r="F5" s="12">
        <f>AVERAGE(103.6,137.3)</f>
        <v>120.45</v>
      </c>
      <c r="G5" s="12">
        <f>AVERAGE(247,170)</f>
        <v>208.5</v>
      </c>
      <c r="H5" s="12">
        <f>AVERAGE(120,120)</f>
        <v>120</v>
      </c>
      <c r="I5" s="12">
        <f>AVERAGE(200,148.2)</f>
        <v>174.1</v>
      </c>
    </row>
    <row r="6" spans="1:9" x14ac:dyDescent="0.2">
      <c r="A6" s="11">
        <v>2018</v>
      </c>
      <c r="B6" s="12">
        <f>AVERAGE(72.2,312)</f>
        <v>192.1</v>
      </c>
      <c r="C6" s="12">
        <f>AVERAGE(164,125)</f>
        <v>144.5</v>
      </c>
      <c r="D6" s="12">
        <f>AVERAGE(206,325)</f>
        <v>265.5</v>
      </c>
      <c r="E6" s="12">
        <f>AVERAGE(163,225)</f>
        <v>194</v>
      </c>
      <c r="F6" s="12">
        <f>AVERAGE(146,123)</f>
        <v>134.5</v>
      </c>
      <c r="G6" s="12">
        <f>AVERAGE(265,98)</f>
        <v>181.5</v>
      </c>
      <c r="H6" s="12">
        <f>AVERAGE(160,152)</f>
        <v>156</v>
      </c>
      <c r="I6" s="12">
        <f>AVERAGE(171,197)</f>
        <v>184</v>
      </c>
    </row>
    <row r="7" spans="1:9" x14ac:dyDescent="0.2">
      <c r="A7" s="2">
        <v>2019</v>
      </c>
      <c r="B7" s="12">
        <v>73</v>
      </c>
      <c r="C7" s="12">
        <v>153</v>
      </c>
      <c r="D7" s="12">
        <v>125</v>
      </c>
      <c r="E7" s="12">
        <v>129</v>
      </c>
      <c r="F7" s="12">
        <v>143</v>
      </c>
      <c r="G7" s="12">
        <v>235</v>
      </c>
      <c r="H7" s="12">
        <v>169</v>
      </c>
      <c r="I7" s="12">
        <v>225</v>
      </c>
    </row>
    <row r="8" spans="1:9" x14ac:dyDescent="0.2">
      <c r="A8" s="2">
        <v>2021</v>
      </c>
      <c r="B8" s="12">
        <v>74</v>
      </c>
      <c r="C8" s="12">
        <v>147</v>
      </c>
      <c r="D8" s="12">
        <v>170</v>
      </c>
      <c r="E8" s="12">
        <v>138</v>
      </c>
      <c r="F8" s="12">
        <v>130</v>
      </c>
      <c r="G8" s="12">
        <v>150</v>
      </c>
      <c r="H8" s="12">
        <v>150</v>
      </c>
      <c r="I8" s="12">
        <v>180</v>
      </c>
    </row>
    <row r="9" spans="1:9" x14ac:dyDescent="0.2">
      <c r="A9" s="2">
        <v>2022</v>
      </c>
      <c r="B9" s="12">
        <v>101</v>
      </c>
      <c r="C9" s="12">
        <v>100</v>
      </c>
      <c r="D9" s="12">
        <v>101</v>
      </c>
      <c r="E9" s="12">
        <v>131</v>
      </c>
      <c r="F9" s="12">
        <v>98</v>
      </c>
      <c r="G9" s="12">
        <v>196</v>
      </c>
      <c r="H9" s="12">
        <v>120</v>
      </c>
      <c r="I9" s="12">
        <v>138</v>
      </c>
    </row>
    <row r="10" spans="1:9" x14ac:dyDescent="0.2">
      <c r="A10" s="2">
        <v>2023</v>
      </c>
      <c r="B10" s="12">
        <f>AVERAGE(58.3,72.5)</f>
        <v>65.400000000000006</v>
      </c>
      <c r="C10" s="12">
        <f>AVERAGE(117,103,127)</f>
        <v>115.66666666666667</v>
      </c>
      <c r="D10" s="12">
        <f>AVERAGE(146,110,146)</f>
        <v>134</v>
      </c>
      <c r="E10" s="12">
        <f>AVERAGE(117,82,136.5)</f>
        <v>111.83333333333333</v>
      </c>
      <c r="F10" s="12">
        <f>AVERAGE(128,90,126)</f>
        <v>114.66666666666667</v>
      </c>
      <c r="G10" s="12">
        <f>AVERAGE(272,19.7,319)</f>
        <v>203.56666666666669</v>
      </c>
      <c r="H10" s="12">
        <f>AVERAGE(155,132,166)</f>
        <v>151</v>
      </c>
      <c r="I10" s="12">
        <f>AVERAGE(165,92,160)</f>
        <v>139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987C-9D3F-9544-AD38-7355592AA243}">
  <dimension ref="A1:I10"/>
  <sheetViews>
    <sheetView workbookViewId="0">
      <selection activeCell="I25" sqref="I25"/>
    </sheetView>
  </sheetViews>
  <sheetFormatPr baseColWidth="10" defaultRowHeight="16" x14ac:dyDescent="0.2"/>
  <cols>
    <col min="1" max="1" width="25" style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3" t="s">
        <v>15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12">
        <f>AVERAGE(10,10)</f>
        <v>10</v>
      </c>
      <c r="C5" s="12">
        <f>AVERAGE(10,10)</f>
        <v>10</v>
      </c>
      <c r="D5" s="12">
        <f>AVERAGE(136,10)</f>
        <v>73</v>
      </c>
      <c r="E5" s="12">
        <f>AVERAGE(41,40)</f>
        <v>40.5</v>
      </c>
      <c r="F5" s="12">
        <f>AVERAGE(320,43)</f>
        <v>181.5</v>
      </c>
      <c r="G5" s="12">
        <f>AVERAGE(10,10)</f>
        <v>10</v>
      </c>
      <c r="H5" s="12">
        <f>AVERAGE(396,47)</f>
        <v>221.5</v>
      </c>
      <c r="I5" s="12">
        <f>AVERAGE(627,32)</f>
        <v>329.5</v>
      </c>
    </row>
    <row r="6" spans="1:9" x14ac:dyDescent="0.2">
      <c r="A6" s="11">
        <v>2018</v>
      </c>
      <c r="B6" s="12">
        <f>AVERAGE(39.7,9)</f>
        <v>24.35</v>
      </c>
      <c r="C6" s="12">
        <f>AVERAGE(90.2,8)</f>
        <v>49.1</v>
      </c>
      <c r="D6" s="12">
        <f>AVERAGE(113,16)</f>
        <v>64.5</v>
      </c>
      <c r="E6" s="12">
        <f>AVERAGE(89.7,62)</f>
        <v>75.849999999999994</v>
      </c>
      <c r="F6" s="12">
        <f>AVERAGE(80.3,24)</f>
        <v>52.15</v>
      </c>
      <c r="G6" s="12">
        <f>AVERAGE(146,21)</f>
        <v>83.5</v>
      </c>
      <c r="H6" s="12">
        <f>AVERAGE(88,28)</f>
        <v>58</v>
      </c>
      <c r="I6" s="12">
        <f>AVERAGE(94.1,34)</f>
        <v>64.05</v>
      </c>
    </row>
    <row r="7" spans="1:9" x14ac:dyDescent="0.2">
      <c r="A7" s="2">
        <v>2019</v>
      </c>
      <c r="B7" s="12">
        <v>10</v>
      </c>
      <c r="C7" s="12">
        <v>53</v>
      </c>
      <c r="D7" s="12">
        <v>10</v>
      </c>
      <c r="E7" s="12">
        <v>10</v>
      </c>
      <c r="F7" s="12">
        <v>10</v>
      </c>
      <c r="G7" s="12">
        <v>10</v>
      </c>
      <c r="H7" s="12">
        <v>10.5</v>
      </c>
      <c r="I7" s="12">
        <v>10</v>
      </c>
    </row>
    <row r="8" spans="1:9" x14ac:dyDescent="0.2">
      <c r="A8" s="2">
        <v>2021</v>
      </c>
      <c r="B8" s="12">
        <v>10</v>
      </c>
      <c r="C8" s="12">
        <v>10</v>
      </c>
      <c r="D8" s="12">
        <v>10</v>
      </c>
      <c r="E8" s="12">
        <v>10</v>
      </c>
      <c r="F8" s="12">
        <v>11</v>
      </c>
      <c r="G8" s="12">
        <v>10</v>
      </c>
      <c r="H8" s="12">
        <v>10</v>
      </c>
      <c r="I8" s="12">
        <v>10</v>
      </c>
    </row>
    <row r="9" spans="1:9" x14ac:dyDescent="0.2">
      <c r="A9" s="2">
        <v>2022</v>
      </c>
      <c r="B9" s="12">
        <v>337</v>
      </c>
      <c r="C9" s="12">
        <v>11</v>
      </c>
      <c r="D9" s="12">
        <v>5.5</v>
      </c>
      <c r="E9" s="12">
        <v>5.5</v>
      </c>
      <c r="F9" s="12">
        <v>275</v>
      </c>
      <c r="G9" s="12">
        <v>44.5</v>
      </c>
      <c r="H9" s="12">
        <v>437</v>
      </c>
      <c r="I9" s="12">
        <v>311</v>
      </c>
    </row>
    <row r="10" spans="1:9" x14ac:dyDescent="0.2">
      <c r="A10" s="2">
        <v>2023</v>
      </c>
      <c r="B10" s="12">
        <f>AVERAGE(5.5,8.2,9.99)</f>
        <v>7.8966666666666656</v>
      </c>
      <c r="C10" s="12">
        <f>AVERAGE(5.5,147,9.99)</f>
        <v>54.163333333333334</v>
      </c>
      <c r="D10" s="12">
        <f>AVERAGE(5.5,185,18.1)</f>
        <v>69.533333333333331</v>
      </c>
      <c r="E10" s="12">
        <f>AVERAGE(5.5,340,9.99)</f>
        <v>118.49666666666667</v>
      </c>
      <c r="F10" s="12">
        <f>AVERAGE(8,1946,21.8)</f>
        <v>658.6</v>
      </c>
      <c r="G10" s="12">
        <f>AVERAGE(109,599,9.99)</f>
        <v>239.33</v>
      </c>
      <c r="H10" s="12">
        <f>AVERAGE(9,337,9.99)</f>
        <v>118.66333333333334</v>
      </c>
      <c r="I10" s="12">
        <f>AVERAGE(20,111,55.7)</f>
        <v>62.233333333333327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4138-C04B-C746-ABE4-EB7AAD84BFEE}">
  <dimension ref="A1:I10"/>
  <sheetViews>
    <sheetView workbookViewId="0">
      <selection activeCell="B5" sqref="B5"/>
    </sheetView>
  </sheetViews>
  <sheetFormatPr baseColWidth="10" defaultRowHeight="16" x14ac:dyDescent="0.2"/>
  <cols>
    <col min="1" max="1" width="25" style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3" t="s">
        <v>16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8">
        <f>AVERAGE(0.3,0.4)</f>
        <v>0.35</v>
      </c>
      <c r="C5" s="8">
        <f>AVERAGE(0.3,0.7)</f>
        <v>0.5</v>
      </c>
      <c r="D5" s="8">
        <f t="shared" ref="C5:I5" si="0">AVERAGE(0.3,0.4)</f>
        <v>0.35</v>
      </c>
      <c r="E5" s="8">
        <f t="shared" si="0"/>
        <v>0.35</v>
      </c>
      <c r="F5" s="8">
        <f>AVERAGE(0.3,0.3)</f>
        <v>0.3</v>
      </c>
      <c r="G5" s="8">
        <f>AVERAGE(0.3,0.3)</f>
        <v>0.3</v>
      </c>
      <c r="H5" s="8">
        <f>AVERAGE(4.7,0.3)</f>
        <v>2.5</v>
      </c>
      <c r="I5" s="8">
        <f>AVERAGE(2.5,0.3)</f>
        <v>1.4</v>
      </c>
    </row>
    <row r="6" spans="1:9" x14ac:dyDescent="0.2">
      <c r="A6" s="11">
        <v>2018</v>
      </c>
      <c r="B6" s="12">
        <f>AVERAGE(3,4)</f>
        <v>3.5</v>
      </c>
      <c r="C6" s="12">
        <f>AVERAGE(2.99,4)</f>
        <v>3.4950000000000001</v>
      </c>
      <c r="D6" s="12">
        <f t="shared" ref="C6:I6" si="1">AVERAGE(3,4)</f>
        <v>3.5</v>
      </c>
      <c r="E6" s="12">
        <f t="shared" si="1"/>
        <v>3.5</v>
      </c>
      <c r="F6" s="12">
        <f t="shared" si="1"/>
        <v>3.5</v>
      </c>
      <c r="G6" s="12">
        <f t="shared" si="1"/>
        <v>3.5</v>
      </c>
      <c r="H6" s="12">
        <f t="shared" si="1"/>
        <v>3.5</v>
      </c>
      <c r="I6" s="12">
        <f t="shared" si="1"/>
        <v>3.5</v>
      </c>
    </row>
    <row r="7" spans="1:9" x14ac:dyDescent="0.2">
      <c r="A7" s="2">
        <v>2019</v>
      </c>
      <c r="B7" s="12">
        <v>5</v>
      </c>
      <c r="C7" s="12">
        <v>5</v>
      </c>
      <c r="D7" s="12">
        <v>5</v>
      </c>
      <c r="E7" s="12">
        <v>5</v>
      </c>
      <c r="F7" s="12">
        <v>5</v>
      </c>
      <c r="G7" s="12">
        <v>5</v>
      </c>
      <c r="H7" s="12">
        <v>5</v>
      </c>
      <c r="I7" s="12">
        <v>6.03</v>
      </c>
    </row>
    <row r="8" spans="1:9" x14ac:dyDescent="0.2">
      <c r="A8" s="2">
        <v>2021</v>
      </c>
      <c r="B8" s="12">
        <v>5</v>
      </c>
      <c r="C8" s="12">
        <v>5</v>
      </c>
      <c r="D8" s="12">
        <v>5</v>
      </c>
      <c r="E8" s="12">
        <v>5</v>
      </c>
      <c r="F8" s="12">
        <v>5</v>
      </c>
      <c r="G8" s="12">
        <v>5</v>
      </c>
      <c r="H8" s="12">
        <v>5</v>
      </c>
      <c r="I8" s="12">
        <v>5</v>
      </c>
    </row>
    <row r="9" spans="1:9" x14ac:dyDescent="0.2">
      <c r="A9" s="2">
        <v>2022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3</v>
      </c>
      <c r="I9" s="12">
        <v>1</v>
      </c>
    </row>
    <row r="10" spans="1:9" x14ac:dyDescent="0.2">
      <c r="A10" s="2">
        <v>2023</v>
      </c>
      <c r="B10" s="12">
        <f>AVERAGE(2,2,0.101)</f>
        <v>1.367</v>
      </c>
      <c r="C10" s="12">
        <f t="shared" ref="C10:I10" si="2">AVERAGE(2,2,0.101)</f>
        <v>1.367</v>
      </c>
      <c r="D10" s="12">
        <f t="shared" si="2"/>
        <v>1.367</v>
      </c>
      <c r="E10" s="12">
        <f t="shared" si="2"/>
        <v>1.367</v>
      </c>
      <c r="F10" s="12">
        <f t="shared" si="2"/>
        <v>1.367</v>
      </c>
      <c r="G10" s="12">
        <f t="shared" si="2"/>
        <v>1.367</v>
      </c>
      <c r="H10" s="12">
        <f t="shared" si="2"/>
        <v>1.367</v>
      </c>
      <c r="I10" s="12">
        <f>AVERAGE(2,2,0.4)</f>
        <v>1.4666666666666668</v>
      </c>
    </row>
  </sheetData>
  <pageMargins left="0.7" right="0.7" top="0.75" bottom="0.75" header="0.3" footer="0.3"/>
  <ignoredErrors>
    <ignoredError sqref="C5:C6 F5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B7A4-943A-BE4F-A61B-D6A0E4C90E64}">
  <dimension ref="A1:I10"/>
  <sheetViews>
    <sheetView workbookViewId="0">
      <selection activeCell="H10" sqref="H10"/>
    </sheetView>
  </sheetViews>
  <sheetFormatPr baseColWidth="10" defaultRowHeight="16" x14ac:dyDescent="0.2"/>
  <cols>
    <col min="1" max="1" width="25" style="1" customWidth="1"/>
    <col min="2" max="2" width="29.1640625" bestFit="1" customWidth="1"/>
    <col min="3" max="4" width="10" bestFit="1" customWidth="1"/>
    <col min="5" max="5" width="13" bestFit="1" customWidth="1"/>
    <col min="6" max="6" width="12.5" bestFit="1" customWidth="1"/>
    <col min="7" max="7" width="11.5" bestFit="1" customWidth="1"/>
    <col min="8" max="8" width="10.33203125" bestFit="1" customWidth="1"/>
    <col min="9" max="9" width="29" bestFit="1" customWidth="1"/>
  </cols>
  <sheetData>
    <row r="1" spans="1:9" x14ac:dyDescent="0.2">
      <c r="A1" s="13" t="s">
        <v>17</v>
      </c>
    </row>
    <row r="4" spans="1:9" x14ac:dyDescent="0.2">
      <c r="A4" s="10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">
      <c r="A5" s="2">
        <v>2017</v>
      </c>
      <c r="B5" s="8">
        <f>AVERAGE(0.26,0.712)</f>
        <v>0.48599999999999999</v>
      </c>
      <c r="C5" s="8">
        <f>AVERAGE(0.244,0.709)</f>
        <v>0.47649999999999998</v>
      </c>
      <c r="D5" s="8">
        <f>AVERAGE(0.81,0.416)</f>
        <v>0.61299999999999999</v>
      </c>
      <c r="E5" s="8">
        <f>AVERAGE(0.291,0.853)</f>
        <v>0.57199999999999995</v>
      </c>
      <c r="F5" s="8">
        <f>AVERAGE(0.647,0.721)</f>
        <v>0.68399999999999994</v>
      </c>
      <c r="G5" s="8">
        <f>AVERAGE(0.401,0.267)</f>
        <v>0.33400000000000002</v>
      </c>
      <c r="H5" s="8">
        <f>AVERAGE(0.627,0.671)</f>
        <v>0.64900000000000002</v>
      </c>
      <c r="I5" s="8">
        <f>AVERAGE(1.244,0.841)</f>
        <v>1.0425</v>
      </c>
    </row>
    <row r="6" spans="1:9" x14ac:dyDescent="0.2">
      <c r="A6" s="11">
        <v>2018</v>
      </c>
      <c r="B6" s="8">
        <f>AVERAGE(0.1,0.1)</f>
        <v>0.1</v>
      </c>
      <c r="C6" s="8">
        <f>AVERAGE(0.09,0.1)</f>
        <v>9.5000000000000001E-2</v>
      </c>
      <c r="D6" s="8">
        <f t="shared" ref="C6:I6" si="0">AVERAGE(0.1,0.1)</f>
        <v>0.1</v>
      </c>
      <c r="E6" s="8">
        <f t="shared" si="0"/>
        <v>0.1</v>
      </c>
      <c r="F6" s="8">
        <f t="shared" si="0"/>
        <v>0.1</v>
      </c>
      <c r="G6" s="8">
        <f t="shared" si="0"/>
        <v>0.1</v>
      </c>
      <c r="H6" s="8">
        <f t="shared" si="0"/>
        <v>0.1</v>
      </c>
      <c r="I6" s="8">
        <f t="shared" si="0"/>
        <v>0.1</v>
      </c>
    </row>
    <row r="7" spans="1:9" x14ac:dyDescent="0.2">
      <c r="A7" s="2">
        <v>2019</v>
      </c>
      <c r="B7" s="8">
        <v>1.69</v>
      </c>
      <c r="C7" s="8">
        <v>0.2</v>
      </c>
      <c r="D7" s="8">
        <v>0.2</v>
      </c>
      <c r="E7" s="8">
        <v>0.2</v>
      </c>
      <c r="F7" s="8">
        <v>0.2</v>
      </c>
      <c r="G7" s="8">
        <v>0.2</v>
      </c>
      <c r="H7" s="8">
        <v>0.2</v>
      </c>
      <c r="I7" s="8">
        <v>0.23499999999999999</v>
      </c>
    </row>
    <row r="8" spans="1:9" x14ac:dyDescent="0.2">
      <c r="A8" s="2">
        <v>2021</v>
      </c>
      <c r="B8" s="8">
        <v>0.2</v>
      </c>
      <c r="C8" s="8">
        <v>0.2</v>
      </c>
      <c r="D8" s="8">
        <v>0.2</v>
      </c>
      <c r="E8" s="8">
        <v>0.2</v>
      </c>
      <c r="F8" s="8">
        <v>0.2</v>
      </c>
      <c r="G8" s="8">
        <v>0.2</v>
      </c>
      <c r="H8" s="8">
        <v>0.2</v>
      </c>
      <c r="I8" s="8">
        <v>0.2</v>
      </c>
    </row>
    <row r="9" spans="1:9" x14ac:dyDescent="0.2">
      <c r="A9" s="2">
        <v>2022</v>
      </c>
      <c r="B9" s="8">
        <v>1.2</v>
      </c>
      <c r="C9" s="6">
        <v>0.05</v>
      </c>
      <c r="D9" s="6">
        <v>0.05</v>
      </c>
      <c r="E9" s="6">
        <v>0.05</v>
      </c>
      <c r="F9" s="14">
        <v>0.99399999999999999</v>
      </c>
      <c r="G9" s="6">
        <v>0.05</v>
      </c>
      <c r="H9" s="14">
        <v>0.59799999999999998</v>
      </c>
      <c r="I9" s="6">
        <v>0.05</v>
      </c>
    </row>
    <row r="10" spans="1:9" x14ac:dyDescent="0.2">
      <c r="A10" s="2">
        <v>2023</v>
      </c>
      <c r="B10" s="8">
        <f>AVERAGE(0.05,0.05,0.11)</f>
        <v>7.0000000000000007E-2</v>
      </c>
      <c r="C10" s="8">
        <f>AVERAGE(0.062,0.13,0.1)</f>
        <v>9.7333333333333341E-2</v>
      </c>
      <c r="D10" s="8">
        <f>AVERAGE(0.05,0.542,0.122)</f>
        <v>0.23800000000000002</v>
      </c>
      <c r="E10" s="8">
        <f t="shared" ref="C10:I10" si="1">AVERAGE(0.05,0.05,0.11)</f>
        <v>7.0000000000000007E-2</v>
      </c>
      <c r="F10" s="8">
        <f>AVERAGE(0.062,1.5,0.125)</f>
        <v>0.56233333333333335</v>
      </c>
      <c r="G10" s="8">
        <f>AVERAGE(0.05,0.43,0.094)</f>
        <v>0.19133333333333333</v>
      </c>
      <c r="H10" s="8">
        <f>AVERAGE(0.05,0.317,0.05)</f>
        <v>0.13899999999999998</v>
      </c>
      <c r="I10" s="8">
        <f>AVERAGE(0.095,0.472,0.192)</f>
        <v>0.25299999999999995</v>
      </c>
    </row>
  </sheetData>
  <pageMargins left="0.7" right="0.7" top="0.75" bottom="0.75" header="0.3" footer="0.3"/>
  <ignoredErrors>
    <ignoredError sqref="C5:C6 C10 F1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OD</vt:lpstr>
      <vt:lpstr>pH</vt:lpstr>
      <vt:lpstr>DQO</vt:lpstr>
      <vt:lpstr>CE</vt:lpstr>
      <vt:lpstr>SST</vt:lpstr>
      <vt:lpstr>NT</vt:lpstr>
      <vt:lpstr>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 Bonilla Esteban</dc:creator>
  <cp:lastModifiedBy>Maria Alejandra  Bonilla Esteban</cp:lastModifiedBy>
  <dcterms:created xsi:type="dcterms:W3CDTF">2024-10-04T01:15:21Z</dcterms:created>
  <dcterms:modified xsi:type="dcterms:W3CDTF">2024-10-17T04:21:09Z</dcterms:modified>
</cp:coreProperties>
</file>