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4.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drawings/drawing14.xml" ContentType="application/vnd.openxmlformats-officedocument.drawing+xml"/>
  <Override PartName="/xl/comments17.xml" ContentType="application/vnd.openxmlformats-officedocument.spreadsheetml.comments+xml"/>
  <Override PartName="/xl/drawings/drawing15.xml" ContentType="application/vnd.openxmlformats-officedocument.drawing+xml"/>
  <Override PartName="/xl/comments18.xml" ContentType="application/vnd.openxmlformats-officedocument.spreadsheetml.comments+xml"/>
  <Override PartName="/xl/drawings/drawing16.xml" ContentType="application/vnd.openxmlformats-officedocument.drawing+xml"/>
  <Override PartName="/xl/comments19.xml" ContentType="application/vnd.openxmlformats-officedocument.spreadsheetml.comments+xml"/>
  <Override PartName="/xl/drawings/drawing17.xml" ContentType="application/vnd.openxmlformats-officedocument.drawing+xml"/>
  <Override PartName="/xl/comments20.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omments22.xml" ContentType="application/vnd.openxmlformats-officedocument.spreadsheetml.comments+xml"/>
  <Override PartName="/xl/drawings/drawing22.xml" ContentType="application/vnd.openxmlformats-officedocument.drawing+xml"/>
  <Override PartName="/xl/comments23.xml" ContentType="application/vnd.openxmlformats-officedocument.spreadsheetml.comments+xml"/>
  <Override PartName="/xl/drawings/drawing23.xml" ContentType="application/vnd.openxmlformats-officedocument.drawing+xml"/>
  <Override PartName="/xl/comments24.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drawings/drawing32.xml" ContentType="application/vnd.openxmlformats-officedocument.drawing+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eyson\Downloads\"/>
    </mc:Choice>
  </mc:AlternateContent>
  <bookViews>
    <workbookView xWindow="0" yWindow="0" windowWidth="20490" windowHeight="7650" firstSheet="13" activeTab="17"/>
  </bookViews>
  <sheets>
    <sheet name="Estr prop" sheetId="30" state="hidden" r:id="rId1"/>
    <sheet name="Estr actual" sheetId="58" state="hidden" r:id="rId2"/>
    <sheet name="FUENTES" sheetId="79" state="hidden" r:id="rId3"/>
    <sheet name="NOMINA" sheetId="77" state="hidden" r:id="rId4"/>
    <sheet name="COMPARATIVO INDIC" sheetId="80" state="hidden" r:id="rId5"/>
    <sheet name="2021" sheetId="78" state="hidden" r:id="rId6"/>
    <sheet name="Matriz indic " sheetId="88" state="hidden" r:id="rId7"/>
    <sheet name="INDIC" sheetId="86" r:id="rId8"/>
    <sheet name="RESOLUCIONES" sheetId="91" r:id="rId9"/>
    <sheet name="CONSOLIDADO" sheetId="40" r:id="rId10"/>
    <sheet name="320101" sheetId="41" r:id="rId11"/>
    <sheet name="ACCIONES 320101" sheetId="62" r:id="rId12"/>
    <sheet name="320102" sheetId="42" r:id="rId13"/>
    <sheet name="ACCIONES 320102" sheetId="63" r:id="rId14"/>
    <sheet name="320103" sheetId="84" r:id="rId15"/>
    <sheet name="ACCIONES 320103" sheetId="85" r:id="rId16"/>
    <sheet name="320201" sheetId="44" r:id="rId17"/>
    <sheet name="ACCIONES 320201" sheetId="65" r:id="rId18"/>
    <sheet name="320202" sheetId="45" r:id="rId19"/>
    <sheet name="ACCIONES 320202" sheetId="66" r:id="rId20"/>
    <sheet name="320203" sheetId="57" r:id="rId21"/>
    <sheet name="ACCIONES 320203" sheetId="67" r:id="rId22"/>
    <sheet name="320301" sheetId="47" r:id="rId23"/>
    <sheet name="ACCIONES 320301" sheetId="76" r:id="rId24"/>
    <sheet name="320302" sheetId="48" r:id="rId25"/>
    <sheet name="ACCIONES 320302" sheetId="68" r:id="rId26"/>
    <sheet name="320401" sheetId="49" r:id="rId27"/>
    <sheet name="ACCIONES 320401" sheetId="69" r:id="rId28"/>
    <sheet name="320501" sheetId="50" r:id="rId29"/>
    <sheet name="ACCIONES 320501" sheetId="70" r:id="rId30"/>
    <sheet name="320502" sheetId="52" r:id="rId31"/>
    <sheet name="ACCIONES 320502" sheetId="71" r:id="rId32"/>
    <sheet name="320503" sheetId="53" r:id="rId33"/>
    <sheet name="320504" sheetId="59" state="hidden" r:id="rId34"/>
    <sheet name="ACCIONES 320503" sheetId="90" r:id="rId35"/>
    <sheet name="320601" sheetId="54" r:id="rId36"/>
    <sheet name="ACCIONES 320601" sheetId="73" r:id="rId37"/>
    <sheet name="320801" sheetId="51" r:id="rId38"/>
    <sheet name="ACCIONES 320801 " sheetId="89" r:id="rId39"/>
    <sheet name="329901" sheetId="55" r:id="rId40"/>
    <sheet name="ACCIONES 329901" sheetId="87" r:id="rId41"/>
    <sheet name="Hoja1" sheetId="92" r:id="rId42"/>
  </sheets>
  <externalReferences>
    <externalReference r:id="rId43"/>
    <externalReference r:id="rId44"/>
    <externalReference r:id="rId45"/>
    <externalReference r:id="rId46"/>
    <externalReference r:id="rId47"/>
  </externalReferences>
  <definedNames>
    <definedName name="_xlnm._FilterDatabase" localSheetId="17" hidden="1">'ACCIONES 320201'!$A$9:$AF$189</definedName>
    <definedName name="_xlnm._FilterDatabase" localSheetId="7" hidden="1">INDIC!$A$4:$X$92</definedName>
    <definedName name="_xlnm.Print_Area" localSheetId="36">'ACCIONES 320601'!$C$1:$K$30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5" i="85" l="1"/>
  <c r="J35" i="71"/>
  <c r="J23" i="71"/>
  <c r="K23" i="71" s="1"/>
  <c r="M23" i="71" s="1"/>
  <c r="J18" i="71"/>
  <c r="I87" i="68"/>
  <c r="L55" i="68"/>
  <c r="O55" i="68" s="1"/>
  <c r="I55" i="68"/>
  <c r="I54" i="68"/>
  <c r="L54" i="68" s="1"/>
  <c r="O54" i="68" s="1"/>
  <c r="I51" i="68"/>
  <c r="L25" i="69"/>
  <c r="N25" i="69" s="1"/>
  <c r="M21" i="69"/>
  <c r="M13" i="69"/>
  <c r="O143" i="85" l="1"/>
  <c r="Q107" i="85"/>
  <c r="S108" i="85"/>
  <c r="T108" i="85" s="1"/>
  <c r="O51" i="85"/>
  <c r="Q51" i="85"/>
  <c r="O50" i="85"/>
  <c r="Q35" i="85"/>
  <c r="S37" i="85"/>
  <c r="T37" i="85" s="1"/>
  <c r="S36" i="85"/>
  <c r="T36" i="85" s="1"/>
  <c r="T55" i="87" l="1"/>
  <c r="R61" i="87"/>
  <c r="S60" i="87"/>
  <c r="S57" i="87"/>
  <c r="S55" i="87" l="1"/>
  <c r="O17" i="91" l="1"/>
  <c r="M39" i="44" l="1"/>
  <c r="K39" i="44"/>
  <c r="J39" i="44"/>
  <c r="H39" i="44"/>
  <c r="G39" i="44"/>
  <c r="E39" i="44"/>
  <c r="Q191" i="65"/>
  <c r="O191" i="65"/>
  <c r="N191" i="65"/>
  <c r="L191" i="65"/>
  <c r="K191" i="65"/>
  <c r="N84" i="65"/>
  <c r="S87" i="65"/>
  <c r="I84" i="65"/>
  <c r="I191" i="65"/>
  <c r="O186" i="65" l="1"/>
  <c r="I186" i="65"/>
  <c r="L186" i="65" s="1"/>
  <c r="O185" i="65"/>
  <c r="O184" i="65" s="1"/>
  <c r="K185" i="65"/>
  <c r="K184" i="65" s="1"/>
  <c r="J184" i="65"/>
  <c r="I184" i="65"/>
  <c r="O183" i="65"/>
  <c r="O182" i="65" s="1"/>
  <c r="K183" i="65"/>
  <c r="L183" i="65" s="1"/>
  <c r="L182" i="65" s="1"/>
  <c r="K182" i="65"/>
  <c r="J182" i="65"/>
  <c r="I182" i="65"/>
  <c r="O177" i="65"/>
  <c r="Q177" i="65" s="1"/>
  <c r="L177" i="65"/>
  <c r="O176" i="65"/>
  <c r="I176" i="65"/>
  <c r="L176" i="65" s="1"/>
  <c r="N175" i="65"/>
  <c r="O175" i="65" s="1"/>
  <c r="Q175" i="65" s="1"/>
  <c r="L175" i="65"/>
  <c r="O174" i="65"/>
  <c r="Q174" i="65" s="1"/>
  <c r="L174" i="65"/>
  <c r="O173" i="65"/>
  <c r="I173" i="65"/>
  <c r="L173" i="65" s="1"/>
  <c r="O172" i="65"/>
  <c r="I172" i="65"/>
  <c r="L172" i="65" s="1"/>
  <c r="O169" i="65"/>
  <c r="I169" i="65"/>
  <c r="L169" i="65" s="1"/>
  <c r="O168" i="65"/>
  <c r="Q168" i="65" s="1"/>
  <c r="N168" i="65"/>
  <c r="L168" i="65"/>
  <c r="M167" i="65"/>
  <c r="O167" i="65" s="1"/>
  <c r="Q167" i="65" s="1"/>
  <c r="L167" i="65"/>
  <c r="K167" i="65"/>
  <c r="O166" i="65"/>
  <c r="Q166" i="65" s="1"/>
  <c r="L166" i="65"/>
  <c r="J166" i="65"/>
  <c r="M165" i="65"/>
  <c r="O165" i="65" s="1"/>
  <c r="Q165" i="65" s="1"/>
  <c r="L165" i="65"/>
  <c r="O164" i="65"/>
  <c r="Q164" i="65" s="1"/>
  <c r="L164" i="65"/>
  <c r="J164" i="65"/>
  <c r="O162" i="65"/>
  <c r="Q162" i="65" s="1"/>
  <c r="L162" i="65"/>
  <c r="O161" i="65"/>
  <c r="Q161" i="65" s="1"/>
  <c r="L161" i="65"/>
  <c r="O160" i="65"/>
  <c r="I160" i="65"/>
  <c r="L160" i="65" s="1"/>
  <c r="O159" i="65"/>
  <c r="L159" i="65"/>
  <c r="O158" i="65"/>
  <c r="I158" i="65"/>
  <c r="L158" i="65" s="1"/>
  <c r="O157" i="65"/>
  <c r="I157" i="65"/>
  <c r="L157" i="65" s="1"/>
  <c r="O154" i="65"/>
  <c r="Q154" i="65" s="1"/>
  <c r="L154" i="65"/>
  <c r="N153" i="65"/>
  <c r="O153" i="65" s="1"/>
  <c r="Q153" i="65" s="1"/>
  <c r="L153" i="65"/>
  <c r="O152" i="65"/>
  <c r="L152" i="65"/>
  <c r="O151" i="65"/>
  <c r="K151" i="65"/>
  <c r="L151" i="65" s="1"/>
  <c r="O150" i="65"/>
  <c r="L150" i="65"/>
  <c r="O149" i="65"/>
  <c r="L149" i="65"/>
  <c r="M148" i="65"/>
  <c r="O148" i="65" s="1"/>
  <c r="K148" i="65"/>
  <c r="I148" i="65"/>
  <c r="L148" i="65" s="1"/>
  <c r="M147" i="65"/>
  <c r="O147" i="65" s="1"/>
  <c r="Q147" i="65" s="1"/>
  <c r="L147" i="65"/>
  <c r="O146" i="65"/>
  <c r="Q146" i="65" s="1"/>
  <c r="L146" i="65"/>
  <c r="N145" i="65"/>
  <c r="O145" i="65" s="1"/>
  <c r="L145" i="65"/>
  <c r="I144" i="65"/>
  <c r="L144" i="65" s="1"/>
  <c r="Q144" i="65" s="1"/>
  <c r="I143" i="65"/>
  <c r="L143" i="65" s="1"/>
  <c r="Q143" i="65" s="1"/>
  <c r="L142" i="65"/>
  <c r="Q142" i="65" s="1"/>
  <c r="L141" i="65"/>
  <c r="Q141" i="65" s="1"/>
  <c r="O140" i="65"/>
  <c r="I140" i="65"/>
  <c r="L140" i="65" s="1"/>
  <c r="N138" i="65"/>
  <c r="O138" i="65" s="1"/>
  <c r="L138" i="65"/>
  <c r="N137" i="65"/>
  <c r="O137" i="65" s="1"/>
  <c r="L137" i="65"/>
  <c r="O136" i="65"/>
  <c r="I136" i="65"/>
  <c r="L136" i="65" s="1"/>
  <c r="O135" i="65"/>
  <c r="Q135" i="65" s="1"/>
  <c r="L135" i="65"/>
  <c r="N134" i="65"/>
  <c r="O134" i="65" s="1"/>
  <c r="L134" i="65"/>
  <c r="N133" i="65"/>
  <c r="O133" i="65" s="1"/>
  <c r="L133" i="65"/>
  <c r="O132" i="65"/>
  <c r="Q132" i="65" s="1"/>
  <c r="L132" i="65"/>
  <c r="O131" i="65"/>
  <c r="I131" i="65"/>
  <c r="L131" i="65" s="1"/>
  <c r="O130" i="65"/>
  <c r="I130" i="65"/>
  <c r="L130" i="65" s="1"/>
  <c r="O129" i="65"/>
  <c r="I129" i="65"/>
  <c r="L129" i="65" s="1"/>
  <c r="O128" i="65"/>
  <c r="I128" i="65"/>
  <c r="L128" i="65" s="1"/>
  <c r="O127" i="65"/>
  <c r="L127" i="65"/>
  <c r="O126" i="65"/>
  <c r="L126" i="65"/>
  <c r="Q126" i="65" s="1"/>
  <c r="I126" i="65"/>
  <c r="O125" i="65"/>
  <c r="I125" i="65"/>
  <c r="L125" i="65" s="1"/>
  <c r="O124" i="65"/>
  <c r="L124" i="65"/>
  <c r="Q124" i="65" s="1"/>
  <c r="I124" i="65"/>
  <c r="O123" i="65"/>
  <c r="I123" i="65"/>
  <c r="L123" i="65" s="1"/>
  <c r="O122" i="65"/>
  <c r="I122" i="65"/>
  <c r="L122" i="65" s="1"/>
  <c r="Q122" i="65" s="1"/>
  <c r="O121" i="65"/>
  <c r="I121" i="65"/>
  <c r="L121" i="65" s="1"/>
  <c r="L120" i="65"/>
  <c r="Q120" i="65" s="1"/>
  <c r="L119" i="65"/>
  <c r="Q119" i="65" s="1"/>
  <c r="O118" i="65"/>
  <c r="I118" i="65"/>
  <c r="L118" i="65" s="1"/>
  <c r="O117" i="65"/>
  <c r="I117" i="65"/>
  <c r="L117" i="65" s="1"/>
  <c r="Q117" i="65" s="1"/>
  <c r="O116" i="65"/>
  <c r="I116" i="65"/>
  <c r="L116" i="65" s="1"/>
  <c r="O115" i="65"/>
  <c r="I115" i="65"/>
  <c r="L115" i="65" s="1"/>
  <c r="Q115" i="65" s="1"/>
  <c r="O114" i="65"/>
  <c r="I114" i="65"/>
  <c r="L114" i="65" s="1"/>
  <c r="O113" i="65"/>
  <c r="I113" i="65"/>
  <c r="L113" i="65" s="1"/>
  <c r="O112" i="65"/>
  <c r="I112" i="65"/>
  <c r="L112" i="65" s="1"/>
  <c r="O111" i="65"/>
  <c r="I111" i="65"/>
  <c r="L111" i="65" s="1"/>
  <c r="Q111" i="65" s="1"/>
  <c r="O110" i="65"/>
  <c r="I110" i="65"/>
  <c r="L110" i="65" s="1"/>
  <c r="O109" i="65"/>
  <c r="I109" i="65"/>
  <c r="L109" i="65" s="1"/>
  <c r="Q109" i="65" s="1"/>
  <c r="O108" i="65"/>
  <c r="I108" i="65"/>
  <c r="L108" i="65" s="1"/>
  <c r="O107" i="65"/>
  <c r="I107" i="65"/>
  <c r="L107" i="65" s="1"/>
  <c r="O106" i="65"/>
  <c r="I106" i="65"/>
  <c r="L106" i="65" s="1"/>
  <c r="O105" i="65"/>
  <c r="L105" i="65"/>
  <c r="Q105" i="65" s="1"/>
  <c r="I105" i="65"/>
  <c r="O104" i="65"/>
  <c r="I104" i="65"/>
  <c r="L104" i="65" s="1"/>
  <c r="O103" i="65"/>
  <c r="I103" i="65"/>
  <c r="L103" i="65" s="1"/>
  <c r="O102" i="65"/>
  <c r="I102" i="65"/>
  <c r="L102" i="65" s="1"/>
  <c r="O101" i="65"/>
  <c r="I101" i="65"/>
  <c r="L101" i="65" s="1"/>
  <c r="O100" i="65"/>
  <c r="I100" i="65"/>
  <c r="L100" i="65" s="1"/>
  <c r="O99" i="65"/>
  <c r="I99" i="65"/>
  <c r="L99" i="65" s="1"/>
  <c r="O98" i="65"/>
  <c r="I98" i="65"/>
  <c r="L98" i="65" s="1"/>
  <c r="O97" i="65"/>
  <c r="I97" i="65"/>
  <c r="L97" i="65" s="1"/>
  <c r="O96" i="65"/>
  <c r="Q96" i="65" s="1"/>
  <c r="I96" i="65"/>
  <c r="L96" i="65" s="1"/>
  <c r="O95" i="65"/>
  <c r="I95" i="65"/>
  <c r="L95" i="65" s="1"/>
  <c r="Q95" i="65" s="1"/>
  <c r="O94" i="65"/>
  <c r="I94" i="65"/>
  <c r="L94" i="65" s="1"/>
  <c r="O93" i="65"/>
  <c r="I93" i="65"/>
  <c r="L93" i="65" s="1"/>
  <c r="N92" i="65"/>
  <c r="O92" i="65" s="1"/>
  <c r="K92" i="65"/>
  <c r="I92" i="65"/>
  <c r="O91" i="65"/>
  <c r="I91" i="65"/>
  <c r="L91" i="65" s="1"/>
  <c r="O90" i="65"/>
  <c r="I90" i="65"/>
  <c r="L90" i="65" s="1"/>
  <c r="O89" i="65"/>
  <c r="I89" i="65"/>
  <c r="L89" i="65" s="1"/>
  <c r="O88" i="65"/>
  <c r="I88" i="65"/>
  <c r="L88" i="65" s="1"/>
  <c r="O87" i="65"/>
  <c r="I87" i="65"/>
  <c r="L87" i="65" s="1"/>
  <c r="O86" i="65"/>
  <c r="I86" i="65"/>
  <c r="L86" i="65" s="1"/>
  <c r="O84" i="65"/>
  <c r="L84" i="65"/>
  <c r="O83" i="65"/>
  <c r="I83" i="65"/>
  <c r="L83" i="65" s="1"/>
  <c r="O82" i="65"/>
  <c r="I82" i="65"/>
  <c r="L82" i="65" s="1"/>
  <c r="O81" i="65"/>
  <c r="I81" i="65"/>
  <c r="L81" i="65" s="1"/>
  <c r="O70" i="65"/>
  <c r="L70" i="65"/>
  <c r="O69" i="65"/>
  <c r="L69" i="65"/>
  <c r="O68" i="65"/>
  <c r="K68" i="65"/>
  <c r="L68" i="65" s="1"/>
  <c r="O67" i="65"/>
  <c r="L67" i="65"/>
  <c r="O66" i="65"/>
  <c r="L66" i="65"/>
  <c r="I65" i="65"/>
  <c r="L65" i="65" s="1"/>
  <c r="Q65" i="65" s="1"/>
  <c r="N64" i="65"/>
  <c r="O64" i="65" s="1"/>
  <c r="L64" i="65"/>
  <c r="P56" i="65"/>
  <c r="M56" i="65"/>
  <c r="O56" i="65" s="1"/>
  <c r="L56" i="65"/>
  <c r="Q55" i="65"/>
  <c r="M54" i="65"/>
  <c r="O54" i="65" s="1"/>
  <c r="L54" i="65"/>
  <c r="P53" i="65"/>
  <c r="O53" i="65"/>
  <c r="L53" i="65"/>
  <c r="M52" i="65"/>
  <c r="O52" i="65" s="1"/>
  <c r="L52" i="65"/>
  <c r="P51" i="65"/>
  <c r="O51" i="65"/>
  <c r="L51" i="65"/>
  <c r="O50" i="65"/>
  <c r="Q50" i="65" s="1"/>
  <c r="L50" i="65"/>
  <c r="M49" i="65"/>
  <c r="O49" i="65" s="1"/>
  <c r="L49" i="65"/>
  <c r="P48" i="65"/>
  <c r="O48" i="65"/>
  <c r="L48" i="65"/>
  <c r="M47" i="65"/>
  <c r="O47" i="65" s="1"/>
  <c r="L47" i="65"/>
  <c r="P46" i="65"/>
  <c r="O46" i="65"/>
  <c r="L46" i="65"/>
  <c r="M45" i="65"/>
  <c r="O45" i="65" s="1"/>
  <c r="L45" i="65"/>
  <c r="P44" i="65"/>
  <c r="O44" i="65"/>
  <c r="L44" i="65"/>
  <c r="N43" i="65"/>
  <c r="O43" i="65" s="1"/>
  <c r="L43" i="65"/>
  <c r="P42" i="65"/>
  <c r="O42" i="65"/>
  <c r="L42" i="65"/>
  <c r="P41" i="65"/>
  <c r="O41" i="65"/>
  <c r="L41" i="65"/>
  <c r="N40" i="65"/>
  <c r="N25" i="65" s="1"/>
  <c r="L40" i="65"/>
  <c r="O39" i="65"/>
  <c r="K39" i="65"/>
  <c r="L39" i="65" s="1"/>
  <c r="P38" i="65"/>
  <c r="O38" i="65"/>
  <c r="L38" i="65"/>
  <c r="P37" i="65"/>
  <c r="O37" i="65"/>
  <c r="L37" i="65"/>
  <c r="O36" i="65"/>
  <c r="I36" i="65"/>
  <c r="O35" i="65"/>
  <c r="I35" i="65"/>
  <c r="L35" i="65" s="1"/>
  <c r="Q35" i="65" s="1"/>
  <c r="L34" i="65"/>
  <c r="Q34" i="65" s="1"/>
  <c r="O33" i="65"/>
  <c r="L33" i="65"/>
  <c r="O32" i="65"/>
  <c r="L32" i="65"/>
  <c r="O31" i="65"/>
  <c r="Q31" i="65" s="1"/>
  <c r="L31" i="65"/>
  <c r="O30" i="65"/>
  <c r="L30" i="65"/>
  <c r="O29" i="65"/>
  <c r="L29" i="65"/>
  <c r="O28" i="65"/>
  <c r="L28" i="65"/>
  <c r="O27" i="65"/>
  <c r="Q27" i="65" s="1"/>
  <c r="L27" i="65"/>
  <c r="O26" i="65"/>
  <c r="L26" i="65"/>
  <c r="J25" i="65"/>
  <c r="O23" i="65"/>
  <c r="L23" i="65"/>
  <c r="O22" i="65"/>
  <c r="L22" i="65"/>
  <c r="M21" i="65"/>
  <c r="O21" i="65" s="1"/>
  <c r="K21" i="65"/>
  <c r="K18" i="65" s="1"/>
  <c r="O20" i="65"/>
  <c r="J20" i="65"/>
  <c r="O19" i="65"/>
  <c r="J19" i="65"/>
  <c r="L19" i="65" s="1"/>
  <c r="N18" i="65"/>
  <c r="I18" i="65"/>
  <c r="L17" i="65"/>
  <c r="Q17" i="65" s="1"/>
  <c r="L16" i="65"/>
  <c r="Q16" i="65" s="1"/>
  <c r="O15" i="65"/>
  <c r="I15" i="65"/>
  <c r="N14" i="65"/>
  <c r="N11" i="65" s="1"/>
  <c r="L14" i="65"/>
  <c r="O13" i="65"/>
  <c r="L13" i="65"/>
  <c r="O12" i="65"/>
  <c r="I12" i="65"/>
  <c r="L12" i="65" s="1"/>
  <c r="M11" i="65"/>
  <c r="K11" i="65"/>
  <c r="J11" i="65"/>
  <c r="Q182" i="65" l="1"/>
  <c r="Q186" i="65"/>
  <c r="L185" i="65"/>
  <c r="L184" i="65" s="1"/>
  <c r="Q184" i="65" s="1"/>
  <c r="Q183" i="65"/>
  <c r="Q185" i="65"/>
  <c r="Q172" i="65"/>
  <c r="Q176" i="65"/>
  <c r="Q173" i="65"/>
  <c r="Q169" i="65"/>
  <c r="Q66" i="65"/>
  <c r="Q70" i="65"/>
  <c r="Q84" i="65"/>
  <c r="Q93" i="65"/>
  <c r="Q97" i="65"/>
  <c r="Q101" i="65"/>
  <c r="Q112" i="65"/>
  <c r="Q159" i="65"/>
  <c r="I25" i="65"/>
  <c r="Q91" i="65"/>
  <c r="Q137" i="65"/>
  <c r="Q99" i="65"/>
  <c r="K25" i="65"/>
  <c r="Q148" i="65"/>
  <c r="Q152" i="65"/>
  <c r="Q69" i="65"/>
  <c r="Q158" i="65"/>
  <c r="Q160" i="65"/>
  <c r="Q157" i="65"/>
  <c r="Q28" i="65"/>
  <c r="Q104" i="65"/>
  <c r="Q134" i="65"/>
  <c r="Q138" i="65"/>
  <c r="Q145" i="65"/>
  <c r="Q87" i="65"/>
  <c r="Q140" i="65"/>
  <c r="Q64" i="65"/>
  <c r="Q113" i="65"/>
  <c r="Q149" i="65"/>
  <c r="Q22" i="65"/>
  <c r="Q38" i="65"/>
  <c r="Q54" i="65"/>
  <c r="Q89" i="65"/>
  <c r="Q103" i="65"/>
  <c r="Q150" i="65"/>
  <c r="Q107" i="65"/>
  <c r="Q151" i="65"/>
  <c r="Q23" i="65"/>
  <c r="L36" i="65"/>
  <c r="Q36" i="65" s="1"/>
  <c r="Q90" i="65"/>
  <c r="Q42" i="65"/>
  <c r="Q125" i="65"/>
  <c r="Q33" i="65"/>
  <c r="Q49" i="65"/>
  <c r="Q88" i="65"/>
  <c r="Q123" i="65"/>
  <c r="Q133" i="65"/>
  <c r="Q41" i="65"/>
  <c r="L92" i="65"/>
  <c r="Q92" i="65" s="1"/>
  <c r="Q67" i="65"/>
  <c r="Q121" i="65"/>
  <c r="Q82" i="65"/>
  <c r="Q86" i="65"/>
  <c r="Q127" i="65"/>
  <c r="Q106" i="65"/>
  <c r="Q100" i="65"/>
  <c r="Q116" i="65"/>
  <c r="Q136" i="65"/>
  <c r="Q94" i="65"/>
  <c r="Q110" i="65"/>
  <c r="Q129" i="65"/>
  <c r="Q114" i="65"/>
  <c r="Q130" i="65"/>
  <c r="Q108" i="65"/>
  <c r="Q128" i="65"/>
  <c r="Q98" i="65"/>
  <c r="Q102" i="65"/>
  <c r="Q118" i="65"/>
  <c r="Q131" i="65"/>
  <c r="Q81" i="65"/>
  <c r="Q83" i="65"/>
  <c r="Q68" i="65"/>
  <c r="M25" i="65"/>
  <c r="Q29" i="65"/>
  <c r="Q37" i="65"/>
  <c r="Q43" i="65"/>
  <c r="Q51" i="65"/>
  <c r="L25" i="65"/>
  <c r="Q48" i="65"/>
  <c r="Q30" i="65"/>
  <c r="P25" i="65"/>
  <c r="Q46" i="65"/>
  <c r="Q47" i="65"/>
  <c r="Q52" i="65"/>
  <c r="Q32" i="65"/>
  <c r="Q44" i="65"/>
  <c r="Q39" i="65"/>
  <c r="Q45" i="65"/>
  <c r="Q53" i="65"/>
  <c r="Q56" i="65"/>
  <c r="O40" i="65"/>
  <c r="Q40" i="65" s="1"/>
  <c r="Q26" i="65"/>
  <c r="Q12" i="65"/>
  <c r="L21" i="65"/>
  <c r="Q21" i="65" s="1"/>
  <c r="I11" i="65"/>
  <c r="O14" i="65"/>
  <c r="Q14" i="65" s="1"/>
  <c r="J18" i="65"/>
  <c r="O18" i="65"/>
  <c r="Q19" i="65"/>
  <c r="M18" i="65"/>
  <c r="L20" i="65"/>
  <c r="Q13" i="65"/>
  <c r="L15" i="65"/>
  <c r="O25" i="65" l="1"/>
  <c r="Q25" i="65" s="1"/>
  <c r="O11" i="65"/>
  <c r="L18" i="65"/>
  <c r="Q20" i="65"/>
  <c r="Q18" i="65"/>
  <c r="L11" i="65"/>
  <c r="Q11" i="65" s="1"/>
  <c r="Q15" i="65"/>
  <c r="K24" i="51" l="1"/>
  <c r="J24" i="51"/>
  <c r="J20" i="51"/>
  <c r="I17" i="51"/>
  <c r="I14" i="51"/>
  <c r="I12" i="51"/>
  <c r="I13" i="51"/>
  <c r="I11" i="51"/>
  <c r="L22" i="51"/>
  <c r="K22" i="51"/>
  <c r="I22" i="51"/>
  <c r="H22" i="51"/>
  <c r="G22" i="51"/>
  <c r="F22" i="51"/>
  <c r="E22" i="51"/>
  <c r="Q83" i="89"/>
  <c r="M83" i="89"/>
  <c r="L83" i="89"/>
  <c r="J83" i="89"/>
  <c r="K83" i="89"/>
  <c r="I83" i="89"/>
  <c r="K56" i="89" l="1"/>
  <c r="I47" i="89"/>
  <c r="L28" i="89"/>
  <c r="I14" i="89"/>
  <c r="I23" i="52" l="1"/>
  <c r="G23" i="52"/>
  <c r="F23" i="52"/>
  <c r="E23" i="52"/>
  <c r="M48" i="71"/>
  <c r="K48" i="71"/>
  <c r="I48" i="71"/>
  <c r="J48" i="71"/>
  <c r="J43" i="71"/>
  <c r="L55" i="87" l="1"/>
  <c r="L52" i="87"/>
  <c r="L31" i="87"/>
  <c r="N17" i="91" l="1"/>
  <c r="L17" i="91" l="1"/>
  <c r="N19" i="70" l="1"/>
  <c r="M20" i="70"/>
  <c r="K21" i="70" l="1"/>
  <c r="K17" i="70"/>
  <c r="K18" i="70"/>
  <c r="K20" i="70"/>
  <c r="N21" i="70" l="1"/>
  <c r="K11" i="70"/>
  <c r="G23" i="41" l="1"/>
  <c r="M20" i="47"/>
  <c r="I20" i="47"/>
  <c r="G20" i="47"/>
  <c r="L16" i="51"/>
  <c r="L13" i="51"/>
  <c r="K10" i="51"/>
  <c r="K16" i="51"/>
  <c r="J12" i="51"/>
  <c r="J11" i="51"/>
  <c r="J10" i="51" s="1"/>
  <c r="K60" i="76" l="1"/>
  <c r="J51" i="76"/>
  <c r="K59" i="76"/>
  <c r="J59" i="76"/>
  <c r="J22" i="76" l="1"/>
  <c r="J53" i="76"/>
  <c r="J54" i="76"/>
  <c r="J55" i="76"/>
  <c r="N57" i="76"/>
  <c r="R57" i="76" s="1"/>
  <c r="N58" i="76"/>
  <c r="R58" i="76" s="1"/>
  <c r="M21" i="76"/>
  <c r="Q20" i="76"/>
  <c r="I20" i="76"/>
  <c r="N20" i="76" s="1"/>
  <c r="J14" i="76"/>
  <c r="R20" i="76" l="1"/>
  <c r="O51" i="87" l="1"/>
  <c r="N68" i="87"/>
  <c r="O67" i="87"/>
  <c r="P68" i="87"/>
  <c r="L29" i="87"/>
  <c r="O32" i="87"/>
  <c r="M32" i="87"/>
  <c r="L32" i="87"/>
  <c r="J32" i="71" l="1"/>
  <c r="I41" i="71"/>
  <c r="J24" i="71"/>
  <c r="K24" i="71" s="1"/>
  <c r="M24" i="71" s="1"/>
  <c r="I22" i="71"/>
  <c r="J22" i="71"/>
  <c r="M86" i="68" l="1"/>
  <c r="K86" i="68"/>
  <c r="L88" i="68"/>
  <c r="O88" i="68" s="1"/>
  <c r="K87" i="68"/>
  <c r="L87" i="68" s="1"/>
  <c r="O87" i="68" s="1"/>
  <c r="I69" i="68"/>
  <c r="I43" i="68"/>
  <c r="J27" i="69" l="1"/>
  <c r="L27" i="69" s="1"/>
  <c r="N27" i="69" s="1"/>
  <c r="N26" i="69"/>
  <c r="L26" i="69"/>
  <c r="J26" i="69"/>
  <c r="L21" i="69"/>
  <c r="N21" i="69" s="1"/>
  <c r="M18" i="69"/>
  <c r="J18" i="69"/>
  <c r="J17" i="69"/>
  <c r="J16" i="69"/>
  <c r="O104" i="66"/>
  <c r="O96" i="66"/>
  <c r="M75" i="66"/>
  <c r="K56" i="66"/>
  <c r="K53" i="66"/>
  <c r="N15" i="66"/>
  <c r="M15" i="66"/>
  <c r="K15" i="66"/>
  <c r="I15" i="66"/>
  <c r="M81" i="85"/>
  <c r="T81" i="85" s="1"/>
  <c r="K201" i="85"/>
  <c r="K196" i="85"/>
  <c r="K193" i="85"/>
  <c r="O193" i="85" s="1"/>
  <c r="S193" i="85" s="1"/>
  <c r="O192" i="85"/>
  <c r="S192" i="85" s="1"/>
  <c r="T192" i="85" s="1"/>
  <c r="M192" i="85"/>
  <c r="K153" i="85"/>
  <c r="I122" i="85"/>
  <c r="O69" i="85"/>
  <c r="O68" i="85"/>
  <c r="O67" i="85"/>
  <c r="J51" i="85"/>
  <c r="M193" i="85" l="1"/>
  <c r="T193" i="85" s="1"/>
  <c r="P29" i="90"/>
  <c r="L29" i="90"/>
  <c r="J11" i="90"/>
  <c r="K11" i="90"/>
  <c r="K10" i="90" s="1"/>
  <c r="L13" i="90"/>
  <c r="L14" i="90"/>
  <c r="L15" i="90"/>
  <c r="L16" i="90"/>
  <c r="L17" i="90"/>
  <c r="L18" i="90"/>
  <c r="L19" i="90"/>
  <c r="L20" i="90"/>
  <c r="L21" i="90"/>
  <c r="L22" i="90"/>
  <c r="P22" i="90" s="1"/>
  <c r="L12" i="90"/>
  <c r="R67" i="76"/>
  <c r="N67" i="76"/>
  <c r="L64" i="76"/>
  <c r="L67" i="76"/>
  <c r="M26" i="87" l="1"/>
  <c r="N32" i="87"/>
  <c r="P32" i="87" s="1"/>
  <c r="L57" i="87"/>
  <c r="L56" i="87"/>
  <c r="O26" i="87"/>
  <c r="L25" i="87"/>
  <c r="O46" i="87" l="1"/>
  <c r="L46" i="87"/>
  <c r="N52" i="87"/>
  <c r="P52" i="87" s="1"/>
  <c r="I20" i="63" l="1"/>
  <c r="I19" i="63"/>
  <c r="I25" i="73" l="1"/>
  <c r="I22" i="73"/>
  <c r="Q78" i="89" l="1"/>
  <c r="Q77" i="89"/>
  <c r="Q74" i="89"/>
  <c r="Q73" i="89"/>
  <c r="Q72" i="89"/>
  <c r="Q70" i="89"/>
  <c r="Q69" i="89"/>
  <c r="Q68" i="89"/>
  <c r="Q67" i="89"/>
  <c r="Q66" i="89"/>
  <c r="Q65" i="89"/>
  <c r="Q64" i="89"/>
  <c r="Q63" i="89"/>
  <c r="Q62" i="89"/>
  <c r="Q61" i="89"/>
  <c r="Q60" i="89"/>
  <c r="Q59" i="89"/>
  <c r="Q58" i="89"/>
  <c r="Q55" i="89"/>
  <c r="Q54" i="89"/>
  <c r="Q53" i="89"/>
  <c r="Q51" i="89"/>
  <c r="Q50" i="89"/>
  <c r="Q48" i="89"/>
  <c r="Q46" i="89"/>
  <c r="Q45" i="89"/>
  <c r="Q44" i="89"/>
  <c r="Q43" i="89"/>
  <c r="Q42" i="89"/>
  <c r="Q41" i="89"/>
  <c r="Q40" i="89"/>
  <c r="Q39" i="89"/>
  <c r="Q38" i="89"/>
  <c r="Q37" i="89"/>
  <c r="Q36" i="89"/>
  <c r="Q35" i="89"/>
  <c r="Q34" i="89"/>
  <c r="Q33" i="89"/>
  <c r="Q32" i="89"/>
  <c r="Q31" i="89"/>
  <c r="Q30" i="89"/>
  <c r="Q29" i="89"/>
  <c r="Q27" i="89"/>
  <c r="Q13" i="89"/>
  <c r="Q15" i="89"/>
  <c r="Q16" i="89"/>
  <c r="Q17" i="89"/>
  <c r="Q18" i="89"/>
  <c r="Q19" i="89"/>
  <c r="Q20" i="89"/>
  <c r="Q21" i="89"/>
  <c r="Q22" i="89"/>
  <c r="Q23" i="89"/>
  <c r="Q24" i="89"/>
  <c r="Q25" i="89"/>
  <c r="Q12" i="89"/>
  <c r="Q75" i="89"/>
  <c r="I14" i="73"/>
  <c r="P10" i="89" l="1"/>
  <c r="O10" i="89"/>
  <c r="M80" i="89"/>
  <c r="M57" i="89"/>
  <c r="M51" i="89"/>
  <c r="M50" i="89"/>
  <c r="M78" i="89"/>
  <c r="M77" i="89"/>
  <c r="M73" i="89"/>
  <c r="M74" i="89"/>
  <c r="M72" i="89"/>
  <c r="M59" i="89"/>
  <c r="M60" i="89"/>
  <c r="M61" i="89"/>
  <c r="M62" i="89"/>
  <c r="M63" i="89"/>
  <c r="M64" i="89"/>
  <c r="M65" i="89"/>
  <c r="M66" i="89"/>
  <c r="M67" i="89"/>
  <c r="M68" i="89"/>
  <c r="M69" i="89"/>
  <c r="M70" i="89"/>
  <c r="M58" i="89"/>
  <c r="M54" i="89"/>
  <c r="M55" i="89"/>
  <c r="M56" i="89"/>
  <c r="Q56" i="89" s="1"/>
  <c r="M53" i="89"/>
  <c r="M28" i="89"/>
  <c r="Q28" i="89" s="1"/>
  <c r="M29" i="89"/>
  <c r="M30" i="89"/>
  <c r="M31" i="89"/>
  <c r="M32" i="89"/>
  <c r="M33" i="89"/>
  <c r="M34" i="89"/>
  <c r="M35" i="89"/>
  <c r="M36" i="89"/>
  <c r="M37" i="89"/>
  <c r="M38" i="89"/>
  <c r="M39" i="89"/>
  <c r="M40" i="89"/>
  <c r="M41" i="89"/>
  <c r="M42" i="89"/>
  <c r="M43" i="89"/>
  <c r="M44" i="89"/>
  <c r="M45" i="89"/>
  <c r="M46" i="89"/>
  <c r="M48" i="89"/>
  <c r="M27" i="89"/>
  <c r="M13" i="89"/>
  <c r="M15" i="89"/>
  <c r="M16" i="89"/>
  <c r="M17" i="89"/>
  <c r="M18" i="89"/>
  <c r="M19" i="89"/>
  <c r="M20" i="89"/>
  <c r="M21" i="89"/>
  <c r="M22" i="89"/>
  <c r="M23" i="89"/>
  <c r="M24" i="89"/>
  <c r="M25" i="89"/>
  <c r="M12" i="89"/>
  <c r="Q71" i="89"/>
  <c r="P81" i="89"/>
  <c r="P83" i="89"/>
  <c r="I56" i="63" l="1"/>
  <c r="P71" i="89" l="1"/>
  <c r="J74" i="89"/>
  <c r="J73" i="89"/>
  <c r="J72" i="89"/>
  <c r="J69" i="89"/>
  <c r="J70" i="89"/>
  <c r="O71" i="89"/>
  <c r="O85" i="89" l="1"/>
  <c r="O81" i="89"/>
  <c r="O26" i="89"/>
  <c r="J17" i="91" l="1"/>
  <c r="L71" i="87" l="1"/>
  <c r="L30" i="87"/>
  <c r="I18" i="62" l="1"/>
  <c r="I57" i="62"/>
  <c r="I55" i="62"/>
  <c r="M30" i="69" l="1"/>
  <c r="M19" i="69"/>
  <c r="N236" i="85"/>
  <c r="O234" i="85"/>
  <c r="S237" i="85"/>
  <c r="P234" i="85"/>
  <c r="Q234" i="85"/>
  <c r="R234" i="85"/>
  <c r="N234" i="85"/>
  <c r="K234" i="85"/>
  <c r="L234" i="85"/>
  <c r="J234" i="85"/>
  <c r="M237" i="85"/>
  <c r="T237" i="85" s="1"/>
  <c r="R235" i="85"/>
  <c r="K143" i="85"/>
  <c r="S72" i="85"/>
  <c r="S73" i="85"/>
  <c r="S68" i="85"/>
  <c r="S69" i="85"/>
  <c r="M66" i="85"/>
  <c r="M67" i="85"/>
  <c r="M68" i="85"/>
  <c r="M69" i="85"/>
  <c r="M70" i="85"/>
  <c r="T69" i="85" l="1"/>
  <c r="T68" i="85"/>
  <c r="J12" i="85" l="1"/>
  <c r="N21" i="76" l="1"/>
  <c r="N22" i="76"/>
  <c r="N23" i="76"/>
  <c r="N24" i="76"/>
  <c r="N25" i="76"/>
  <c r="N26" i="76"/>
  <c r="N27" i="76"/>
  <c r="N28" i="76"/>
  <c r="N29" i="76"/>
  <c r="N30" i="76"/>
  <c r="N31" i="76"/>
  <c r="N32" i="76"/>
  <c r="N33" i="76"/>
  <c r="N34" i="76"/>
  <c r="N35" i="76"/>
  <c r="N36" i="76"/>
  <c r="N37" i="76"/>
  <c r="N38" i="76"/>
  <c r="N39" i="76"/>
  <c r="N40" i="76"/>
  <c r="N41" i="76"/>
  <c r="N42" i="76"/>
  <c r="N43" i="76"/>
  <c r="N44" i="76"/>
  <c r="N45" i="76"/>
  <c r="N46" i="76"/>
  <c r="N47" i="76"/>
  <c r="N48" i="76"/>
  <c r="N50" i="76"/>
  <c r="N51" i="76"/>
  <c r="N52" i="76"/>
  <c r="N53" i="76"/>
  <c r="N54" i="76"/>
  <c r="N55" i="76"/>
  <c r="N56" i="76"/>
  <c r="N59" i="76"/>
  <c r="N60" i="76"/>
  <c r="Q22" i="76"/>
  <c r="Q24" i="76"/>
  <c r="Q49" i="76"/>
  <c r="Q50" i="76"/>
  <c r="Q51" i="76"/>
  <c r="Q52" i="76"/>
  <c r="Q53" i="76"/>
  <c r="Q54" i="76"/>
  <c r="Q55" i="76"/>
  <c r="Q56" i="76"/>
  <c r="Q59" i="76"/>
  <c r="Q60" i="76"/>
  <c r="Q15" i="76"/>
  <c r="P15" i="76"/>
  <c r="O15" i="76"/>
  <c r="R56" i="76" l="1"/>
  <c r="I163" i="65"/>
  <c r="J22" i="62" l="1"/>
  <c r="I21" i="62"/>
  <c r="J21" i="62" s="1"/>
  <c r="I20" i="62"/>
  <c r="J20" i="62" s="1"/>
  <c r="I19" i="62"/>
  <c r="J19" i="62" s="1"/>
  <c r="J18" i="62"/>
  <c r="I17" i="62"/>
  <c r="N71" i="87" l="1"/>
  <c r="P71" i="87" s="1"/>
  <c r="N65" i="87"/>
  <c r="P65" i="87" s="1"/>
  <c r="N30" i="87"/>
  <c r="P30" i="87" s="1"/>
  <c r="N46" i="67" l="1"/>
  <c r="M22" i="73" l="1"/>
  <c r="M14" i="73"/>
  <c r="M13" i="73" s="1"/>
  <c r="M28" i="73" s="1"/>
  <c r="M32" i="73" s="1"/>
  <c r="K24" i="73"/>
  <c r="K25" i="73"/>
  <c r="M180" i="65" l="1"/>
  <c r="N180" i="65"/>
  <c r="N163" i="65" l="1"/>
  <c r="I56" i="89" l="1"/>
  <c r="I28" i="89"/>
  <c r="K28" i="89"/>
  <c r="J24" i="89"/>
  <c r="I23" i="89"/>
  <c r="M166" i="85" l="1"/>
  <c r="T166" i="85" s="1"/>
  <c r="M132" i="85"/>
  <c r="T132" i="85" s="1"/>
  <c r="M133" i="85"/>
  <c r="J236" i="85"/>
  <c r="J178" i="85"/>
  <c r="K171" i="85"/>
  <c r="J165" i="85"/>
  <c r="K42" i="63" l="1"/>
  <c r="K32" i="63"/>
  <c r="K60" i="62"/>
  <c r="G17" i="54" l="1"/>
  <c r="F17" i="54"/>
  <c r="E17" i="54"/>
  <c r="I23" i="73" l="1"/>
  <c r="I12" i="73"/>
  <c r="I12" i="67" l="1"/>
  <c r="J33" i="67"/>
  <c r="I30" i="67"/>
  <c r="J20" i="67"/>
  <c r="I20" i="67"/>
  <c r="I17" i="67"/>
  <c r="K30" i="73" l="1"/>
  <c r="J30" i="73"/>
  <c r="J22" i="73" l="1"/>
  <c r="K62" i="63"/>
  <c r="K18" i="73" l="1"/>
  <c r="K26" i="63" l="1"/>
  <c r="K52" i="63"/>
  <c r="K51" i="63"/>
  <c r="K45" i="63"/>
  <c r="K46" i="62"/>
  <c r="K32" i="62"/>
  <c r="L43" i="71" l="1"/>
  <c r="L38" i="71"/>
  <c r="J29" i="71"/>
  <c r="J28" i="69"/>
  <c r="J22" i="69"/>
  <c r="J23" i="69"/>
  <c r="M20" i="69"/>
  <c r="M14" i="69"/>
  <c r="K35" i="68"/>
  <c r="I28" i="68" l="1"/>
  <c r="I12" i="68"/>
  <c r="I86" i="68"/>
  <c r="I78" i="68"/>
  <c r="I68" i="68"/>
  <c r="I50" i="68"/>
  <c r="K107" i="66"/>
  <c r="M62" i="66"/>
  <c r="K62" i="66"/>
  <c r="I45" i="66"/>
  <c r="N26" i="66"/>
  <c r="O26" i="66" s="1"/>
  <c r="N18" i="66"/>
  <c r="Q27" i="85"/>
  <c r="M97" i="85"/>
  <c r="M98" i="85"/>
  <c r="M99" i="85"/>
  <c r="M100" i="85"/>
  <c r="M101" i="85"/>
  <c r="M102" i="85"/>
  <c r="M103" i="85"/>
  <c r="M105" i="85"/>
  <c r="M106" i="85"/>
  <c r="M107" i="85"/>
  <c r="M109" i="85"/>
  <c r="M110" i="85"/>
  <c r="M111" i="85"/>
  <c r="M113" i="85"/>
  <c r="M114" i="85"/>
  <c r="M115" i="85"/>
  <c r="M116" i="85"/>
  <c r="M119" i="85"/>
  <c r="M120" i="85"/>
  <c r="M121" i="85"/>
  <c r="M124" i="85"/>
  <c r="M125" i="85"/>
  <c r="M126" i="85"/>
  <c r="M127" i="85"/>
  <c r="M128" i="85"/>
  <c r="M129" i="85"/>
  <c r="M130" i="85"/>
  <c r="M131" i="85"/>
  <c r="M134" i="85"/>
  <c r="M136" i="85"/>
  <c r="M138" i="85"/>
  <c r="M139" i="85"/>
  <c r="M140" i="85"/>
  <c r="M141" i="85"/>
  <c r="M142" i="85"/>
  <c r="M144" i="85"/>
  <c r="M145" i="85"/>
  <c r="M146" i="85"/>
  <c r="M147" i="85"/>
  <c r="M148" i="85"/>
  <c r="M149" i="85"/>
  <c r="M163" i="85"/>
  <c r="M164" i="85"/>
  <c r="M165" i="85"/>
  <c r="M167" i="85"/>
  <c r="M168" i="85"/>
  <c r="M169" i="85"/>
  <c r="M170" i="85"/>
  <c r="M171" i="85"/>
  <c r="M172" i="85"/>
  <c r="M174" i="85"/>
  <c r="M177" i="85"/>
  <c r="M178" i="85"/>
  <c r="M181" i="85"/>
  <c r="M182" i="85"/>
  <c r="M183" i="85"/>
  <c r="M184" i="85"/>
  <c r="M185" i="85"/>
  <c r="M186" i="85"/>
  <c r="M187" i="85"/>
  <c r="M189" i="85"/>
  <c r="M190" i="85"/>
  <c r="M191" i="85"/>
  <c r="M194" i="85"/>
  <c r="M195" i="85"/>
  <c r="M227" i="85"/>
  <c r="M228" i="85"/>
  <c r="M229" i="85"/>
  <c r="M197" i="85"/>
  <c r="M150" i="85"/>
  <c r="M152" i="85"/>
  <c r="M153" i="85"/>
  <c r="M154" i="85"/>
  <c r="M158" i="85"/>
  <c r="M159" i="85"/>
  <c r="M160" i="85"/>
  <c r="M45" i="85"/>
  <c r="M46" i="85"/>
  <c r="M47" i="85"/>
  <c r="M48" i="85"/>
  <c r="M50" i="85"/>
  <c r="M51" i="85"/>
  <c r="M52" i="85"/>
  <c r="M53" i="85"/>
  <c r="M54" i="85"/>
  <c r="M55" i="85"/>
  <c r="M56" i="85"/>
  <c r="M57" i="85"/>
  <c r="M58" i="85"/>
  <c r="M59" i="85"/>
  <c r="M60" i="85"/>
  <c r="M61" i="85"/>
  <c r="M62" i="85"/>
  <c r="M63" i="85"/>
  <c r="M64" i="85"/>
  <c r="M65" i="85"/>
  <c r="M71" i="85"/>
  <c r="M72" i="85"/>
  <c r="T72" i="85" s="1"/>
  <c r="M73" i="85"/>
  <c r="T73" i="85" s="1"/>
  <c r="M74" i="85"/>
  <c r="M75" i="85"/>
  <c r="M76" i="85"/>
  <c r="M77" i="85"/>
  <c r="M78" i="85"/>
  <c r="M79" i="85"/>
  <c r="M80" i="85"/>
  <c r="M82" i="85"/>
  <c r="M83" i="85"/>
  <c r="M84" i="85"/>
  <c r="M85" i="85"/>
  <c r="M86" i="85"/>
  <c r="M87" i="85"/>
  <c r="M88" i="85"/>
  <c r="M89" i="85"/>
  <c r="M23" i="85"/>
  <c r="M24" i="85"/>
  <c r="M25" i="85"/>
  <c r="M26" i="85"/>
  <c r="M27" i="85"/>
  <c r="M28" i="85"/>
  <c r="M29" i="85"/>
  <c r="M30" i="85"/>
  <c r="M32" i="85"/>
  <c r="M33" i="85"/>
  <c r="M34" i="85"/>
  <c r="M35" i="85"/>
  <c r="M38" i="85"/>
  <c r="M39" i="85"/>
  <c r="M40" i="85"/>
  <c r="M41" i="85"/>
  <c r="M42" i="85"/>
  <c r="M43" i="85"/>
  <c r="M44" i="85"/>
  <c r="J31" i="85"/>
  <c r="M31" i="85" s="1"/>
  <c r="K204" i="85"/>
  <c r="S178" i="85"/>
  <c r="S177" i="85"/>
  <c r="J175" i="85"/>
  <c r="M175" i="85" s="1"/>
  <c r="K156" i="85"/>
  <c r="M156" i="85" s="1"/>
  <c r="K155" i="85"/>
  <c r="M155" i="85" s="1"/>
  <c r="K154" i="85"/>
  <c r="O150" i="85"/>
  <c r="M143" i="85"/>
  <c r="S141" i="85"/>
  <c r="J135" i="85"/>
  <c r="M135" i="85" s="1"/>
  <c r="Q128" i="85"/>
  <c r="Q104" i="85"/>
  <c r="O71" i="85"/>
  <c r="N51" i="85"/>
  <c r="O30" i="85"/>
  <c r="T178" i="85" l="1"/>
  <c r="T177" i="85"/>
  <c r="T141" i="85"/>
  <c r="L63" i="76" l="1"/>
  <c r="U63" i="76" l="1"/>
  <c r="U64" i="76" s="1"/>
  <c r="E64" i="73" l="1"/>
  <c r="D64" i="73"/>
  <c r="D67" i="73" s="1"/>
  <c r="R12" i="73" l="1"/>
  <c r="R13" i="73" s="1"/>
  <c r="L24" i="87" l="1"/>
  <c r="L19" i="87"/>
  <c r="N25" i="87"/>
  <c r="P25" i="87" s="1"/>
  <c r="K29" i="71"/>
  <c r="M29" i="71" s="1"/>
  <c r="J19" i="69"/>
  <c r="L18" i="69"/>
  <c r="L17" i="69"/>
  <c r="N17" i="69" s="1"/>
  <c r="J14" i="69"/>
  <c r="M60" i="68" l="1"/>
  <c r="O147" i="85"/>
  <c r="O146" i="85"/>
  <c r="S70" i="85"/>
  <c r="T70" i="85" s="1"/>
  <c r="O49" i="85"/>
  <c r="O42" i="85"/>
  <c r="O13" i="90" l="1"/>
  <c r="P13" i="90" s="1"/>
  <c r="M14" i="90"/>
  <c r="I18" i="63" l="1"/>
  <c r="J20" i="63"/>
  <c r="M20" i="90" l="1"/>
  <c r="O20" i="90" s="1"/>
  <c r="M19" i="90"/>
  <c r="O19" i="90" s="1"/>
  <c r="M18" i="90"/>
  <c r="O18" i="90" s="1"/>
  <c r="M17" i="90"/>
  <c r="O17" i="90" s="1"/>
  <c r="M16" i="90"/>
  <c r="O16" i="90" s="1"/>
  <c r="P16" i="90" s="1"/>
  <c r="M15" i="90"/>
  <c r="O15" i="90" s="1"/>
  <c r="P15" i="90" s="1"/>
  <c r="P18" i="90" l="1"/>
  <c r="P17" i="90"/>
  <c r="P19" i="90"/>
  <c r="P20" i="90"/>
  <c r="I19" i="89" l="1"/>
  <c r="J62" i="89"/>
  <c r="J63" i="89"/>
  <c r="J64" i="89"/>
  <c r="J65" i="89"/>
  <c r="J46" i="89"/>
  <c r="J47" i="89"/>
  <c r="M47" i="89" s="1"/>
  <c r="Q47" i="89" s="1"/>
  <c r="J48" i="89"/>
  <c r="J38" i="89"/>
  <c r="J39" i="89"/>
  <c r="J40" i="89"/>
  <c r="J41" i="89"/>
  <c r="J42" i="89"/>
  <c r="I43" i="89"/>
  <c r="J43" i="89" s="1"/>
  <c r="I37" i="89"/>
  <c r="J37" i="89" s="1"/>
  <c r="J29" i="89"/>
  <c r="J30" i="89"/>
  <c r="J31" i="89"/>
  <c r="J32" i="89"/>
  <c r="J33" i="89"/>
  <c r="J34" i="89"/>
  <c r="J35" i="89"/>
  <c r="L43" i="87" l="1"/>
  <c r="M69" i="87"/>
  <c r="M67" i="87" s="1"/>
  <c r="L69" i="87"/>
  <c r="R22" i="76" l="1"/>
  <c r="P21" i="76"/>
  <c r="Q21" i="76" s="1"/>
  <c r="R21" i="76" s="1"/>
  <c r="O48" i="76"/>
  <c r="Q48" i="76" s="1"/>
  <c r="O47" i="76"/>
  <c r="Q47" i="76" s="1"/>
  <c r="O46" i="76"/>
  <c r="Q46" i="76" s="1"/>
  <c r="O45" i="76"/>
  <c r="Q45" i="76" s="1"/>
  <c r="O44" i="76"/>
  <c r="Q44" i="76" s="1"/>
  <c r="O43" i="76"/>
  <c r="Q43" i="76" s="1"/>
  <c r="O42" i="76"/>
  <c r="Q42" i="76" s="1"/>
  <c r="O41" i="76"/>
  <c r="Q41" i="76" s="1"/>
  <c r="O40" i="76"/>
  <c r="Q40" i="76" s="1"/>
  <c r="O39" i="76"/>
  <c r="Q39" i="76" s="1"/>
  <c r="O38" i="76"/>
  <c r="Q38" i="76" s="1"/>
  <c r="O37" i="76"/>
  <c r="Q37" i="76" s="1"/>
  <c r="O36" i="76"/>
  <c r="Q36" i="76" s="1"/>
  <c r="O35" i="76"/>
  <c r="Q35" i="76" s="1"/>
  <c r="O34" i="76"/>
  <c r="Q34" i="76" s="1"/>
  <c r="O33" i="76"/>
  <c r="Q33" i="76" s="1"/>
  <c r="O32" i="76"/>
  <c r="Q32" i="76" s="1"/>
  <c r="O31" i="76"/>
  <c r="Q31" i="76" s="1"/>
  <c r="O30" i="76"/>
  <c r="Q30" i="76" s="1"/>
  <c r="O29" i="76"/>
  <c r="Q29" i="76" s="1"/>
  <c r="O28" i="76"/>
  <c r="Q28" i="76" s="1"/>
  <c r="M49" i="76"/>
  <c r="N49" i="76" s="1"/>
  <c r="P25" i="76"/>
  <c r="Q25" i="76" s="1"/>
  <c r="S25" i="76"/>
  <c r="P27" i="76"/>
  <c r="Q27" i="76" s="1"/>
  <c r="P26" i="76"/>
  <c r="Q26" i="76" s="1"/>
  <c r="R24" i="76"/>
  <c r="P23" i="76"/>
  <c r="P14" i="76"/>
  <c r="S23" i="76" l="1"/>
  <c r="Q23" i="76"/>
  <c r="R29" i="76"/>
  <c r="R45" i="76"/>
  <c r="R41" i="76"/>
  <c r="R33" i="76"/>
  <c r="R37" i="76"/>
  <c r="R42" i="76"/>
  <c r="R31" i="76"/>
  <c r="R35" i="76"/>
  <c r="R39" i="76"/>
  <c r="R43" i="76"/>
  <c r="R47" i="76"/>
  <c r="R32" i="76"/>
  <c r="R44" i="76"/>
  <c r="R34" i="76"/>
  <c r="R48" i="76"/>
  <c r="R30" i="76"/>
  <c r="R46" i="76"/>
  <c r="R40" i="76"/>
  <c r="R36" i="76"/>
  <c r="R28" i="76"/>
  <c r="R38" i="76"/>
  <c r="R49" i="76"/>
  <c r="R50" i="76"/>
  <c r="R51" i="76"/>
  <c r="M50" i="87" l="1"/>
  <c r="M19" i="87"/>
  <c r="N18" i="70" l="1"/>
  <c r="K16" i="70"/>
  <c r="M44" i="87" l="1"/>
  <c r="M163" i="65" l="1"/>
  <c r="P57" i="89" l="1"/>
  <c r="M17" i="91" l="1"/>
  <c r="K17" i="91"/>
  <c r="I17" i="91"/>
  <c r="G17" i="91"/>
  <c r="F17" i="91"/>
  <c r="E17" i="91"/>
  <c r="D17" i="91"/>
  <c r="P16" i="91"/>
  <c r="P15" i="91"/>
  <c r="P14" i="91"/>
  <c r="P13" i="91"/>
  <c r="P12" i="91"/>
  <c r="P11" i="91"/>
  <c r="P10" i="91"/>
  <c r="P9" i="91"/>
  <c r="P8" i="91"/>
  <c r="P7" i="91"/>
  <c r="P6" i="91"/>
  <c r="P5" i="91"/>
  <c r="P4" i="91"/>
  <c r="P3" i="91"/>
  <c r="P2" i="91"/>
  <c r="P17" i="91" l="1"/>
  <c r="H17" i="91"/>
  <c r="M111" i="66" l="1"/>
  <c r="K30" i="71" l="1"/>
  <c r="M30" i="71" s="1"/>
  <c r="L22" i="71"/>
  <c r="J15" i="69"/>
  <c r="M79" i="68"/>
  <c r="I119" i="68"/>
  <c r="L86" i="68"/>
  <c r="O86" i="68" s="1"/>
  <c r="I85" i="68"/>
  <c r="L85" i="68" s="1"/>
  <c r="O85" i="68" s="1"/>
  <c r="M84" i="68"/>
  <c r="M80" i="68"/>
  <c r="I77" i="68"/>
  <c r="I75" i="68"/>
  <c r="I72" i="68"/>
  <c r="M43" i="68"/>
  <c r="K28" i="68"/>
  <c r="O80" i="66"/>
  <c r="O122" i="66"/>
  <c r="M116" i="66"/>
  <c r="N95" i="66"/>
  <c r="P96" i="66"/>
  <c r="J96" i="66"/>
  <c r="L96" i="66" s="1"/>
  <c r="P62" i="66"/>
  <c r="L62" i="66"/>
  <c r="K57" i="66"/>
  <c r="J32" i="66"/>
  <c r="P18" i="66"/>
  <c r="L18" i="66"/>
  <c r="K123" i="85"/>
  <c r="I118" i="85"/>
  <c r="M118" i="85" s="1"/>
  <c r="K205" i="85"/>
  <c r="K157" i="85"/>
  <c r="M157" i="85" s="1"/>
  <c r="M151" i="85" s="1"/>
  <c r="Q96" i="66" l="1"/>
  <c r="Q18" i="66"/>
  <c r="S18" i="66" s="1"/>
  <c r="Q62" i="66"/>
  <c r="S62" i="66" s="1"/>
  <c r="S143" i="85"/>
  <c r="Q101" i="85"/>
  <c r="S67" i="85"/>
  <c r="T67" i="85" s="1"/>
  <c r="S66" i="85"/>
  <c r="S60" i="85"/>
  <c r="T143" i="85" l="1"/>
  <c r="T66" i="85"/>
  <c r="T60" i="85"/>
  <c r="I27" i="89" l="1"/>
  <c r="I51" i="89"/>
  <c r="L27" i="87" l="1"/>
  <c r="I26" i="62" l="1"/>
  <c r="J27" i="62"/>
  <c r="N28" i="67" l="1"/>
  <c r="N27" i="67"/>
  <c r="N26" i="67"/>
  <c r="N23" i="67"/>
  <c r="N22" i="67"/>
  <c r="N18" i="67"/>
  <c r="N16" i="67"/>
  <c r="N15" i="67"/>
  <c r="O71" i="66" l="1"/>
  <c r="R122" i="66"/>
  <c r="K26" i="71" l="1"/>
  <c r="M26" i="71" s="1"/>
  <c r="L16" i="71"/>
  <c r="M12" i="69"/>
  <c r="L20" i="69"/>
  <c r="N20" i="69" s="1"/>
  <c r="N18" i="69"/>
  <c r="M16" i="69"/>
  <c r="L41" i="68"/>
  <c r="O41" i="68" s="1"/>
  <c r="J118" i="68"/>
  <c r="K118" i="68"/>
  <c r="I118" i="68"/>
  <c r="N118" i="68"/>
  <c r="L121" i="68"/>
  <c r="O121" i="68"/>
  <c r="M120" i="68"/>
  <c r="M118" i="68" s="1"/>
  <c r="L120" i="68"/>
  <c r="O120" i="68" s="1"/>
  <c r="L119" i="68"/>
  <c r="O119" i="68" s="1"/>
  <c r="O118" i="68" s="1"/>
  <c r="M83" i="68"/>
  <c r="M82" i="68"/>
  <c r="M81" i="68"/>
  <c r="L43" i="68"/>
  <c r="O43" i="68" s="1"/>
  <c r="I42" i="68"/>
  <c r="J100" i="66"/>
  <c r="L32" i="66"/>
  <c r="P32" i="66"/>
  <c r="L118" i="68" l="1"/>
  <c r="Q32" i="66"/>
  <c r="M200" i="85"/>
  <c r="P96" i="85"/>
  <c r="Q96" i="85"/>
  <c r="R96" i="85"/>
  <c r="O11" i="85"/>
  <c r="P11" i="85"/>
  <c r="Q11" i="85"/>
  <c r="R11" i="85"/>
  <c r="N11" i="85"/>
  <c r="N229" i="85"/>
  <c r="R200" i="85"/>
  <c r="R199" i="85"/>
  <c r="O191" i="85"/>
  <c r="O187" i="85"/>
  <c r="O183" i="85"/>
  <c r="O182" i="85"/>
  <c r="O174" i="85"/>
  <c r="O176" i="85" l="1"/>
  <c r="O170" i="85"/>
  <c r="S150" i="85"/>
  <c r="T150" i="85" s="1"/>
  <c r="S147" i="85"/>
  <c r="S146" i="85"/>
  <c r="S142" i="85"/>
  <c r="T142" i="85" s="1"/>
  <c r="K137" i="85"/>
  <c r="M137" i="85" s="1"/>
  <c r="S136" i="85"/>
  <c r="T136" i="85" s="1"/>
  <c r="O129" i="85"/>
  <c r="J123" i="85"/>
  <c r="M123" i="85" s="1"/>
  <c r="O110" i="85"/>
  <c r="O96" i="85" s="1"/>
  <c r="S71" i="85"/>
  <c r="J49" i="85"/>
  <c r="M49" i="85" s="1"/>
  <c r="S51" i="85"/>
  <c r="S50" i="85"/>
  <c r="T50" i="85" s="1"/>
  <c r="Q30" i="85"/>
  <c r="S15" i="85"/>
  <c r="J15" i="85"/>
  <c r="J11" i="85" s="1"/>
  <c r="T146" i="85" l="1"/>
  <c r="T147" i="85"/>
  <c r="T51" i="85"/>
  <c r="T71" i="85"/>
  <c r="P61" i="87"/>
  <c r="M139" i="65" l="1"/>
  <c r="O73" i="65"/>
  <c r="O74" i="65"/>
  <c r="I74" i="65"/>
  <c r="L74" i="65" s="1"/>
  <c r="I73" i="65"/>
  <c r="L73" i="65" s="1"/>
  <c r="Q73" i="65" l="1"/>
  <c r="Q74" i="65"/>
  <c r="I25" i="62" l="1"/>
  <c r="I12" i="62"/>
  <c r="I14" i="62" l="1"/>
  <c r="K17" i="73" l="1"/>
  <c r="K13" i="70" l="1"/>
  <c r="N16" i="70" l="1"/>
  <c r="N17" i="70"/>
  <c r="L44" i="87" l="1"/>
  <c r="L49" i="87"/>
  <c r="L45" i="87" l="1"/>
  <c r="N43" i="87"/>
  <c r="P43" i="87" s="1"/>
  <c r="AD19" i="40" l="1"/>
  <c r="AC19" i="40"/>
  <c r="AB19" i="40"/>
  <c r="AA19" i="40"/>
  <c r="AF18" i="40"/>
  <c r="AD18" i="40"/>
  <c r="AC18" i="40"/>
  <c r="AA18" i="40"/>
  <c r="AF17" i="40"/>
  <c r="AD17" i="40"/>
  <c r="AC17" i="40"/>
  <c r="AA17" i="40"/>
  <c r="AF16" i="40"/>
  <c r="AD16" i="40"/>
  <c r="AC16" i="40"/>
  <c r="AA16" i="40"/>
  <c r="AF15" i="40"/>
  <c r="AD15" i="40"/>
  <c r="AC15" i="40"/>
  <c r="AA15" i="40"/>
  <c r="AD14" i="40"/>
  <c r="AC14" i="40"/>
  <c r="AA14" i="40"/>
  <c r="AD13" i="40"/>
  <c r="AC13" i="40"/>
  <c r="AB13" i="40"/>
  <c r="AA13" i="40"/>
  <c r="AF12" i="40"/>
  <c r="AE12" i="40"/>
  <c r="AD12" i="40"/>
  <c r="AF11" i="40"/>
  <c r="AD11" i="40"/>
  <c r="AF10" i="40"/>
  <c r="AC10" i="40"/>
  <c r="AA10" i="40"/>
  <c r="AD9" i="40"/>
  <c r="AC9" i="40"/>
  <c r="AA9" i="40"/>
  <c r="AF8" i="40"/>
  <c r="AD8" i="40"/>
  <c r="AC8" i="40"/>
  <c r="AC7" i="40"/>
  <c r="AF6" i="40"/>
  <c r="AD6" i="40"/>
  <c r="AC6" i="40"/>
  <c r="AB6" i="40"/>
  <c r="AA6" i="40"/>
  <c r="AF5" i="40"/>
  <c r="AD5" i="40"/>
  <c r="AC5" i="40"/>
  <c r="AB5" i="40"/>
  <c r="AA5" i="40"/>
  <c r="P17" i="87" l="1"/>
  <c r="N178" i="65" l="1"/>
  <c r="K12" i="47" l="1"/>
  <c r="J12" i="47"/>
  <c r="L12" i="47" s="1"/>
  <c r="S17" i="40"/>
  <c r="S14" i="40"/>
  <c r="S6" i="40"/>
  <c r="S5" i="40"/>
  <c r="G30" i="55" l="1"/>
  <c r="E30" i="55"/>
  <c r="H11" i="55"/>
  <c r="O37" i="87"/>
  <c r="H17" i="55" s="1"/>
  <c r="H13" i="55"/>
  <c r="O12" i="87"/>
  <c r="H12" i="55" s="1"/>
  <c r="P76" i="89"/>
  <c r="I15" i="51"/>
  <c r="I13" i="53"/>
  <c r="I12" i="53" s="1"/>
  <c r="H13" i="52"/>
  <c r="I20" i="52"/>
  <c r="L40" i="71"/>
  <c r="H17" i="52" s="1"/>
  <c r="M36" i="71"/>
  <c r="N11" i="68"/>
  <c r="N10" i="68" s="1"/>
  <c r="H30" i="48"/>
  <c r="E30" i="48"/>
  <c r="K12" i="48"/>
  <c r="J25" i="48"/>
  <c r="J26" i="48"/>
  <c r="I26" i="48"/>
  <c r="J23" i="48"/>
  <c r="J22" i="48" s="1"/>
  <c r="J20" i="48"/>
  <c r="J19" i="48"/>
  <c r="J17" i="48"/>
  <c r="J16" i="48" s="1"/>
  <c r="J15" i="48"/>
  <c r="J14" i="48" s="1"/>
  <c r="J13" i="48"/>
  <c r="J12" i="48" s="1"/>
  <c r="J11" i="48"/>
  <c r="J26" i="57"/>
  <c r="M11" i="67"/>
  <c r="I11" i="57" s="1"/>
  <c r="M14" i="67"/>
  <c r="M13" i="67" s="1"/>
  <c r="M21" i="67"/>
  <c r="I14" i="57" s="1"/>
  <c r="M25" i="67"/>
  <c r="M24" i="67" s="1"/>
  <c r="M29" i="67"/>
  <c r="I17" i="57" s="1"/>
  <c r="M36" i="67"/>
  <c r="I21" i="57" s="1"/>
  <c r="N37" i="67"/>
  <c r="M24" i="45"/>
  <c r="J24" i="48" l="1"/>
  <c r="I10" i="57"/>
  <c r="I20" i="57"/>
  <c r="I13" i="57"/>
  <c r="M35" i="67"/>
  <c r="M10" i="67"/>
  <c r="I16" i="57"/>
  <c r="H10" i="55"/>
  <c r="K26" i="48"/>
  <c r="J10" i="48"/>
  <c r="L30" i="48"/>
  <c r="J35" i="44"/>
  <c r="J34" i="44"/>
  <c r="J32" i="44"/>
  <c r="J22" i="44"/>
  <c r="J20" i="44"/>
  <c r="J19" i="44" s="1"/>
  <c r="J16" i="44"/>
  <c r="J15" i="44" s="1"/>
  <c r="I35" i="44"/>
  <c r="I34" i="44"/>
  <c r="I31" i="44"/>
  <c r="I28" i="44"/>
  <c r="I22" i="44"/>
  <c r="I21" i="44" s="1"/>
  <c r="I20" i="44"/>
  <c r="I19" i="44" s="1"/>
  <c r="I16" i="44"/>
  <c r="I15" i="44" s="1"/>
  <c r="I41" i="84"/>
  <c r="F41" i="84"/>
  <c r="K31" i="84"/>
  <c r="K30" i="84" s="1"/>
  <c r="L31" i="84"/>
  <c r="L30" i="84" s="1"/>
  <c r="M31" i="84"/>
  <c r="M30" i="84" s="1"/>
  <c r="N31" i="84"/>
  <c r="N30" i="84" s="1"/>
  <c r="J31" i="84"/>
  <c r="J30" i="84" s="1"/>
  <c r="K29" i="84"/>
  <c r="L29" i="84"/>
  <c r="M29" i="84"/>
  <c r="N29" i="84"/>
  <c r="J29" i="84"/>
  <c r="K28" i="84"/>
  <c r="L28" i="84"/>
  <c r="M28" i="84"/>
  <c r="N28" i="84"/>
  <c r="J28" i="84"/>
  <c r="K26" i="84"/>
  <c r="L26" i="84"/>
  <c r="M26" i="84"/>
  <c r="N26" i="84"/>
  <c r="J26" i="84"/>
  <c r="F21" i="42"/>
  <c r="H21" i="42"/>
  <c r="E21" i="42"/>
  <c r="M27" i="84" l="1"/>
  <c r="J33" i="44"/>
  <c r="L27" i="84"/>
  <c r="I15" i="57"/>
  <c r="I12" i="57"/>
  <c r="I33" i="44"/>
  <c r="J21" i="44"/>
  <c r="N27" i="84"/>
  <c r="K27" i="84"/>
  <c r="J27" i="84"/>
  <c r="I30" i="73" l="1"/>
  <c r="L126" i="68"/>
  <c r="I126" i="68"/>
  <c r="L74" i="68"/>
  <c r="O74" i="68" s="1"/>
  <c r="L75" i="68"/>
  <c r="O75" i="68" s="1"/>
  <c r="L76" i="68"/>
  <c r="O76" i="68" s="1"/>
  <c r="L77" i="68"/>
  <c r="O77" i="68" s="1"/>
  <c r="L78" i="68"/>
  <c r="O78" i="68" s="1"/>
  <c r="L79" i="68"/>
  <c r="O79" i="68" s="1"/>
  <c r="L80" i="68"/>
  <c r="O80" i="68" s="1"/>
  <c r="L81" i="68"/>
  <c r="O81" i="68" s="1"/>
  <c r="L82" i="68"/>
  <c r="O82" i="68" s="1"/>
  <c r="L83" i="68"/>
  <c r="O83" i="68" s="1"/>
  <c r="L84" i="68"/>
  <c r="O84" i="68" s="1"/>
  <c r="M242" i="85"/>
  <c r="J242" i="85"/>
  <c r="J62" i="63"/>
  <c r="I62" i="63"/>
  <c r="M15" i="85"/>
  <c r="T15" i="85" s="1"/>
  <c r="N81" i="87"/>
  <c r="L81" i="87"/>
  <c r="N24" i="87" l="1"/>
  <c r="M37" i="87"/>
  <c r="L37" i="87"/>
  <c r="N48" i="87"/>
  <c r="P48" i="87" s="1"/>
  <c r="N39" i="87"/>
  <c r="P39" i="87" s="1"/>
  <c r="P24" i="87" l="1"/>
  <c r="O77" i="87" l="1"/>
  <c r="O74" i="87"/>
  <c r="H24" i="55"/>
  <c r="O62" i="87"/>
  <c r="H23" i="55" s="1"/>
  <c r="O60" i="87"/>
  <c r="O54" i="87"/>
  <c r="O40" i="87"/>
  <c r="H18" i="55" s="1"/>
  <c r="H16" i="55" s="1"/>
  <c r="O34" i="87"/>
  <c r="H15" i="55" s="1"/>
  <c r="H14" i="55" s="1"/>
  <c r="M37" i="71"/>
  <c r="L44" i="71"/>
  <c r="H19" i="52" s="1"/>
  <c r="L42" i="71"/>
  <c r="L37" i="71"/>
  <c r="H15" i="52" s="1"/>
  <c r="L34" i="71"/>
  <c r="H14" i="52" s="1"/>
  <c r="L11" i="71"/>
  <c r="H11" i="52" s="1"/>
  <c r="M36" i="69"/>
  <c r="M11" i="69"/>
  <c r="N29" i="68"/>
  <c r="J21" i="48" s="1"/>
  <c r="J18" i="48" s="1"/>
  <c r="J27" i="48" s="1"/>
  <c r="L39" i="71" l="1"/>
  <c r="H18" i="52"/>
  <c r="H16" i="52" s="1"/>
  <c r="M35" i="69"/>
  <c r="H13" i="49"/>
  <c r="M10" i="69"/>
  <c r="M41" i="69" s="1"/>
  <c r="M45" i="69" s="1"/>
  <c r="H11" i="49"/>
  <c r="J32" i="48"/>
  <c r="Y12" i="40"/>
  <c r="Y20" i="40" s="1"/>
  <c r="Y22" i="40" s="1"/>
  <c r="Y24" i="40" s="1"/>
  <c r="N24" i="68"/>
  <c r="N124" i="68" s="1"/>
  <c r="N128" i="68" s="1"/>
  <c r="O73" i="87"/>
  <c r="H26" i="55"/>
  <c r="H25" i="55" s="1"/>
  <c r="O53" i="87"/>
  <c r="H20" i="55"/>
  <c r="H19" i="55" s="1"/>
  <c r="O33" i="87"/>
  <c r="O10" i="87"/>
  <c r="O59" i="87"/>
  <c r="O36" i="87"/>
  <c r="I25" i="48"/>
  <c r="M109" i="68"/>
  <c r="M29" i="68"/>
  <c r="I21" i="48" s="1"/>
  <c r="K21" i="48" s="1"/>
  <c r="M27" i="68"/>
  <c r="I20" i="48" s="1"/>
  <c r="K20" i="48" s="1"/>
  <c r="M25" i="68"/>
  <c r="I19" i="48" s="1"/>
  <c r="M22" i="68"/>
  <c r="I17" i="48" s="1"/>
  <c r="M19" i="68"/>
  <c r="I15" i="48" s="1"/>
  <c r="M15" i="68"/>
  <c r="M11" i="68"/>
  <c r="Q134" i="66"/>
  <c r="P122" i="66"/>
  <c r="Q122" i="66" s="1"/>
  <c r="L122" i="66"/>
  <c r="I11" i="49" l="1"/>
  <c r="H10" i="49"/>
  <c r="I10" i="49" s="1"/>
  <c r="H12" i="49"/>
  <c r="I13" i="49"/>
  <c r="I12" i="49" s="1"/>
  <c r="M21" i="68"/>
  <c r="K17" i="48"/>
  <c r="K16" i="48" s="1"/>
  <c r="I16" i="48"/>
  <c r="M10" i="68"/>
  <c r="I11" i="48"/>
  <c r="I24" i="48"/>
  <c r="K25" i="48"/>
  <c r="K24" i="48" s="1"/>
  <c r="M108" i="68"/>
  <c r="I23" i="48"/>
  <c r="K15" i="48"/>
  <c r="K14" i="48" s="1"/>
  <c r="I14" i="48"/>
  <c r="K19" i="48"/>
  <c r="K18" i="48" s="1"/>
  <c r="I18" i="48"/>
  <c r="M14" i="68"/>
  <c r="I13" i="48"/>
  <c r="I12" i="48" s="1"/>
  <c r="M18" i="68"/>
  <c r="M117" i="68"/>
  <c r="O79" i="87"/>
  <c r="O82" i="87" s="1"/>
  <c r="M24" i="68"/>
  <c r="M80" i="66"/>
  <c r="I15" i="45" s="1"/>
  <c r="K15" i="45"/>
  <c r="N80" i="66"/>
  <c r="J15" i="45" s="1"/>
  <c r="P95" i="66"/>
  <c r="Q95" i="66" s="1"/>
  <c r="L15" i="45" l="1"/>
  <c r="H14" i="49"/>
  <c r="H18" i="49" s="1"/>
  <c r="I14" i="49"/>
  <c r="I18" i="49" s="1"/>
  <c r="I22" i="48"/>
  <c r="K23" i="48"/>
  <c r="K22" i="48" s="1"/>
  <c r="I10" i="48"/>
  <c r="I27" i="48" s="1"/>
  <c r="K11" i="48"/>
  <c r="K10" i="48" s="1"/>
  <c r="K27" i="48" s="1"/>
  <c r="K32" i="48" s="1"/>
  <c r="M124" i="68"/>
  <c r="M128" i="68" s="1"/>
  <c r="P131" i="66"/>
  <c r="P130" i="66"/>
  <c r="P129" i="66"/>
  <c r="O126" i="66"/>
  <c r="K21" i="45" s="1"/>
  <c r="P127" i="66"/>
  <c r="N126" i="66"/>
  <c r="J21" i="45" s="1"/>
  <c r="M126" i="66"/>
  <c r="I21" i="45" s="1"/>
  <c r="P125" i="66"/>
  <c r="P124" i="66" s="1"/>
  <c r="O124" i="66"/>
  <c r="K20" i="45" s="1"/>
  <c r="N124" i="66"/>
  <c r="J20" i="45" s="1"/>
  <c r="M124" i="66"/>
  <c r="I20" i="45" s="1"/>
  <c r="L20" i="45" s="1"/>
  <c r="P123" i="66"/>
  <c r="P121" i="66"/>
  <c r="P120" i="66"/>
  <c r="O119" i="66"/>
  <c r="K19" i="45" s="1"/>
  <c r="N119" i="66"/>
  <c r="J19" i="45" s="1"/>
  <c r="M119" i="66"/>
  <c r="I19" i="45" s="1"/>
  <c r="P118" i="66"/>
  <c r="P117" i="66"/>
  <c r="P116" i="66"/>
  <c r="P115" i="66"/>
  <c r="P114" i="66"/>
  <c r="O106" i="66"/>
  <c r="K18" i="45" s="1"/>
  <c r="P112" i="66"/>
  <c r="P111" i="66"/>
  <c r="P110" i="66"/>
  <c r="P109" i="66"/>
  <c r="P108" i="66"/>
  <c r="P107" i="66"/>
  <c r="M106" i="66"/>
  <c r="I18" i="45" s="1"/>
  <c r="P104" i="66"/>
  <c r="P103" i="66"/>
  <c r="P102" i="66"/>
  <c r="P101" i="66"/>
  <c r="P100" i="66"/>
  <c r="N97" i="66"/>
  <c r="J16" i="45" s="1"/>
  <c r="P98" i="66"/>
  <c r="O97" i="66"/>
  <c r="M97" i="66"/>
  <c r="I16" i="45" s="1"/>
  <c r="I14" i="45" s="1"/>
  <c r="P94" i="66"/>
  <c r="P93" i="66"/>
  <c r="P92" i="66"/>
  <c r="P91" i="66"/>
  <c r="P90" i="66"/>
  <c r="P88" i="66"/>
  <c r="P87" i="66"/>
  <c r="P86" i="66"/>
  <c r="P85" i="66"/>
  <c r="P84" i="66"/>
  <c r="P83" i="66"/>
  <c r="P82" i="66"/>
  <c r="P81" i="66"/>
  <c r="P78" i="66"/>
  <c r="P77" i="66"/>
  <c r="P76" i="66"/>
  <c r="P75" i="66"/>
  <c r="O74" i="66"/>
  <c r="K13" i="45" s="1"/>
  <c r="N74" i="66"/>
  <c r="J13" i="45" s="1"/>
  <c r="M74" i="66"/>
  <c r="I13" i="45" s="1"/>
  <c r="P73" i="66"/>
  <c r="P72" i="66"/>
  <c r="P71" i="66"/>
  <c r="P70" i="66"/>
  <c r="P69" i="66"/>
  <c r="O68" i="66"/>
  <c r="K12" i="45" s="1"/>
  <c r="N68" i="66"/>
  <c r="J12" i="45" s="1"/>
  <c r="M68" i="66"/>
  <c r="I12" i="45" s="1"/>
  <c r="P67" i="66"/>
  <c r="P66" i="66"/>
  <c r="P65" i="66"/>
  <c r="P64" i="66"/>
  <c r="P63" i="66"/>
  <c r="P61" i="66"/>
  <c r="P60" i="66"/>
  <c r="P59" i="66"/>
  <c r="P58" i="66"/>
  <c r="P57" i="66"/>
  <c r="P56" i="66"/>
  <c r="P55" i="66"/>
  <c r="P54" i="66"/>
  <c r="P53" i="66"/>
  <c r="P52" i="66"/>
  <c r="P51" i="66"/>
  <c r="P50" i="66"/>
  <c r="P49" i="66"/>
  <c r="P48" i="66"/>
  <c r="P47" i="66"/>
  <c r="P46" i="66"/>
  <c r="P45" i="66"/>
  <c r="P44" i="66"/>
  <c r="P43" i="66"/>
  <c r="P42" i="66"/>
  <c r="P41" i="66"/>
  <c r="P40" i="66"/>
  <c r="P39" i="66"/>
  <c r="P38" i="66"/>
  <c r="P37" i="66"/>
  <c r="P36" i="66"/>
  <c r="P35" i="66"/>
  <c r="P34" i="66"/>
  <c r="P33" i="66"/>
  <c r="P31" i="66"/>
  <c r="P30" i="66"/>
  <c r="P29" i="66"/>
  <c r="P28" i="66"/>
  <c r="P27" i="66"/>
  <c r="P26" i="66"/>
  <c r="P25" i="66"/>
  <c r="P24" i="66"/>
  <c r="P23" i="66"/>
  <c r="P22" i="66"/>
  <c r="P21" i="66"/>
  <c r="P20" i="66"/>
  <c r="P19" i="66"/>
  <c r="P17" i="66"/>
  <c r="P16" i="66"/>
  <c r="P15" i="66"/>
  <c r="P14" i="66"/>
  <c r="P13" i="66"/>
  <c r="P12" i="66"/>
  <c r="O11" i="66"/>
  <c r="K11" i="45" s="1"/>
  <c r="M11" i="66"/>
  <c r="I11" i="45" s="1"/>
  <c r="S189" i="85"/>
  <c r="S190" i="85"/>
  <c r="T190" i="85" s="1"/>
  <c r="S191" i="85"/>
  <c r="T191" i="85" s="1"/>
  <c r="S194" i="85"/>
  <c r="J37" i="84"/>
  <c r="J36" i="84" s="1"/>
  <c r="K37" i="84"/>
  <c r="K36" i="84" s="1"/>
  <c r="L37" i="84"/>
  <c r="L36" i="84" s="1"/>
  <c r="M37" i="84"/>
  <c r="M36" i="84" s="1"/>
  <c r="N37" i="84"/>
  <c r="N36" i="84" s="1"/>
  <c r="O225" i="85"/>
  <c r="K33" i="84" s="1"/>
  <c r="K32" i="84" s="1"/>
  <c r="P225" i="85"/>
  <c r="L33" i="84" s="1"/>
  <c r="L32" i="84" s="1"/>
  <c r="Q225" i="85"/>
  <c r="M33" i="84" s="1"/>
  <c r="M32" i="84" s="1"/>
  <c r="R225" i="85"/>
  <c r="N33" i="84" s="1"/>
  <c r="N32" i="84" s="1"/>
  <c r="N225" i="85"/>
  <c r="J33" i="84" s="1"/>
  <c r="J32" i="84" s="1"/>
  <c r="S229" i="85"/>
  <c r="T229" i="85" s="1"/>
  <c r="S200" i="85"/>
  <c r="T200" i="85" s="1"/>
  <c r="S128" i="85"/>
  <c r="S45" i="85"/>
  <c r="T45" i="85" s="1"/>
  <c r="S46" i="85"/>
  <c r="T46" i="85" s="1"/>
  <c r="S47" i="85"/>
  <c r="T47" i="85" s="1"/>
  <c r="L12" i="45" l="1"/>
  <c r="P74" i="66"/>
  <c r="O79" i="66"/>
  <c r="K16" i="45"/>
  <c r="K14" i="45" s="1"/>
  <c r="I17" i="45"/>
  <c r="P119" i="66"/>
  <c r="M79" i="66"/>
  <c r="M10" i="66"/>
  <c r="L13" i="45"/>
  <c r="L21" i="45"/>
  <c r="J14" i="45"/>
  <c r="K10" i="45"/>
  <c r="L19" i="45"/>
  <c r="K17" i="45"/>
  <c r="T13" i="40"/>
  <c r="S13" i="40" s="1"/>
  <c r="I10" i="45"/>
  <c r="T128" i="85"/>
  <c r="I32" i="48"/>
  <c r="U12" i="40"/>
  <c r="S12" i="40" s="1"/>
  <c r="P68" i="66"/>
  <c r="M105" i="66"/>
  <c r="P11" i="66"/>
  <c r="O10" i="66"/>
  <c r="N79" i="66"/>
  <c r="O105" i="66"/>
  <c r="P89" i="66"/>
  <c r="P80" i="66" s="1"/>
  <c r="P113" i="66"/>
  <c r="P128" i="66"/>
  <c r="N11" i="66"/>
  <c r="N106" i="66"/>
  <c r="P99" i="66"/>
  <c r="P97" i="66" s="1"/>
  <c r="I22" i="45" l="1"/>
  <c r="I26" i="45" s="1"/>
  <c r="M132" i="66"/>
  <c r="M136" i="66" s="1"/>
  <c r="L16" i="45"/>
  <c r="L14" i="45" s="1"/>
  <c r="N105" i="66"/>
  <c r="J18" i="45"/>
  <c r="P126" i="66"/>
  <c r="P106" i="66"/>
  <c r="P105" i="66" s="1"/>
  <c r="P79" i="66"/>
  <c r="K22" i="45"/>
  <c r="K26" i="45" s="1"/>
  <c r="O132" i="66"/>
  <c r="O136" i="66" s="1"/>
  <c r="N10" i="66"/>
  <c r="J11" i="45"/>
  <c r="P10" i="66"/>
  <c r="N132" i="66" l="1"/>
  <c r="N136" i="66" s="1"/>
  <c r="T9" i="40"/>
  <c r="X9" i="40"/>
  <c r="J17" i="45"/>
  <c r="L18" i="45"/>
  <c r="L17" i="45" s="1"/>
  <c r="J10" i="45"/>
  <c r="L11" i="45"/>
  <c r="P132" i="66"/>
  <c r="P136" i="66" s="1"/>
  <c r="J22" i="45" l="1"/>
  <c r="U9" i="40" s="1"/>
  <c r="S9" i="40" s="1"/>
  <c r="L10" i="45"/>
  <c r="P17" i="85"/>
  <c r="L13" i="84" s="1"/>
  <c r="L12" i="84" s="1"/>
  <c r="R238" i="85"/>
  <c r="R233" i="85"/>
  <c r="R231" i="85"/>
  <c r="N35" i="84" s="1"/>
  <c r="N34" i="84" s="1"/>
  <c r="R224" i="85"/>
  <c r="R221" i="85"/>
  <c r="R215" i="85"/>
  <c r="R209" i="85"/>
  <c r="R198" i="85"/>
  <c r="N23" i="84" s="1"/>
  <c r="R162" i="85"/>
  <c r="R151" i="85"/>
  <c r="N20" i="84" s="1"/>
  <c r="R91" i="85"/>
  <c r="R21" i="85"/>
  <c r="R17" i="85"/>
  <c r="N13" i="84" s="1"/>
  <c r="N12" i="84" s="1"/>
  <c r="Q238" i="85"/>
  <c r="Q233" i="85"/>
  <c r="Q231" i="85"/>
  <c r="M35" i="84" s="1"/>
  <c r="M34" i="84" s="1"/>
  <c r="Q224" i="85"/>
  <c r="Q221" i="85"/>
  <c r="Q215" i="85"/>
  <c r="Q209" i="85"/>
  <c r="Q198" i="85"/>
  <c r="M23" i="84" s="1"/>
  <c r="Q162" i="85"/>
  <c r="M22" i="84" s="1"/>
  <c r="Q151" i="85"/>
  <c r="M20" i="84" s="1"/>
  <c r="Q91" i="85"/>
  <c r="Q21" i="85"/>
  <c r="Q17" i="85"/>
  <c r="P238" i="85"/>
  <c r="P233" i="85"/>
  <c r="P231" i="85"/>
  <c r="P224" i="85"/>
  <c r="P221" i="85"/>
  <c r="P215" i="85"/>
  <c r="P209" i="85"/>
  <c r="P198" i="85"/>
  <c r="L23" i="84" s="1"/>
  <c r="P162" i="85"/>
  <c r="L22" i="84" s="1"/>
  <c r="P151" i="85"/>
  <c r="L20" i="84" s="1"/>
  <c r="P91" i="85"/>
  <c r="L17" i="84" s="1"/>
  <c r="L16" i="84" s="1"/>
  <c r="P21" i="85"/>
  <c r="P16" i="85"/>
  <c r="O238" i="85"/>
  <c r="O233" i="85"/>
  <c r="O231" i="85"/>
  <c r="O224" i="85"/>
  <c r="O221" i="85"/>
  <c r="O215" i="85"/>
  <c r="O209" i="85"/>
  <c r="O198" i="85"/>
  <c r="K23" i="84" s="1"/>
  <c r="O162" i="85"/>
  <c r="O151" i="85"/>
  <c r="K20" i="84" s="1"/>
  <c r="O91" i="85"/>
  <c r="O21" i="85"/>
  <c r="O17" i="85"/>
  <c r="N238" i="85"/>
  <c r="N233" i="85"/>
  <c r="N231" i="85"/>
  <c r="N224" i="85"/>
  <c r="N221" i="85"/>
  <c r="N215" i="85"/>
  <c r="N209" i="85"/>
  <c r="N198" i="85"/>
  <c r="J23" i="84" s="1"/>
  <c r="S196" i="85"/>
  <c r="N162" i="85"/>
  <c r="J22" i="84" s="1"/>
  <c r="N151" i="85"/>
  <c r="J20" i="84" s="1"/>
  <c r="N96" i="85"/>
  <c r="N91" i="85"/>
  <c r="N21" i="85"/>
  <c r="N17" i="85"/>
  <c r="S236" i="85"/>
  <c r="S234" i="85" s="1"/>
  <c r="S235" i="85"/>
  <c r="S232" i="85"/>
  <c r="S228" i="85"/>
  <c r="S227" i="85"/>
  <c r="S226" i="85"/>
  <c r="S223" i="85"/>
  <c r="S220" i="85"/>
  <c r="S219" i="85"/>
  <c r="S217" i="85"/>
  <c r="S213" i="85"/>
  <c r="S214" i="85"/>
  <c r="S212" i="85"/>
  <c r="S210" i="85"/>
  <c r="S201" i="85"/>
  <c r="S202" i="85"/>
  <c r="S203" i="85"/>
  <c r="S204" i="85"/>
  <c r="S205" i="85"/>
  <c r="S206" i="85"/>
  <c r="S207" i="85"/>
  <c r="S199" i="85"/>
  <c r="S164" i="85"/>
  <c r="S165" i="85"/>
  <c r="S167" i="85"/>
  <c r="T167" i="85" s="1"/>
  <c r="S168" i="85"/>
  <c r="T168" i="85" s="1"/>
  <c r="S169" i="85"/>
  <c r="T169" i="85" s="1"/>
  <c r="S170" i="85"/>
  <c r="T170" i="85" s="1"/>
  <c r="S171" i="85"/>
  <c r="S172" i="85"/>
  <c r="S173" i="85"/>
  <c r="S174" i="85"/>
  <c r="S175" i="85"/>
  <c r="S176" i="85"/>
  <c r="S179" i="85"/>
  <c r="S181" i="85"/>
  <c r="S182" i="85"/>
  <c r="S183" i="85"/>
  <c r="S184" i="85"/>
  <c r="S185" i="85"/>
  <c r="S186" i="85"/>
  <c r="S187" i="85"/>
  <c r="S188" i="85"/>
  <c r="S195" i="85"/>
  <c r="S197" i="85"/>
  <c r="S163" i="85"/>
  <c r="S153" i="85"/>
  <c r="S154" i="85"/>
  <c r="S155" i="85"/>
  <c r="S156" i="85"/>
  <c r="S157" i="85"/>
  <c r="S158" i="85"/>
  <c r="S159" i="85"/>
  <c r="S160" i="85"/>
  <c r="S152" i="85"/>
  <c r="S98" i="85"/>
  <c r="S99" i="85"/>
  <c r="S100" i="85"/>
  <c r="S101" i="85"/>
  <c r="S102" i="85"/>
  <c r="T102" i="85" s="1"/>
  <c r="S103" i="85"/>
  <c r="S104" i="85"/>
  <c r="S105" i="85"/>
  <c r="S106" i="85"/>
  <c r="S107" i="85"/>
  <c r="S109" i="85"/>
  <c r="S110" i="85"/>
  <c r="S111" i="85"/>
  <c r="S112" i="85"/>
  <c r="S113" i="85"/>
  <c r="S114" i="85"/>
  <c r="S115" i="85"/>
  <c r="S116" i="85"/>
  <c r="S117" i="85"/>
  <c r="S118" i="85"/>
  <c r="S119" i="85"/>
  <c r="S120" i="85"/>
  <c r="S121" i="85"/>
  <c r="S122" i="85"/>
  <c r="S124" i="85"/>
  <c r="S125" i="85"/>
  <c r="S126" i="85"/>
  <c r="S127" i="85"/>
  <c r="S129" i="85"/>
  <c r="S130" i="85"/>
  <c r="S131" i="85"/>
  <c r="S133" i="85"/>
  <c r="S134" i="85"/>
  <c r="S135" i="85"/>
  <c r="S137" i="85"/>
  <c r="S138" i="85"/>
  <c r="S139" i="85"/>
  <c r="S140" i="85"/>
  <c r="S144" i="85"/>
  <c r="S145" i="85"/>
  <c r="S148" i="85"/>
  <c r="S149" i="85"/>
  <c r="S97" i="85"/>
  <c r="S93" i="85"/>
  <c r="T93" i="85" s="1"/>
  <c r="S94" i="85"/>
  <c r="T94" i="85" s="1"/>
  <c r="S92" i="85"/>
  <c r="T92" i="85" s="1"/>
  <c r="S23" i="85"/>
  <c r="S24" i="85"/>
  <c r="S25" i="85"/>
  <c r="S26" i="85"/>
  <c r="S27" i="85"/>
  <c r="S28" i="85"/>
  <c r="S29" i="85"/>
  <c r="S30" i="85"/>
  <c r="S31" i="85"/>
  <c r="S32" i="85"/>
  <c r="S33" i="85"/>
  <c r="S34" i="85"/>
  <c r="S35" i="85"/>
  <c r="S38" i="85"/>
  <c r="S39" i="85"/>
  <c r="S40" i="85"/>
  <c r="S41" i="85"/>
  <c r="S42" i="85"/>
  <c r="S43" i="85"/>
  <c r="S44" i="85"/>
  <c r="S48" i="85"/>
  <c r="S49" i="85"/>
  <c r="S52" i="85"/>
  <c r="S53" i="85"/>
  <c r="S54" i="85"/>
  <c r="S55" i="85"/>
  <c r="S56" i="85"/>
  <c r="S57" i="85"/>
  <c r="S58" i="85"/>
  <c r="S59" i="85"/>
  <c r="S61" i="85"/>
  <c r="S62" i="85"/>
  <c r="S63" i="85"/>
  <c r="S64" i="85"/>
  <c r="S65" i="85"/>
  <c r="S74" i="85"/>
  <c r="S75" i="85"/>
  <c r="S76" i="85"/>
  <c r="S77" i="85"/>
  <c r="S78" i="85"/>
  <c r="S79" i="85"/>
  <c r="S80" i="85"/>
  <c r="S82" i="85"/>
  <c r="S83" i="85"/>
  <c r="S84" i="85"/>
  <c r="S85" i="85"/>
  <c r="S86" i="85"/>
  <c r="S87" i="85"/>
  <c r="S88" i="85"/>
  <c r="S89" i="85"/>
  <c r="S22" i="85"/>
  <c r="S19" i="85"/>
  <c r="S18" i="85"/>
  <c r="S13" i="85"/>
  <c r="S14" i="85"/>
  <c r="S12" i="85"/>
  <c r="S239" i="85"/>
  <c r="S222" i="85"/>
  <c r="S209" i="85"/>
  <c r="L79" i="89"/>
  <c r="H19" i="51" s="1"/>
  <c r="L76" i="89"/>
  <c r="H18" i="51" s="1"/>
  <c r="L52" i="89"/>
  <c r="H14" i="51" s="1"/>
  <c r="L49" i="89"/>
  <c r="H13" i="51" s="1"/>
  <c r="L11" i="89"/>
  <c r="H11" i="51" s="1"/>
  <c r="K79" i="89"/>
  <c r="G19" i="51" s="1"/>
  <c r="K76" i="89"/>
  <c r="K52" i="89"/>
  <c r="G14" i="51" s="1"/>
  <c r="L14" i="51" s="1"/>
  <c r="K49" i="89"/>
  <c r="G13" i="51" s="1"/>
  <c r="K11" i="89"/>
  <c r="G11" i="51" s="1"/>
  <c r="N11" i="90"/>
  <c r="O26" i="90"/>
  <c r="O23" i="90"/>
  <c r="O21" i="90"/>
  <c r="O14" i="90"/>
  <c r="O12" i="90"/>
  <c r="M25" i="90"/>
  <c r="M24" i="90" s="1"/>
  <c r="H13" i="53" s="1"/>
  <c r="M11" i="90"/>
  <c r="Q13" i="76"/>
  <c r="Q14" i="76"/>
  <c r="Q12" i="76"/>
  <c r="Q19" i="76"/>
  <c r="Q62" i="76"/>
  <c r="P62" i="76"/>
  <c r="P18" i="76"/>
  <c r="P11" i="76"/>
  <c r="K11" i="47" s="1"/>
  <c r="K10" i="47" s="1"/>
  <c r="O62" i="76"/>
  <c r="O18" i="76"/>
  <c r="O11" i="76"/>
  <c r="O10" i="76" s="1"/>
  <c r="N40" i="67"/>
  <c r="M32" i="67"/>
  <c r="I19" i="57" s="1"/>
  <c r="L12" i="67"/>
  <c r="N12" i="67" s="1"/>
  <c r="L15" i="67"/>
  <c r="L16" i="67"/>
  <c r="L17" i="67"/>
  <c r="N17" i="67" s="1"/>
  <c r="L18" i="67"/>
  <c r="L19" i="67"/>
  <c r="N19" i="67" s="1"/>
  <c r="L20" i="67"/>
  <c r="N20" i="67" s="1"/>
  <c r="L22" i="67"/>
  <c r="L21" i="67" s="1"/>
  <c r="L23" i="67"/>
  <c r="L26" i="67"/>
  <c r="L25" i="67" s="1"/>
  <c r="L27" i="67"/>
  <c r="L28" i="67"/>
  <c r="L33" i="67"/>
  <c r="L34" i="67"/>
  <c r="N34" i="67" s="1"/>
  <c r="L37" i="67"/>
  <c r="N36" i="67" s="1"/>
  <c r="M178" i="65"/>
  <c r="N171" i="65"/>
  <c r="J29" i="44"/>
  <c r="I29" i="44"/>
  <c r="I27" i="44" s="1"/>
  <c r="N156" i="65"/>
  <c r="N139" i="65"/>
  <c r="J26" i="44" s="1"/>
  <c r="I26" i="44"/>
  <c r="N80" i="65"/>
  <c r="M80" i="65"/>
  <c r="I24" i="44" s="1"/>
  <c r="N85" i="65"/>
  <c r="J25" i="44" s="1"/>
  <c r="M85" i="65"/>
  <c r="I25" i="44" s="1"/>
  <c r="N63" i="65"/>
  <c r="M63" i="65"/>
  <c r="P10" i="65"/>
  <c r="I11" i="44"/>
  <c r="J11" i="44"/>
  <c r="J12" i="44"/>
  <c r="I12" i="44"/>
  <c r="O188" i="65"/>
  <c r="O180" i="65"/>
  <c r="O179" i="65"/>
  <c r="O78" i="65"/>
  <c r="O77" i="65"/>
  <c r="O61" i="65"/>
  <c r="O60" i="65"/>
  <c r="O59" i="65"/>
  <c r="O163" i="65" l="1"/>
  <c r="R230" i="85"/>
  <c r="P90" i="85"/>
  <c r="L32" i="67"/>
  <c r="L31" i="67" s="1"/>
  <c r="N33" i="67"/>
  <c r="O25" i="90"/>
  <c r="O24" i="90" s="1"/>
  <c r="J13" i="53"/>
  <c r="J12" i="53" s="1"/>
  <c r="H12" i="53"/>
  <c r="I19" i="51"/>
  <c r="M76" i="89"/>
  <c r="K75" i="89"/>
  <c r="G18" i="51"/>
  <c r="M79" i="89"/>
  <c r="M75" i="89" s="1"/>
  <c r="H17" i="51"/>
  <c r="J26" i="45"/>
  <c r="S11" i="85"/>
  <c r="M52" i="89"/>
  <c r="L22" i="45"/>
  <c r="L26" i="45" s="1"/>
  <c r="J21" i="84"/>
  <c r="L21" i="84"/>
  <c r="P17" i="76"/>
  <c r="K14" i="47"/>
  <c r="K13" i="47" s="1"/>
  <c r="P61" i="76"/>
  <c r="K16" i="47"/>
  <c r="K15" i="47" s="1"/>
  <c r="Q18" i="76"/>
  <c r="Q17" i="76" s="1"/>
  <c r="J11" i="47"/>
  <c r="O17" i="76"/>
  <c r="J14" i="47"/>
  <c r="O61" i="76"/>
  <c r="J16" i="47"/>
  <c r="Q11" i="76"/>
  <c r="Q10" i="76" s="1"/>
  <c r="P10" i="76"/>
  <c r="I18" i="57"/>
  <c r="M31" i="67"/>
  <c r="M155" i="65"/>
  <c r="I10" i="44"/>
  <c r="M62" i="65"/>
  <c r="I18" i="44"/>
  <c r="I17" i="44" s="1"/>
  <c r="K35" i="44"/>
  <c r="N62" i="65"/>
  <c r="J18" i="44"/>
  <c r="J17" i="44" s="1"/>
  <c r="N155" i="65"/>
  <c r="J28" i="44"/>
  <c r="J27" i="44" s="1"/>
  <c r="O187" i="65"/>
  <c r="O76" i="65"/>
  <c r="J10" i="44"/>
  <c r="I23" i="44"/>
  <c r="N170" i="65"/>
  <c r="J31" i="44"/>
  <c r="J30" i="44" s="1"/>
  <c r="M24" i="65"/>
  <c r="I14" i="44"/>
  <c r="I13" i="44" s="1"/>
  <c r="N79" i="65"/>
  <c r="J24" i="44"/>
  <c r="J23" i="44" s="1"/>
  <c r="N10" i="90"/>
  <c r="N27" i="90" s="1"/>
  <c r="N31" i="90" s="1"/>
  <c r="I11" i="53"/>
  <c r="I10" i="53" s="1"/>
  <c r="I14" i="53" s="1"/>
  <c r="O11" i="90"/>
  <c r="O10" i="90" s="1"/>
  <c r="M10" i="90"/>
  <c r="M27" i="90" s="1"/>
  <c r="M31" i="90" s="1"/>
  <c r="H11" i="53"/>
  <c r="N24" i="65"/>
  <c r="J14" i="44"/>
  <c r="J13" i="44" s="1"/>
  <c r="O24" i="65"/>
  <c r="M170" i="65"/>
  <c r="I32" i="44"/>
  <c r="I30" i="44" s="1"/>
  <c r="N10" i="65"/>
  <c r="O58" i="65"/>
  <c r="O72" i="65"/>
  <c r="O80" i="65"/>
  <c r="M79" i="65"/>
  <c r="N16" i="85"/>
  <c r="J13" i="84"/>
  <c r="J12" i="84" s="1"/>
  <c r="N208" i="85"/>
  <c r="J25" i="84"/>
  <c r="J24" i="84" s="1"/>
  <c r="O16" i="85"/>
  <c r="K13" i="84"/>
  <c r="K12" i="84" s="1"/>
  <c r="P20" i="85"/>
  <c r="L15" i="84"/>
  <c r="L14" i="84" s="1"/>
  <c r="Q20" i="85"/>
  <c r="M15" i="84"/>
  <c r="M14" i="84" s="1"/>
  <c r="S225" i="85"/>
  <c r="S224" i="85" s="1"/>
  <c r="N20" i="85"/>
  <c r="J15" i="84"/>
  <c r="J14" i="84" s="1"/>
  <c r="O20" i="85"/>
  <c r="K15" i="84"/>
  <c r="K14" i="84" s="1"/>
  <c r="Q90" i="85"/>
  <c r="M17" i="84"/>
  <c r="M16" i="84" s="1"/>
  <c r="R20" i="85"/>
  <c r="N15" i="84"/>
  <c r="N14" i="84" s="1"/>
  <c r="S17" i="85"/>
  <c r="N90" i="85"/>
  <c r="J17" i="84"/>
  <c r="J16" i="84" s="1"/>
  <c r="O90" i="85"/>
  <c r="K17" i="84"/>
  <c r="K16" i="84" s="1"/>
  <c r="Q95" i="85"/>
  <c r="M19" i="84"/>
  <c r="M18" i="84" s="1"/>
  <c r="Q230" i="85"/>
  <c r="R90" i="85"/>
  <c r="N17" i="84"/>
  <c r="N16" i="84" s="1"/>
  <c r="N95" i="85"/>
  <c r="J19" i="84"/>
  <c r="J18" i="84" s="1"/>
  <c r="O95" i="85"/>
  <c r="K19" i="84"/>
  <c r="K18" i="84" s="1"/>
  <c r="O230" i="85"/>
  <c r="K35" i="84"/>
  <c r="K34" i="84" s="1"/>
  <c r="P95" i="85"/>
  <c r="L19" i="84"/>
  <c r="L18" i="84" s="1"/>
  <c r="P230" i="85"/>
  <c r="L35" i="84"/>
  <c r="L34" i="84" s="1"/>
  <c r="R95" i="85"/>
  <c r="N19" i="84"/>
  <c r="N18" i="84" s="1"/>
  <c r="O25" i="84"/>
  <c r="S231" i="85"/>
  <c r="N230" i="85"/>
  <c r="J35" i="84"/>
  <c r="J34" i="84" s="1"/>
  <c r="M21" i="84"/>
  <c r="S221" i="85"/>
  <c r="S216" i="85"/>
  <c r="O161" i="85"/>
  <c r="K22" i="84"/>
  <c r="K21" i="84" s="1"/>
  <c r="R161" i="85"/>
  <c r="N22" i="84"/>
  <c r="N21" i="84" s="1"/>
  <c r="S238" i="85"/>
  <c r="P10" i="85"/>
  <c r="L11" i="84"/>
  <c r="L10" i="84" s="1"/>
  <c r="Q10" i="85"/>
  <c r="M11" i="84"/>
  <c r="M10" i="84" s="1"/>
  <c r="Q208" i="85"/>
  <c r="M25" i="84"/>
  <c r="M24" i="84" s="1"/>
  <c r="R10" i="85"/>
  <c r="N11" i="84"/>
  <c r="N10" i="84" s="1"/>
  <c r="N10" i="85"/>
  <c r="J11" i="84"/>
  <c r="J10" i="84" s="1"/>
  <c r="O10" i="85"/>
  <c r="K11" i="84"/>
  <c r="K10" i="84" s="1"/>
  <c r="O208" i="85"/>
  <c r="K25" i="84"/>
  <c r="K24" i="84" s="1"/>
  <c r="P208" i="85"/>
  <c r="L25" i="84"/>
  <c r="L24" i="84" s="1"/>
  <c r="Q16" i="85"/>
  <c r="M13" i="84"/>
  <c r="M12" i="84" s="1"/>
  <c r="R16" i="85"/>
  <c r="R208" i="85"/>
  <c r="N25" i="84"/>
  <c r="N24" i="84" s="1"/>
  <c r="Q161" i="85"/>
  <c r="P161" i="85"/>
  <c r="N161" i="85"/>
  <c r="S91" i="85"/>
  <c r="S198" i="85"/>
  <c r="S218" i="85"/>
  <c r="S211" i="85"/>
  <c r="S123" i="85"/>
  <c r="S96" i="85" s="1"/>
  <c r="S180" i="85"/>
  <c r="S151" i="85"/>
  <c r="S21" i="85"/>
  <c r="L75" i="89"/>
  <c r="M26" i="89"/>
  <c r="L26" i="89"/>
  <c r="H12" i="51" s="1"/>
  <c r="H10" i="51" s="1"/>
  <c r="H20" i="51" s="1"/>
  <c r="M49" i="89"/>
  <c r="K26" i="89"/>
  <c r="N21" i="67"/>
  <c r="N32" i="67"/>
  <c r="N25" i="67"/>
  <c r="L36" i="67"/>
  <c r="L35" i="67" s="1"/>
  <c r="N35" i="67" s="1"/>
  <c r="L11" i="67"/>
  <c r="N14" i="67"/>
  <c r="L14" i="67"/>
  <c r="L13" i="67" s="1"/>
  <c r="N13" i="67" s="1"/>
  <c r="O178" i="65"/>
  <c r="M10" i="65"/>
  <c r="O171" i="65"/>
  <c r="O63" i="65"/>
  <c r="O85" i="65"/>
  <c r="O156" i="65"/>
  <c r="O139" i="65"/>
  <c r="O65" i="76" l="1"/>
  <c r="O69" i="76" s="1"/>
  <c r="O27" i="90"/>
  <c r="O31" i="90" s="1"/>
  <c r="M189" i="65"/>
  <c r="M193" i="65" s="1"/>
  <c r="L10" i="67"/>
  <c r="N10" i="67" s="1"/>
  <c r="N11" i="67"/>
  <c r="U18" i="40"/>
  <c r="AB18" i="40" s="1"/>
  <c r="H24" i="51"/>
  <c r="G17" i="51"/>
  <c r="I18" i="51"/>
  <c r="L10" i="89"/>
  <c r="L81" i="89" s="1"/>
  <c r="L85" i="89" s="1"/>
  <c r="K10" i="89"/>
  <c r="K81" i="89" s="1"/>
  <c r="G12" i="51"/>
  <c r="N39" i="84"/>
  <c r="N43" i="84" s="1"/>
  <c r="R240" i="85"/>
  <c r="R244" i="85" s="1"/>
  <c r="N240" i="85"/>
  <c r="N244" i="85" s="1"/>
  <c r="J39" i="84"/>
  <c r="J43" i="84" s="1"/>
  <c r="O240" i="85"/>
  <c r="O244" i="85" s="1"/>
  <c r="K17" i="47"/>
  <c r="K22" i="47" s="1"/>
  <c r="L16" i="47"/>
  <c r="J15" i="47"/>
  <c r="Q61" i="76"/>
  <c r="J13" i="47"/>
  <c r="L14" i="47"/>
  <c r="J10" i="47"/>
  <c r="L11" i="47"/>
  <c r="P65" i="76"/>
  <c r="P69" i="76" s="1"/>
  <c r="M38" i="67"/>
  <c r="M42" i="67" s="1"/>
  <c r="N31" i="67"/>
  <c r="I23" i="57"/>
  <c r="N189" i="65"/>
  <c r="N193" i="65" s="1"/>
  <c r="O10" i="65"/>
  <c r="O181" i="65"/>
  <c r="J37" i="44"/>
  <c r="U8" i="40" s="1"/>
  <c r="I37" i="44"/>
  <c r="I41" i="44" s="1"/>
  <c r="K31" i="44"/>
  <c r="K26" i="44"/>
  <c r="K12" i="44"/>
  <c r="K11" i="44"/>
  <c r="K25" i="44"/>
  <c r="K24" i="44"/>
  <c r="O75" i="65"/>
  <c r="K22" i="44"/>
  <c r="K34" i="44"/>
  <c r="K29" i="44"/>
  <c r="O71" i="65"/>
  <c r="K20" i="44"/>
  <c r="K28" i="44"/>
  <c r="O62" i="65"/>
  <c r="K18" i="44"/>
  <c r="O57" i="65"/>
  <c r="K16" i="44"/>
  <c r="I18" i="53"/>
  <c r="U16" i="40"/>
  <c r="H10" i="53"/>
  <c r="H14" i="53" s="1"/>
  <c r="J11" i="53"/>
  <c r="K14" i="44"/>
  <c r="K32" i="44"/>
  <c r="O170" i="65"/>
  <c r="S90" i="85"/>
  <c r="O17" i="84"/>
  <c r="O16" i="84" s="1"/>
  <c r="S215" i="85"/>
  <c r="O29" i="84"/>
  <c r="O23" i="84"/>
  <c r="O20" i="84"/>
  <c r="S233" i="85"/>
  <c r="O37" i="84"/>
  <c r="O36" i="84" s="1"/>
  <c r="M39" i="84"/>
  <c r="S95" i="85"/>
  <c r="S162" i="85"/>
  <c r="S161" i="85" s="1"/>
  <c r="P240" i="85"/>
  <c r="P244" i="85" s="1"/>
  <c r="S208" i="85"/>
  <c r="O26" i="84"/>
  <c r="O24" i="84" s="1"/>
  <c r="O31" i="84"/>
  <c r="O30" i="84" s="1"/>
  <c r="Q240" i="85"/>
  <c r="Q244" i="85" s="1"/>
  <c r="K39" i="84"/>
  <c r="O28" i="84"/>
  <c r="S230" i="85"/>
  <c r="O35" i="84"/>
  <c r="O34" i="84" s="1"/>
  <c r="L39" i="84"/>
  <c r="S16" i="85"/>
  <c r="O13" i="84"/>
  <c r="O12" i="84" s="1"/>
  <c r="S20" i="85"/>
  <c r="O15" i="84"/>
  <c r="O14" i="84" s="1"/>
  <c r="O33" i="84"/>
  <c r="O32" i="84" s="1"/>
  <c r="S10" i="85"/>
  <c r="O11" i="84"/>
  <c r="O10" i="84" s="1"/>
  <c r="O79" i="65"/>
  <c r="O155" i="65"/>
  <c r="I20" i="73"/>
  <c r="V11" i="40" l="1"/>
  <c r="X7" i="40"/>
  <c r="G10" i="51"/>
  <c r="G20" i="51" s="1"/>
  <c r="J41" i="44"/>
  <c r="T7" i="40"/>
  <c r="O27" i="84"/>
  <c r="L15" i="47"/>
  <c r="L10" i="47"/>
  <c r="J17" i="47"/>
  <c r="L13" i="47"/>
  <c r="Q65" i="76"/>
  <c r="Q69" i="76" s="1"/>
  <c r="W10" i="40"/>
  <c r="S10" i="40" s="1"/>
  <c r="I28" i="57"/>
  <c r="T8" i="40"/>
  <c r="S8" i="40" s="1"/>
  <c r="K17" i="44"/>
  <c r="O189" i="65"/>
  <c r="O193" i="65" s="1"/>
  <c r="K10" i="44"/>
  <c r="K23" i="44"/>
  <c r="K15" i="44"/>
  <c r="K19" i="44"/>
  <c r="K21" i="44"/>
  <c r="K27" i="44"/>
  <c r="K33" i="44"/>
  <c r="J10" i="53"/>
  <c r="J14" i="53" s="1"/>
  <c r="J18" i="53" s="1"/>
  <c r="H18" i="53"/>
  <c r="T16" i="40"/>
  <c r="S16" i="40" s="1"/>
  <c r="K13" i="44"/>
  <c r="K30" i="44"/>
  <c r="K43" i="84"/>
  <c r="U7" i="40"/>
  <c r="M43" i="84"/>
  <c r="W7" i="40"/>
  <c r="L43" i="84"/>
  <c r="V7" i="40"/>
  <c r="S240" i="85"/>
  <c r="O22" i="84"/>
  <c r="O21" i="84" s="1"/>
  <c r="O19" i="84"/>
  <c r="O18" i="84" s="1"/>
  <c r="G24" i="51" l="1"/>
  <c r="T18" i="40"/>
  <c r="S18" i="40" s="1"/>
  <c r="I10" i="51"/>
  <c r="I20" i="51" s="1"/>
  <c r="I24" i="51" s="1"/>
  <c r="O39" i="84"/>
  <c r="O43" i="84" s="1"/>
  <c r="J22" i="47"/>
  <c r="U11" i="40"/>
  <c r="S11" i="40" s="1"/>
  <c r="L17" i="47"/>
  <c r="L22" i="47" s="1"/>
  <c r="V20" i="40"/>
  <c r="V22" i="40" s="1"/>
  <c r="V24" i="40" s="1"/>
  <c r="AA7" i="40"/>
  <c r="W20" i="40"/>
  <c r="W22" i="40" s="1"/>
  <c r="W24" i="40" s="1"/>
  <c r="K37" i="44"/>
  <c r="K41" i="44" s="1"/>
  <c r="S7" i="40"/>
  <c r="S244" i="85"/>
  <c r="T38" i="85"/>
  <c r="J196" i="85"/>
  <c r="M196" i="85" s="1"/>
  <c r="J176" i="85"/>
  <c r="M176" i="85" s="1"/>
  <c r="U20" i="40" l="1"/>
  <c r="U22" i="40" s="1"/>
  <c r="U24" i="40" s="1"/>
  <c r="L60" i="65" l="1"/>
  <c r="Q60" i="65" s="1"/>
  <c r="L78" i="65"/>
  <c r="Q78" i="65" s="1"/>
  <c r="I61" i="65"/>
  <c r="L61" i="65" s="1"/>
  <c r="Q61" i="65" s="1"/>
  <c r="I59" i="65"/>
  <c r="L64" i="87" l="1"/>
  <c r="L63" i="87"/>
  <c r="J28" i="71" l="1"/>
  <c r="J25" i="71"/>
  <c r="J37" i="69"/>
  <c r="J34" i="69"/>
  <c r="I57" i="68"/>
  <c r="K203" i="85"/>
  <c r="T118" i="85"/>
  <c r="K202" i="85"/>
  <c r="J188" i="85"/>
  <c r="I188" i="85"/>
  <c r="M188" i="85" s="1"/>
  <c r="J173" i="85"/>
  <c r="M173" i="85" s="1"/>
  <c r="K15" i="70" l="1"/>
  <c r="K24" i="63" l="1"/>
  <c r="K10" i="63" l="1"/>
  <c r="K59" i="63"/>
  <c r="P58" i="63"/>
  <c r="N63" i="87"/>
  <c r="P63" i="87" s="1"/>
  <c r="N64" i="87"/>
  <c r="P64" i="87" s="1"/>
  <c r="J66" i="87" l="1"/>
  <c r="L66" i="87" s="1"/>
  <c r="N66" i="87" s="1"/>
  <c r="P66" i="87" l="1"/>
  <c r="P62" i="87" s="1"/>
  <c r="K85" i="89"/>
  <c r="K15" i="51" l="1"/>
  <c r="L15" i="51" s="1"/>
  <c r="K19" i="51"/>
  <c r="K18" i="51"/>
  <c r="K13" i="51"/>
  <c r="K11" i="51"/>
  <c r="G18" i="42"/>
  <c r="G17" i="42"/>
  <c r="G16" i="42"/>
  <c r="G14" i="42"/>
  <c r="G13" i="42"/>
  <c r="G12" i="42"/>
  <c r="G11" i="42"/>
  <c r="G20" i="41"/>
  <c r="G19" i="41"/>
  <c r="G16" i="41"/>
  <c r="G15" i="41"/>
  <c r="G14" i="41"/>
  <c r="G13" i="41"/>
  <c r="G12" i="41"/>
  <c r="G11" i="41"/>
  <c r="K17" i="51" l="1"/>
  <c r="K20" i="51" l="1"/>
  <c r="K27" i="71"/>
  <c r="M27" i="71" s="1"/>
  <c r="J21" i="71"/>
  <c r="J15" i="71" l="1"/>
  <c r="L41" i="87" l="1"/>
  <c r="K31" i="62" l="1"/>
  <c r="K10" i="62" s="1"/>
  <c r="G15" i="42" l="1"/>
  <c r="G10" i="42" s="1"/>
  <c r="G19" i="42" s="1"/>
  <c r="AG6" i="40" s="1"/>
  <c r="K58" i="62"/>
  <c r="K62" i="62" s="1"/>
  <c r="G17" i="41"/>
  <c r="G10" i="41" s="1"/>
  <c r="G21" i="41" s="1"/>
  <c r="K64" i="62"/>
  <c r="K26" i="68"/>
  <c r="J90" i="66"/>
  <c r="J29" i="69"/>
  <c r="I101" i="68"/>
  <c r="I100" i="68"/>
  <c r="I97" i="68"/>
  <c r="I96" i="68"/>
  <c r="I95" i="68"/>
  <c r="L72" i="68"/>
  <c r="O72" i="68" s="1"/>
  <c r="L70" i="68"/>
  <c r="O70" i="68" s="1"/>
  <c r="K128" i="66"/>
  <c r="J99" i="66"/>
  <c r="I94" i="66"/>
  <c r="J89" i="66"/>
  <c r="J87" i="66"/>
  <c r="J85" i="66"/>
  <c r="J82" i="66"/>
  <c r="K60" i="66"/>
  <c r="T74" i="85"/>
  <c r="J180" i="85"/>
  <c r="M180" i="85" s="1"/>
  <c r="J179" i="85"/>
  <c r="M179" i="85" s="1"/>
  <c r="I112" i="85"/>
  <c r="M112" i="85" s="1"/>
  <c r="K104" i="85"/>
  <c r="M104" i="85" s="1"/>
  <c r="M162" i="85" l="1"/>
  <c r="I29" i="68"/>
  <c r="G23" i="42"/>
  <c r="AG5" i="40"/>
  <c r="G25" i="41"/>
  <c r="J14" i="73"/>
  <c r="K20" i="73"/>
  <c r="K19" i="73"/>
  <c r="J59" i="89" l="1"/>
  <c r="J60" i="89"/>
  <c r="J61" i="89"/>
  <c r="J66" i="89"/>
  <c r="J67" i="89"/>
  <c r="J68" i="89"/>
  <c r="J58" i="89"/>
  <c r="P85" i="89"/>
  <c r="I76" i="89"/>
  <c r="J77" i="89"/>
  <c r="J78" i="89"/>
  <c r="I79" i="89"/>
  <c r="J80" i="89"/>
  <c r="I18" i="89"/>
  <c r="J57" i="89" l="1"/>
  <c r="Q57" i="89"/>
  <c r="J79" i="89"/>
  <c r="Q79" i="89" s="1"/>
  <c r="Q80" i="89"/>
  <c r="J76" i="89"/>
  <c r="J75" i="89" s="1"/>
  <c r="Q76" i="89"/>
  <c r="AG18" i="40"/>
  <c r="I75" i="89"/>
  <c r="I15" i="89" l="1"/>
  <c r="L23" i="87" l="1"/>
  <c r="K113" i="66" l="1"/>
  <c r="J104" i="66"/>
  <c r="K109" i="66"/>
  <c r="J109" i="66" l="1"/>
  <c r="J92" i="66"/>
  <c r="J91" i="66"/>
  <c r="L89" i="66"/>
  <c r="Q89" i="66" s="1"/>
  <c r="L99" i="66"/>
  <c r="Q99" i="66" s="1"/>
  <c r="L82" i="66"/>
  <c r="Q82" i="66" s="1"/>
  <c r="L83" i="66"/>
  <c r="Q83" i="66" s="1"/>
  <c r="L84" i="66"/>
  <c r="Q84" i="66" s="1"/>
  <c r="J44" i="66"/>
  <c r="J46" i="66"/>
  <c r="J45" i="66"/>
  <c r="J38" i="66"/>
  <c r="J24" i="66"/>
  <c r="J16" i="66"/>
  <c r="M122" i="85"/>
  <c r="I117" i="85"/>
  <c r="M117" i="85" s="1"/>
  <c r="M16" i="87" l="1"/>
  <c r="I27" i="73" l="1"/>
  <c r="I13" i="62"/>
  <c r="I21" i="89" l="1"/>
  <c r="M42" i="87" l="1"/>
  <c r="N42" i="87" l="1"/>
  <c r="P42" i="87" l="1"/>
  <c r="K23" i="68"/>
  <c r="K20" i="68"/>
  <c r="L36" i="44" l="1"/>
  <c r="L33" i="44"/>
  <c r="L30" i="44"/>
  <c r="L27" i="44"/>
  <c r="L23" i="44"/>
  <c r="L21" i="44"/>
  <c r="L19" i="44"/>
  <c r="L15" i="44"/>
  <c r="L10" i="44"/>
  <c r="F19" i="51"/>
  <c r="L19" i="51" s="1"/>
  <c r="E19" i="51"/>
  <c r="F18" i="51"/>
  <c r="L18" i="51" s="1"/>
  <c r="E18" i="51"/>
  <c r="L17" i="51" l="1"/>
  <c r="L26" i="90"/>
  <c r="P26" i="90" s="1"/>
  <c r="P25" i="90" s="1"/>
  <c r="P24" i="90" s="1"/>
  <c r="L25" i="90"/>
  <c r="L24" i="90" s="1"/>
  <c r="J25" i="90"/>
  <c r="J24" i="90" s="1"/>
  <c r="F13" i="53" s="1"/>
  <c r="I25" i="90"/>
  <c r="I24" i="90"/>
  <c r="E13" i="53" s="1"/>
  <c r="I23" i="90"/>
  <c r="P21" i="90"/>
  <c r="P14" i="90"/>
  <c r="J56" i="89"/>
  <c r="J55" i="89"/>
  <c r="J54" i="89"/>
  <c r="J53" i="89"/>
  <c r="I52" i="89"/>
  <c r="E14" i="51" s="1"/>
  <c r="J51" i="89"/>
  <c r="J50" i="89"/>
  <c r="I49" i="89"/>
  <c r="E13" i="51" s="1"/>
  <c r="J36" i="89"/>
  <c r="J28" i="89"/>
  <c r="J27" i="89"/>
  <c r="I26" i="89"/>
  <c r="E12" i="51" s="1"/>
  <c r="I25" i="89"/>
  <c r="J25" i="89" s="1"/>
  <c r="J23" i="89"/>
  <c r="I22" i="89"/>
  <c r="J22" i="89" s="1"/>
  <c r="J20" i="89"/>
  <c r="J19" i="89"/>
  <c r="J18" i="89"/>
  <c r="I17" i="89"/>
  <c r="J17" i="89" s="1"/>
  <c r="I16" i="89"/>
  <c r="J16" i="89" s="1"/>
  <c r="J15" i="89"/>
  <c r="J14" i="89"/>
  <c r="M14" i="89" s="1"/>
  <c r="I13" i="89"/>
  <c r="J13" i="89" s="1"/>
  <c r="I12" i="89"/>
  <c r="M13" i="87"/>
  <c r="Q14" i="89" l="1"/>
  <c r="M11" i="89"/>
  <c r="M10" i="89" s="1"/>
  <c r="L23" i="90"/>
  <c r="L11" i="90" s="1"/>
  <c r="I11" i="90"/>
  <c r="I10" i="90" s="1"/>
  <c r="I27" i="90" s="1"/>
  <c r="I31" i="90" s="1"/>
  <c r="Q52" i="89"/>
  <c r="J49" i="89"/>
  <c r="F13" i="51" s="1"/>
  <c r="Q49" i="89"/>
  <c r="Q26" i="89"/>
  <c r="J10" i="90"/>
  <c r="J27" i="90" s="1"/>
  <c r="J31" i="90" s="1"/>
  <c r="F11" i="53"/>
  <c r="G13" i="53"/>
  <c r="K13" i="53" s="1"/>
  <c r="K12" i="53" s="1"/>
  <c r="I11" i="89"/>
  <c r="E11" i="51" s="1"/>
  <c r="J52" i="89"/>
  <c r="F14" i="51" s="1"/>
  <c r="J26" i="89"/>
  <c r="F12" i="51" s="1"/>
  <c r="L12" i="51" s="1"/>
  <c r="J21" i="89"/>
  <c r="J12" i="89"/>
  <c r="Q10" i="89" l="1"/>
  <c r="Q81" i="89" s="1"/>
  <c r="M81" i="89"/>
  <c r="M85" i="89" s="1"/>
  <c r="P23" i="90"/>
  <c r="L10" i="90"/>
  <c r="L27" i="90" s="1"/>
  <c r="L31" i="90" s="1"/>
  <c r="P12" i="90"/>
  <c r="E11" i="53"/>
  <c r="G11" i="53" s="1"/>
  <c r="K11" i="53" s="1"/>
  <c r="K10" i="53" s="1"/>
  <c r="K14" i="53" s="1"/>
  <c r="K18" i="53" s="1"/>
  <c r="Q11" i="89"/>
  <c r="J11" i="89"/>
  <c r="J10" i="89" s="1"/>
  <c r="I10" i="89"/>
  <c r="I81" i="89" s="1"/>
  <c r="I85" i="89" s="1"/>
  <c r="P11" i="90" l="1"/>
  <c r="P10" i="90" s="1"/>
  <c r="P27" i="90" s="1"/>
  <c r="P31" i="90" s="1"/>
  <c r="Q85" i="89"/>
  <c r="F11" i="51"/>
  <c r="J81" i="89"/>
  <c r="J85" i="89" s="1"/>
  <c r="P63" i="65"/>
  <c r="L11" i="51" l="1"/>
  <c r="L10" i="51" s="1"/>
  <c r="L20" i="51" s="1"/>
  <c r="F10" i="51"/>
  <c r="L18" i="44"/>
  <c r="P62" i="65"/>
  <c r="L17" i="44" l="1"/>
  <c r="L14" i="44"/>
  <c r="P24" i="65"/>
  <c r="L15" i="87"/>
  <c r="L13" i="44" l="1"/>
  <c r="P189" i="65"/>
  <c r="P193" i="65" s="1"/>
  <c r="N64" i="76"/>
  <c r="R64" i="76" s="1"/>
  <c r="U66" i="76" s="1"/>
  <c r="M62" i="76"/>
  <c r="L62" i="76"/>
  <c r="L37" i="44" l="1"/>
  <c r="K31" i="87"/>
  <c r="L41" i="44" l="1"/>
  <c r="AH8" i="40"/>
  <c r="AH20" i="40" s="1"/>
  <c r="T23" i="85"/>
  <c r="T24" i="85"/>
  <c r="T25" i="85"/>
  <c r="T26" i="85"/>
  <c r="T27" i="85"/>
  <c r="T28" i="85"/>
  <c r="T29" i="85"/>
  <c r="T30" i="85"/>
  <c r="T31" i="85"/>
  <c r="T32" i="85"/>
  <c r="T33" i="85"/>
  <c r="T34" i="85"/>
  <c r="T35" i="85"/>
  <c r="T39" i="85"/>
  <c r="T40" i="85"/>
  <c r="T41" i="85"/>
  <c r="T42" i="85"/>
  <c r="T43" i="85"/>
  <c r="T44" i="85"/>
  <c r="T48" i="85"/>
  <c r="T49" i="85"/>
  <c r="T52" i="85"/>
  <c r="T53" i="85"/>
  <c r="T54" i="85"/>
  <c r="T55" i="85"/>
  <c r="T56" i="85"/>
  <c r="T57" i="85"/>
  <c r="T58" i="85"/>
  <c r="T59" i="85"/>
  <c r="T61" i="85"/>
  <c r="T62" i="85"/>
  <c r="T63" i="85"/>
  <c r="T64" i="85"/>
  <c r="T65" i="85"/>
  <c r="T75" i="85"/>
  <c r="T76" i="85"/>
  <c r="T77" i="85"/>
  <c r="T78" i="85"/>
  <c r="T79" i="85"/>
  <c r="T80" i="85"/>
  <c r="T82" i="85"/>
  <c r="T83" i="85"/>
  <c r="T84" i="85"/>
  <c r="T85" i="85"/>
  <c r="T86" i="85"/>
  <c r="T87" i="85"/>
  <c r="T88" i="85"/>
  <c r="T89" i="85"/>
  <c r="I13" i="70" l="1"/>
  <c r="J13" i="70" s="1"/>
  <c r="I14" i="70"/>
  <c r="J14" i="70" s="1"/>
  <c r="K14" i="70" s="1"/>
  <c r="I12" i="70"/>
  <c r="J12" i="70" s="1"/>
  <c r="K12" i="70" s="1"/>
  <c r="N20" i="70" l="1"/>
  <c r="L11" i="70"/>
  <c r="M11" i="70"/>
  <c r="K15" i="73" l="1"/>
  <c r="K16" i="73"/>
  <c r="K22" i="73"/>
  <c r="K14" i="73" s="1"/>
  <c r="K23" i="73"/>
  <c r="N44" i="87" l="1"/>
  <c r="N46" i="87"/>
  <c r="P46" i="87" s="1"/>
  <c r="N49" i="87"/>
  <c r="P49" i="87" s="1"/>
  <c r="N50" i="87"/>
  <c r="P50" i="87" s="1"/>
  <c r="N51" i="87"/>
  <c r="P51" i="87" s="1"/>
  <c r="N41" i="87"/>
  <c r="P41" i="87" s="1"/>
  <c r="M40" i="87"/>
  <c r="K40" i="87"/>
  <c r="P44" i="87" l="1"/>
  <c r="J21" i="87"/>
  <c r="K21" i="87" s="1"/>
  <c r="L23" i="70"/>
  <c r="M23" i="70"/>
  <c r="K23" i="70"/>
  <c r="N27" i="70"/>
  <c r="N25" i="70"/>
  <c r="N13" i="70"/>
  <c r="N14" i="70"/>
  <c r="N15" i="70"/>
  <c r="P14" i="70" s="1"/>
  <c r="L26" i="70" l="1"/>
  <c r="M26" i="70"/>
  <c r="G14" i="50" s="1"/>
  <c r="N26" i="70"/>
  <c r="K26" i="70"/>
  <c r="E14" i="50" s="1"/>
  <c r="F14" i="50"/>
  <c r="L238" i="85"/>
  <c r="H38" i="84" s="1"/>
  <c r="K238" i="85"/>
  <c r="G38" i="84" s="1"/>
  <c r="I238" i="85"/>
  <c r="E38" i="84" s="1"/>
  <c r="J238" i="85"/>
  <c r="F38" i="84" s="1"/>
  <c r="K45" i="71"/>
  <c r="M45" i="71" s="1"/>
  <c r="M44" i="71" s="1"/>
  <c r="I37" i="71"/>
  <c r="K33" i="71"/>
  <c r="M33" i="71" s="1"/>
  <c r="M32" i="71" s="1"/>
  <c r="I32" i="71"/>
  <c r="K15" i="71"/>
  <c r="M15" i="71" s="1"/>
  <c r="K16" i="71"/>
  <c r="K17" i="71"/>
  <c r="M17" i="71" s="1"/>
  <c r="K18" i="71"/>
  <c r="M18" i="71" s="1"/>
  <c r="K19" i="71"/>
  <c r="M19" i="71" s="1"/>
  <c r="K20" i="71"/>
  <c r="M20" i="71" s="1"/>
  <c r="K21" i="71"/>
  <c r="M21" i="71" s="1"/>
  <c r="K22" i="71"/>
  <c r="M22" i="71" s="1"/>
  <c r="K25" i="71"/>
  <c r="M25" i="71" s="1"/>
  <c r="K28" i="71"/>
  <c r="M28" i="71" s="1"/>
  <c r="K31" i="71"/>
  <c r="M31" i="71" s="1"/>
  <c r="K14" i="71"/>
  <c r="M14" i="71" s="1"/>
  <c r="L38" i="69"/>
  <c r="N38" i="69" s="1"/>
  <c r="L39" i="69"/>
  <c r="N39" i="69" s="1"/>
  <c r="L40" i="69"/>
  <c r="N40" i="69" s="1"/>
  <c r="L37" i="69"/>
  <c r="N37" i="69" s="1"/>
  <c r="N36" i="69" s="1"/>
  <c r="N35" i="69" s="1"/>
  <c r="L13" i="69"/>
  <c r="N13" i="69" s="1"/>
  <c r="L14" i="69"/>
  <c r="N14" i="69" s="1"/>
  <c r="L15" i="69"/>
  <c r="N15" i="69" s="1"/>
  <c r="L16" i="69"/>
  <c r="N16" i="69" s="1"/>
  <c r="L19" i="69"/>
  <c r="N19" i="69" s="1"/>
  <c r="L22" i="69"/>
  <c r="N22" i="69" s="1"/>
  <c r="L23" i="69"/>
  <c r="N23" i="69" s="1"/>
  <c r="L24" i="69"/>
  <c r="N24" i="69" s="1"/>
  <c r="L28" i="69"/>
  <c r="N28" i="69" s="1"/>
  <c r="L29" i="69"/>
  <c r="N29" i="69" s="1"/>
  <c r="L30" i="69"/>
  <c r="N30" i="69" s="1"/>
  <c r="L31" i="69"/>
  <c r="N31" i="69" s="1"/>
  <c r="L32" i="69"/>
  <c r="N32" i="69" s="1"/>
  <c r="L33" i="69"/>
  <c r="N33" i="69" s="1"/>
  <c r="L34" i="69"/>
  <c r="N34" i="69" s="1"/>
  <c r="L12" i="69"/>
  <c r="N12" i="69" s="1"/>
  <c r="L111" i="68"/>
  <c r="O111" i="68" s="1"/>
  <c r="L112" i="68"/>
  <c r="O112" i="68" s="1"/>
  <c r="L113" i="68"/>
  <c r="O113" i="68" s="1"/>
  <c r="L114" i="68"/>
  <c r="O114" i="68" s="1"/>
  <c r="L115" i="68"/>
  <c r="O115" i="68" s="1"/>
  <c r="L116" i="68"/>
  <c r="O116" i="68" s="1"/>
  <c r="L110" i="68"/>
  <c r="O110" i="68" s="1"/>
  <c r="J29" i="68"/>
  <c r="K29" i="68"/>
  <c r="J109" i="68"/>
  <c r="K109" i="68"/>
  <c r="I109" i="68"/>
  <c r="L123" i="68"/>
  <c r="O123" i="68" s="1"/>
  <c r="O122" i="68" s="1"/>
  <c r="L31" i="68"/>
  <c r="O31" i="68" s="1"/>
  <c r="L32" i="68"/>
  <c r="O32" i="68" s="1"/>
  <c r="L33" i="68"/>
  <c r="O33" i="68" s="1"/>
  <c r="L34" i="68"/>
  <c r="O34" i="68" s="1"/>
  <c r="L35" i="68"/>
  <c r="O35" i="68" s="1"/>
  <c r="L36" i="68"/>
  <c r="O36" i="68" s="1"/>
  <c r="L37" i="68"/>
  <c r="O37" i="68" s="1"/>
  <c r="L38" i="68"/>
  <c r="O38" i="68" s="1"/>
  <c r="L39" i="68"/>
  <c r="O39" i="68" s="1"/>
  <c r="L40" i="68"/>
  <c r="O40" i="68" s="1"/>
  <c r="L42" i="68"/>
  <c r="O42" i="68" s="1"/>
  <c r="L44" i="68"/>
  <c r="O44" i="68" s="1"/>
  <c r="L45" i="68"/>
  <c r="O45" i="68" s="1"/>
  <c r="L46" i="68"/>
  <c r="O46" i="68" s="1"/>
  <c r="L47" i="68"/>
  <c r="O47" i="68" s="1"/>
  <c r="L48" i="68"/>
  <c r="O48" i="68" s="1"/>
  <c r="L49" i="68"/>
  <c r="O49" i="68" s="1"/>
  <c r="L50" i="68"/>
  <c r="O50" i="68" s="1"/>
  <c r="L51" i="68"/>
  <c r="O51" i="68" s="1"/>
  <c r="L52" i="68"/>
  <c r="O52" i="68" s="1"/>
  <c r="L53" i="68"/>
  <c r="O53" i="68" s="1"/>
  <c r="L56" i="68"/>
  <c r="O56" i="68" s="1"/>
  <c r="L57" i="68"/>
  <c r="O57" i="68" s="1"/>
  <c r="L58" i="68"/>
  <c r="O58" i="68" s="1"/>
  <c r="L59" i="68"/>
  <c r="O59" i="68" s="1"/>
  <c r="L60" i="68"/>
  <c r="O60" i="68" s="1"/>
  <c r="L61" i="68"/>
  <c r="O61" i="68" s="1"/>
  <c r="L62" i="68"/>
  <c r="O62" i="68" s="1"/>
  <c r="L63" i="68"/>
  <c r="O63" i="68" s="1"/>
  <c r="L64" i="68"/>
  <c r="O64" i="68" s="1"/>
  <c r="L65" i="68"/>
  <c r="O65" i="68" s="1"/>
  <c r="L66" i="68"/>
  <c r="O66" i="68" s="1"/>
  <c r="L67" i="68"/>
  <c r="O67" i="68" s="1"/>
  <c r="L68" i="68"/>
  <c r="O68" i="68" s="1"/>
  <c r="L69" i="68"/>
  <c r="O69" i="68" s="1"/>
  <c r="L71" i="68"/>
  <c r="O71" i="68" s="1"/>
  <c r="L73" i="68"/>
  <c r="O73" i="68" s="1"/>
  <c r="L89" i="68"/>
  <c r="O89" i="68" s="1"/>
  <c r="L90" i="68"/>
  <c r="O90" i="68" s="1"/>
  <c r="L91" i="68"/>
  <c r="O91" i="68" s="1"/>
  <c r="L92" i="68"/>
  <c r="O92" i="68" s="1"/>
  <c r="L93" i="68"/>
  <c r="O93" i="68" s="1"/>
  <c r="L94" i="68"/>
  <c r="O94" i="68" s="1"/>
  <c r="L95" i="68"/>
  <c r="O95" i="68" s="1"/>
  <c r="L96" i="68"/>
  <c r="O96" i="68" s="1"/>
  <c r="L97" i="68"/>
  <c r="O97" i="68" s="1"/>
  <c r="L98" i="68"/>
  <c r="O98" i="68" s="1"/>
  <c r="L99" i="68"/>
  <c r="O99" i="68" s="1"/>
  <c r="L100" i="68"/>
  <c r="O100" i="68" s="1"/>
  <c r="L101" i="68"/>
  <c r="O101" i="68" s="1"/>
  <c r="L102" i="68"/>
  <c r="O102" i="68" s="1"/>
  <c r="L103" i="68"/>
  <c r="O103" i="68" s="1"/>
  <c r="L104" i="68"/>
  <c r="O104" i="68" s="1"/>
  <c r="L105" i="68"/>
  <c r="O105" i="68" s="1"/>
  <c r="L106" i="68"/>
  <c r="O106" i="68" s="1"/>
  <c r="L107" i="68"/>
  <c r="O107" i="68" s="1"/>
  <c r="L28" i="68"/>
  <c r="O28" i="68" s="1"/>
  <c r="L17" i="68"/>
  <c r="O17" i="68" s="1"/>
  <c r="L16" i="68"/>
  <c r="O16" i="68" s="1"/>
  <c r="L13" i="68"/>
  <c r="O13" i="68" s="1"/>
  <c r="L12" i="68"/>
  <c r="O12" i="68" s="1"/>
  <c r="L128" i="66"/>
  <c r="Q128" i="66" s="1"/>
  <c r="L129" i="66"/>
  <c r="Q129" i="66" s="1"/>
  <c r="L130" i="66"/>
  <c r="Q130" i="66" s="1"/>
  <c r="L131" i="66"/>
  <c r="Q131" i="66" s="1"/>
  <c r="L127" i="66"/>
  <c r="Q127" i="66" s="1"/>
  <c r="L125" i="66"/>
  <c r="Q125" i="66" s="1"/>
  <c r="Q124" i="66" s="1"/>
  <c r="L121" i="66"/>
  <c r="Q121" i="66" s="1"/>
  <c r="L123" i="66"/>
  <c r="Q123" i="66" s="1"/>
  <c r="L120" i="66"/>
  <c r="Q120" i="66" s="1"/>
  <c r="K106" i="66"/>
  <c r="L108" i="66"/>
  <c r="Q108" i="66" s="1"/>
  <c r="L109" i="66"/>
  <c r="Q109" i="66" s="1"/>
  <c r="L110" i="66"/>
  <c r="Q110" i="66" s="1"/>
  <c r="L111" i="66"/>
  <c r="Q111" i="66" s="1"/>
  <c r="L112" i="66"/>
  <c r="Q112" i="66" s="1"/>
  <c r="L113" i="66"/>
  <c r="Q113" i="66" s="1"/>
  <c r="L114" i="66"/>
  <c r="Q114" i="66" s="1"/>
  <c r="L115" i="66"/>
  <c r="Q115" i="66" s="1"/>
  <c r="L116" i="66"/>
  <c r="Q116" i="66" s="1"/>
  <c r="L117" i="66"/>
  <c r="Q117" i="66" s="1"/>
  <c r="L118" i="66"/>
  <c r="Q118" i="66" s="1"/>
  <c r="K97" i="66"/>
  <c r="I80" i="66"/>
  <c r="I97" i="66"/>
  <c r="L100" i="66"/>
  <c r="Q100" i="66" s="1"/>
  <c r="L101" i="66"/>
  <c r="Q101" i="66" s="1"/>
  <c r="L102" i="66"/>
  <c r="Q102" i="66" s="1"/>
  <c r="L103" i="66"/>
  <c r="Q103" i="66" s="1"/>
  <c r="L104" i="66"/>
  <c r="Q104" i="66" s="1"/>
  <c r="L85" i="66"/>
  <c r="Q85" i="66" s="1"/>
  <c r="L86" i="66"/>
  <c r="Q86" i="66" s="1"/>
  <c r="Q80" i="66" s="1"/>
  <c r="L87" i="66"/>
  <c r="Q87" i="66" s="1"/>
  <c r="L88" i="66"/>
  <c r="Q88" i="66" s="1"/>
  <c r="L90" i="66"/>
  <c r="Q90" i="66" s="1"/>
  <c r="L91" i="66"/>
  <c r="Q91" i="66" s="1"/>
  <c r="L92" i="66"/>
  <c r="Q92" i="66" s="1"/>
  <c r="L93" i="66"/>
  <c r="Q93" i="66" s="1"/>
  <c r="L94" i="66"/>
  <c r="Q94" i="66" s="1"/>
  <c r="L81" i="66"/>
  <c r="Q81" i="66" s="1"/>
  <c r="L78" i="66"/>
  <c r="Q78" i="66" s="1"/>
  <c r="L76" i="66"/>
  <c r="Q76" i="66" s="1"/>
  <c r="L77" i="66"/>
  <c r="Q77" i="66" s="1"/>
  <c r="L75" i="66"/>
  <c r="Q75" i="66" s="1"/>
  <c r="L70" i="66"/>
  <c r="Q70" i="66" s="1"/>
  <c r="L71" i="66"/>
  <c r="Q71" i="66" s="1"/>
  <c r="L72" i="66"/>
  <c r="Q72" i="66" s="1"/>
  <c r="L73" i="66"/>
  <c r="Q73" i="66" s="1"/>
  <c r="L13" i="66"/>
  <c r="Q13" i="66" s="1"/>
  <c r="L14" i="66"/>
  <c r="Q14" i="66" s="1"/>
  <c r="L15" i="66"/>
  <c r="Q15" i="66" s="1"/>
  <c r="L16" i="66"/>
  <c r="Q16" i="66" s="1"/>
  <c r="L17" i="66"/>
  <c r="Q17" i="66" s="1"/>
  <c r="L19" i="66"/>
  <c r="Q19" i="66" s="1"/>
  <c r="L20" i="66"/>
  <c r="Q20" i="66" s="1"/>
  <c r="L21" i="66"/>
  <c r="Q21" i="66" s="1"/>
  <c r="L22" i="66"/>
  <c r="Q22" i="66" s="1"/>
  <c r="L23" i="66"/>
  <c r="Q23" i="66" s="1"/>
  <c r="L24" i="66"/>
  <c r="Q24" i="66" s="1"/>
  <c r="L25" i="66"/>
  <c r="Q25" i="66" s="1"/>
  <c r="L26" i="66"/>
  <c r="Q26" i="66" s="1"/>
  <c r="L27" i="66"/>
  <c r="Q27" i="66" s="1"/>
  <c r="L28" i="66"/>
  <c r="Q28" i="66" s="1"/>
  <c r="L29" i="66"/>
  <c r="Q29" i="66" s="1"/>
  <c r="L30" i="66"/>
  <c r="Q30" i="66" s="1"/>
  <c r="L31" i="66"/>
  <c r="Q31" i="66" s="1"/>
  <c r="L33" i="66"/>
  <c r="Q33" i="66" s="1"/>
  <c r="L34" i="66"/>
  <c r="Q34" i="66" s="1"/>
  <c r="L35" i="66"/>
  <c r="Q35" i="66" s="1"/>
  <c r="L36" i="66"/>
  <c r="Q36" i="66" s="1"/>
  <c r="L37" i="66"/>
  <c r="Q37" i="66" s="1"/>
  <c r="L38" i="66"/>
  <c r="Q38" i="66" s="1"/>
  <c r="L39" i="66"/>
  <c r="Q39" i="66" s="1"/>
  <c r="L40" i="66"/>
  <c r="Q40" i="66" s="1"/>
  <c r="L41" i="66"/>
  <c r="Q41" i="66" s="1"/>
  <c r="L42" i="66"/>
  <c r="Q42" i="66" s="1"/>
  <c r="L43" i="66"/>
  <c r="Q43" i="66" s="1"/>
  <c r="L44" i="66"/>
  <c r="Q44" i="66" s="1"/>
  <c r="L45" i="66"/>
  <c r="Q45" i="66" s="1"/>
  <c r="L46" i="66"/>
  <c r="Q46" i="66" s="1"/>
  <c r="L47" i="66"/>
  <c r="Q47" i="66" s="1"/>
  <c r="L48" i="66"/>
  <c r="Q48" i="66" s="1"/>
  <c r="L49" i="66"/>
  <c r="Q49" i="66" s="1"/>
  <c r="L50" i="66"/>
  <c r="Q50" i="66" s="1"/>
  <c r="L51" i="66"/>
  <c r="Q51" i="66" s="1"/>
  <c r="L52" i="66"/>
  <c r="Q52" i="66" s="1"/>
  <c r="L53" i="66"/>
  <c r="Q53" i="66" s="1"/>
  <c r="L54" i="66"/>
  <c r="Q54" i="66" s="1"/>
  <c r="L55" i="66"/>
  <c r="Q55" i="66" s="1"/>
  <c r="L56" i="66"/>
  <c r="Q56" i="66" s="1"/>
  <c r="L57" i="66"/>
  <c r="Q57" i="66" s="1"/>
  <c r="L58" i="66"/>
  <c r="Q58" i="66" s="1"/>
  <c r="L59" i="66"/>
  <c r="Q59" i="66" s="1"/>
  <c r="L60" i="66"/>
  <c r="Q60" i="66" s="1"/>
  <c r="L61" i="66"/>
  <c r="Q61" i="66" s="1"/>
  <c r="L63" i="66"/>
  <c r="Q63" i="66" s="1"/>
  <c r="L64" i="66"/>
  <c r="Q64" i="66" s="1"/>
  <c r="L65" i="66"/>
  <c r="Q65" i="66" s="1"/>
  <c r="L66" i="66"/>
  <c r="Q66" i="66" s="1"/>
  <c r="L67" i="66"/>
  <c r="Q67" i="66" s="1"/>
  <c r="L12" i="66"/>
  <c r="Q12" i="66" s="1"/>
  <c r="M235" i="85"/>
  <c r="M232" i="85"/>
  <c r="T232" i="85" s="1"/>
  <c r="T227" i="85"/>
  <c r="T228" i="85"/>
  <c r="M226" i="85"/>
  <c r="T226" i="85" s="1"/>
  <c r="J209" i="85"/>
  <c r="J208" i="85" s="1"/>
  <c r="K208" i="85"/>
  <c r="L208" i="85"/>
  <c r="I208" i="85"/>
  <c r="M201" i="85"/>
  <c r="T201" i="85" s="1"/>
  <c r="M202" i="85"/>
  <c r="T202" i="85" s="1"/>
  <c r="M203" i="85"/>
  <c r="T203" i="85" s="1"/>
  <c r="M204" i="85"/>
  <c r="T204" i="85" s="1"/>
  <c r="M205" i="85"/>
  <c r="T205" i="85" s="1"/>
  <c r="M206" i="85"/>
  <c r="T206" i="85" s="1"/>
  <c r="M207" i="85"/>
  <c r="T207" i="85" s="1"/>
  <c r="M199" i="85"/>
  <c r="T199" i="85" s="1"/>
  <c r="T164" i="85"/>
  <c r="T165" i="85"/>
  <c r="T171" i="85"/>
  <c r="T172" i="85"/>
  <c r="T173" i="85"/>
  <c r="T174" i="85"/>
  <c r="T175" i="85"/>
  <c r="T176" i="85"/>
  <c r="T179" i="85"/>
  <c r="T180" i="85"/>
  <c r="T181" i="85"/>
  <c r="T182" i="85"/>
  <c r="T183" i="85"/>
  <c r="T184" i="85"/>
  <c r="T185" i="85"/>
  <c r="T186" i="85"/>
  <c r="T187" i="85"/>
  <c r="T188" i="85"/>
  <c r="T189" i="85"/>
  <c r="T194" i="85"/>
  <c r="T195" i="85"/>
  <c r="T196" i="85"/>
  <c r="T197" i="85"/>
  <c r="T163" i="85"/>
  <c r="T153" i="85"/>
  <c r="T154" i="85"/>
  <c r="T155" i="85"/>
  <c r="T156" i="85"/>
  <c r="T157" i="85"/>
  <c r="T158" i="85"/>
  <c r="T159" i="85"/>
  <c r="T160" i="85"/>
  <c r="T152" i="85"/>
  <c r="T98" i="85"/>
  <c r="T99" i="85"/>
  <c r="T100" i="85"/>
  <c r="T101" i="85"/>
  <c r="T103" i="85"/>
  <c r="T104" i="85"/>
  <c r="T105" i="85"/>
  <c r="T106" i="85"/>
  <c r="T107" i="85"/>
  <c r="T109" i="85"/>
  <c r="T110" i="85"/>
  <c r="T111" i="85"/>
  <c r="T112" i="85"/>
  <c r="T113" i="85"/>
  <c r="T114" i="85"/>
  <c r="T115" i="85"/>
  <c r="T116" i="85"/>
  <c r="T117" i="85"/>
  <c r="T119" i="85"/>
  <c r="T120" i="85"/>
  <c r="T121" i="85"/>
  <c r="T122" i="85"/>
  <c r="T123" i="85"/>
  <c r="T124" i="85"/>
  <c r="T125" i="85"/>
  <c r="T126" i="85"/>
  <c r="T127" i="85"/>
  <c r="T129" i="85"/>
  <c r="T130" i="85"/>
  <c r="T131" i="85"/>
  <c r="T133" i="85"/>
  <c r="T134" i="85"/>
  <c r="T135" i="85"/>
  <c r="T137" i="85"/>
  <c r="T138" i="85"/>
  <c r="T139" i="85"/>
  <c r="T140" i="85"/>
  <c r="T144" i="85"/>
  <c r="T145" i="85"/>
  <c r="T148" i="85"/>
  <c r="T149" i="85"/>
  <c r="J21" i="85"/>
  <c r="J20" i="85" s="1"/>
  <c r="K21" i="85"/>
  <c r="L21" i="85"/>
  <c r="M19" i="85"/>
  <c r="T19" i="85" s="1"/>
  <c r="M18" i="85"/>
  <c r="T18" i="85" s="1"/>
  <c r="M13" i="85"/>
  <c r="T13" i="85" s="1"/>
  <c r="M14" i="85"/>
  <c r="T14" i="85" s="1"/>
  <c r="M12" i="85"/>
  <c r="T235" i="85" l="1"/>
  <c r="M234" i="85"/>
  <c r="Q126" i="66"/>
  <c r="Q74" i="66"/>
  <c r="Q119" i="66"/>
  <c r="Q11" i="66"/>
  <c r="N11" i="69"/>
  <c r="O11" i="68"/>
  <c r="O10" i="68" s="1"/>
  <c r="O109" i="68"/>
  <c r="O108" i="68" s="1"/>
  <c r="O27" i="68"/>
  <c r="O15" i="68"/>
  <c r="O14" i="68" s="1"/>
  <c r="M11" i="85"/>
  <c r="T11" i="85" s="1"/>
  <c r="P11" i="84" s="1"/>
  <c r="P10" i="84" s="1"/>
  <c r="T12" i="85"/>
  <c r="L109" i="68"/>
  <c r="B9" i="79"/>
  <c r="F12" i="47" l="1"/>
  <c r="G12" i="47"/>
  <c r="H12" i="47"/>
  <c r="E12" i="47"/>
  <c r="K62" i="76"/>
  <c r="F16" i="47" s="1"/>
  <c r="G16" i="47"/>
  <c r="H16" i="47"/>
  <c r="J62" i="76"/>
  <c r="J61" i="76" s="1"/>
  <c r="R23" i="76"/>
  <c r="R25" i="76"/>
  <c r="R26" i="76"/>
  <c r="R27" i="76"/>
  <c r="R52" i="76"/>
  <c r="R53" i="76"/>
  <c r="R54" i="76"/>
  <c r="R55" i="76"/>
  <c r="R59" i="76"/>
  <c r="R60" i="76"/>
  <c r="N19" i="76"/>
  <c r="R19" i="76" s="1"/>
  <c r="L61" i="76"/>
  <c r="M61" i="76"/>
  <c r="L15" i="76"/>
  <c r="M15" i="76"/>
  <c r="K15" i="76"/>
  <c r="N16" i="76"/>
  <c r="J11" i="76"/>
  <c r="J10" i="76" s="1"/>
  <c r="K11" i="76"/>
  <c r="L11" i="76"/>
  <c r="M11" i="76"/>
  <c r="N15" i="76" l="1"/>
  <c r="R15" i="76" s="1"/>
  <c r="R16" i="76"/>
  <c r="K61" i="76"/>
  <c r="R18" i="76"/>
  <c r="R17" i="76" s="1"/>
  <c r="E16" i="47"/>
  <c r="I12" i="47"/>
  <c r="M12" i="47" s="1"/>
  <c r="K10" i="76"/>
  <c r="M10" i="76"/>
  <c r="L10" i="76"/>
  <c r="J21" i="67" l="1"/>
  <c r="K21" i="67"/>
  <c r="I21" i="67"/>
  <c r="L30" i="67"/>
  <c r="N30" i="67" s="1"/>
  <c r="J11" i="67"/>
  <c r="K11" i="67"/>
  <c r="I11" i="67"/>
  <c r="L29" i="67" l="1"/>
  <c r="L24" i="67" s="1"/>
  <c r="N29" i="67"/>
  <c r="I57" i="63"/>
  <c r="E18" i="42" s="1"/>
  <c r="I56" i="62"/>
  <c r="E20" i="41" s="1"/>
  <c r="I54" i="62"/>
  <c r="F25" i="88"/>
  <c r="G25" i="88"/>
  <c r="H25" i="88" s="1"/>
  <c r="F39" i="88"/>
  <c r="G39" i="88"/>
  <c r="H39" i="88" s="1"/>
  <c r="I52" i="88"/>
  <c r="A111" i="88"/>
  <c r="A112" i="88"/>
  <c r="A118" i="88"/>
  <c r="A119" i="88"/>
  <c r="A120" i="88"/>
  <c r="A121" i="88"/>
  <c r="A122" i="88"/>
  <c r="A123" i="88"/>
  <c r="I53" i="62" l="1"/>
  <c r="L38" i="67"/>
  <c r="N24" i="67"/>
  <c r="N38" i="67" s="1"/>
  <c r="N42" i="67" s="1"/>
  <c r="N90" i="86"/>
  <c r="N89" i="86" l="1"/>
  <c r="N88" i="86"/>
  <c r="N87" i="86"/>
  <c r="N86" i="86"/>
  <c r="N85" i="86"/>
  <c r="N84" i="86"/>
  <c r="N81" i="86"/>
  <c r="N80" i="86"/>
  <c r="N77" i="86"/>
  <c r="N76" i="86"/>
  <c r="N73" i="86"/>
  <c r="N72" i="86"/>
  <c r="N70" i="86"/>
  <c r="N69" i="86"/>
  <c r="N67" i="86"/>
  <c r="N66" i="86"/>
  <c r="N63" i="86"/>
  <c r="N62" i="86"/>
  <c r="N59" i="86"/>
  <c r="N58" i="86"/>
  <c r="N57" i="86"/>
  <c r="N56" i="86"/>
  <c r="N55" i="86"/>
  <c r="N54" i="86"/>
  <c r="N53" i="86"/>
  <c r="N51" i="86"/>
  <c r="N50" i="86"/>
  <c r="N49" i="86"/>
  <c r="N46" i="86"/>
  <c r="N45" i="86"/>
  <c r="N44" i="86"/>
  <c r="N43" i="86"/>
  <c r="N42" i="86"/>
  <c r="N40" i="86"/>
  <c r="M40" i="86" s="1"/>
  <c r="N39" i="86"/>
  <c r="M39" i="86" s="1"/>
  <c r="N38" i="86"/>
  <c r="M38" i="86" s="1"/>
  <c r="N36" i="86"/>
  <c r="N35" i="86"/>
  <c r="N34" i="86"/>
  <c r="N33" i="86"/>
  <c r="N32" i="86"/>
  <c r="N31" i="86"/>
  <c r="N29" i="86"/>
  <c r="N28" i="86"/>
  <c r="N27" i="86"/>
  <c r="N26" i="86"/>
  <c r="N23" i="86"/>
  <c r="N22" i="86"/>
  <c r="N21" i="86"/>
  <c r="N20" i="86"/>
  <c r="N19" i="86"/>
  <c r="N18" i="86"/>
  <c r="M18" i="86" s="1"/>
  <c r="N17" i="86"/>
  <c r="M17" i="86" s="1"/>
  <c r="N16" i="86"/>
  <c r="N15" i="86"/>
  <c r="N14" i="86"/>
  <c r="N12" i="86"/>
  <c r="N11" i="86"/>
  <c r="N9" i="86"/>
  <c r="N8" i="86"/>
  <c r="F18" i="55" l="1"/>
  <c r="F11" i="55"/>
  <c r="G11" i="55"/>
  <c r="I11" i="55" s="1"/>
  <c r="E11" i="55"/>
  <c r="M74" i="87"/>
  <c r="M77" i="87"/>
  <c r="F27" i="55" s="1"/>
  <c r="K78" i="87"/>
  <c r="L78" i="87" s="1"/>
  <c r="N78" i="87" s="1"/>
  <c r="K76" i="87"/>
  <c r="K75" i="87"/>
  <c r="L75" i="87" s="1"/>
  <c r="N69" i="87"/>
  <c r="F24" i="55"/>
  <c r="J72" i="87"/>
  <c r="M62" i="87"/>
  <c r="F23" i="55" s="1"/>
  <c r="P60" i="87"/>
  <c r="M60" i="87"/>
  <c r="G22" i="55" s="1"/>
  <c r="L60" i="87"/>
  <c r="F22" i="55" s="1"/>
  <c r="K60" i="87"/>
  <c r="E22" i="55" s="1"/>
  <c r="J60" i="87"/>
  <c r="J58" i="87"/>
  <c r="K58" i="87" s="1"/>
  <c r="M58" i="87" s="1"/>
  <c r="N58" i="87" s="1"/>
  <c r="P58" i="87" s="1"/>
  <c r="J57" i="87"/>
  <c r="K57" i="87" s="1"/>
  <c r="M57" i="87" s="1"/>
  <c r="N56" i="87"/>
  <c r="P56" i="87" s="1"/>
  <c r="K56" i="87"/>
  <c r="M55" i="87"/>
  <c r="L54" i="87"/>
  <c r="L53" i="87" s="1"/>
  <c r="E19" i="55" s="1"/>
  <c r="K55" i="87"/>
  <c r="J53" i="87"/>
  <c r="L47" i="87"/>
  <c r="L40" i="87" s="1"/>
  <c r="J47" i="87"/>
  <c r="J40" i="87" s="1"/>
  <c r="J36" i="87" s="1"/>
  <c r="N38" i="87"/>
  <c r="K38" i="87"/>
  <c r="M36" i="87"/>
  <c r="F16" i="55" s="1"/>
  <c r="E17" i="55"/>
  <c r="J35" i="87"/>
  <c r="K35" i="87" s="1"/>
  <c r="M35" i="87" s="1"/>
  <c r="L34" i="87"/>
  <c r="L33" i="87" s="1"/>
  <c r="E14" i="55" s="1"/>
  <c r="N31" i="87"/>
  <c r="P31" i="87" s="1"/>
  <c r="N29" i="87"/>
  <c r="J28" i="87"/>
  <c r="K28" i="87" s="1"/>
  <c r="N27" i="87"/>
  <c r="P27" i="87" s="1"/>
  <c r="J27" i="87"/>
  <c r="K27" i="87" s="1"/>
  <c r="J23" i="87"/>
  <c r="K23" i="87" s="1"/>
  <c r="N23" i="87" s="1"/>
  <c r="P23" i="87" s="1"/>
  <c r="L22" i="87"/>
  <c r="J22" i="87"/>
  <c r="K22" i="87" s="1"/>
  <c r="M22" i="87" s="1"/>
  <c r="N21" i="87"/>
  <c r="P21" i="87" s="1"/>
  <c r="J20" i="87"/>
  <c r="J19" i="87"/>
  <c r="K19" i="87" s="1"/>
  <c r="J18" i="87"/>
  <c r="K18" i="87" s="1"/>
  <c r="L18" i="87" s="1"/>
  <c r="N18" i="87" s="1"/>
  <c r="P18" i="87" s="1"/>
  <c r="J17" i="87"/>
  <c r="K17" i="87" s="1"/>
  <c r="L17" i="87" s="1"/>
  <c r="J16" i="87"/>
  <c r="K16" i="87" s="1"/>
  <c r="N16" i="87" s="1"/>
  <c r="P16" i="87" s="1"/>
  <c r="J15" i="87"/>
  <c r="K15" i="87" s="1"/>
  <c r="J14" i="87"/>
  <c r="K14" i="87" s="1"/>
  <c r="M14" i="87" s="1"/>
  <c r="J13" i="87"/>
  <c r="K13" i="87" s="1"/>
  <c r="J10" i="87"/>
  <c r="P69" i="87" l="1"/>
  <c r="P29" i="87"/>
  <c r="L76" i="87"/>
  <c r="N76" i="87" s="1"/>
  <c r="P76" i="87" s="1"/>
  <c r="P38" i="87"/>
  <c r="P37" i="87" s="1"/>
  <c r="N37" i="87"/>
  <c r="G17" i="55" s="1"/>
  <c r="I17" i="55" s="1"/>
  <c r="N14" i="87"/>
  <c r="M12" i="87"/>
  <c r="N55" i="87"/>
  <c r="P55" i="87" s="1"/>
  <c r="L72" i="87"/>
  <c r="N72" i="87" s="1"/>
  <c r="P72" i="87" s="1"/>
  <c r="M73" i="87"/>
  <c r="F25" i="55" s="1"/>
  <c r="K74" i="87"/>
  <c r="K73" i="87" s="1"/>
  <c r="J59" i="87"/>
  <c r="N19" i="87"/>
  <c r="L28" i="87"/>
  <c r="L26" i="87" s="1"/>
  <c r="N22" i="87"/>
  <c r="P22" i="87" s="1"/>
  <c r="E20" i="55"/>
  <c r="L62" i="87"/>
  <c r="E23" i="55" s="1"/>
  <c r="N45" i="87"/>
  <c r="N75" i="87"/>
  <c r="F17" i="55"/>
  <c r="F26" i="55"/>
  <c r="AO49" i="87"/>
  <c r="N47" i="87"/>
  <c r="P47" i="87" s="1"/>
  <c r="E15" i="55"/>
  <c r="N77" i="87"/>
  <c r="G27" i="55" s="1"/>
  <c r="I27" i="55" s="1"/>
  <c r="M59" i="87"/>
  <c r="F21" i="55" s="1"/>
  <c r="L77" i="87"/>
  <c r="N57" i="87"/>
  <c r="P57" i="87" s="1"/>
  <c r="M54" i="87"/>
  <c r="N15" i="87"/>
  <c r="P15" i="87" s="1"/>
  <c r="M34" i="87"/>
  <c r="N35" i="87"/>
  <c r="P35" i="87" s="1"/>
  <c r="P34" i="87" s="1"/>
  <c r="N13" i="87"/>
  <c r="P13" i="87" s="1"/>
  <c r="J70" i="87"/>
  <c r="K70" i="87" s="1"/>
  <c r="K20" i="87"/>
  <c r="L20" i="87" s="1"/>
  <c r="N20" i="87" s="1"/>
  <c r="P20" i="87" s="1"/>
  <c r="K54" i="87"/>
  <c r="K53" i="87" s="1"/>
  <c r="N60" i="87"/>
  <c r="H22" i="55" s="1"/>
  <c r="H21" i="55" s="1"/>
  <c r="H28" i="55" s="1"/>
  <c r="N40" i="87" l="1"/>
  <c r="L12" i="87"/>
  <c r="P19" i="87"/>
  <c r="N12" i="87"/>
  <c r="P54" i="87"/>
  <c r="I22" i="55"/>
  <c r="H32" i="55"/>
  <c r="X19" i="40"/>
  <c r="L74" i="87"/>
  <c r="E26" i="55" s="1"/>
  <c r="N74" i="87"/>
  <c r="G26" i="55" s="1"/>
  <c r="I26" i="55" s="1"/>
  <c r="I25" i="55" s="1"/>
  <c r="P75" i="87"/>
  <c r="P74" i="87" s="1"/>
  <c r="P14" i="87"/>
  <c r="P45" i="87"/>
  <c r="P40" i="87" s="1"/>
  <c r="E27" i="55"/>
  <c r="M53" i="87"/>
  <c r="F19" i="55" s="1"/>
  <c r="F20" i="55"/>
  <c r="N28" i="87"/>
  <c r="N26" i="87" s="1"/>
  <c r="M33" i="87"/>
  <c r="F14" i="55" s="1"/>
  <c r="F15" i="55"/>
  <c r="L36" i="87"/>
  <c r="E16" i="55" s="1"/>
  <c r="E18" i="55"/>
  <c r="F12" i="55"/>
  <c r="N62" i="87"/>
  <c r="G23" i="55" s="1"/>
  <c r="I23" i="55" s="1"/>
  <c r="N34" i="87"/>
  <c r="N54" i="87"/>
  <c r="L70" i="87"/>
  <c r="L67" i="87" s="1"/>
  <c r="K67" i="87"/>
  <c r="K59" i="87" s="1"/>
  <c r="P12" i="87" l="1"/>
  <c r="L73" i="87"/>
  <c r="E25" i="55" s="1"/>
  <c r="S19" i="40"/>
  <c r="X20" i="40"/>
  <c r="X22" i="40" s="1"/>
  <c r="X24" i="40" s="1"/>
  <c r="G13" i="55"/>
  <c r="I13" i="55" s="1"/>
  <c r="P28" i="87"/>
  <c r="P26" i="87" s="1"/>
  <c r="N73" i="87"/>
  <c r="G25" i="55" s="1"/>
  <c r="N33" i="87"/>
  <c r="G15" i="55"/>
  <c r="I15" i="55" s="1"/>
  <c r="I14" i="55" s="1"/>
  <c r="N53" i="87"/>
  <c r="G20" i="55"/>
  <c r="I20" i="55" s="1"/>
  <c r="I19" i="55" s="1"/>
  <c r="N36" i="87"/>
  <c r="G18" i="55"/>
  <c r="I18" i="55" s="1"/>
  <c r="I16" i="55" s="1"/>
  <c r="E12" i="55"/>
  <c r="G12" i="55"/>
  <c r="I12" i="55" s="1"/>
  <c r="N70" i="87"/>
  <c r="P70" i="87" l="1"/>
  <c r="P67" i="87" s="1"/>
  <c r="N67" i="87"/>
  <c r="P73" i="87"/>
  <c r="N10" i="87"/>
  <c r="P10" i="87" s="1"/>
  <c r="I10" i="55"/>
  <c r="G14" i="55"/>
  <c r="P33" i="87"/>
  <c r="G19" i="55"/>
  <c r="P53" i="87"/>
  <c r="G16" i="55"/>
  <c r="P36" i="87"/>
  <c r="L59" i="87"/>
  <c r="E21" i="55" s="1"/>
  <c r="E24" i="55"/>
  <c r="G10" i="55" l="1"/>
  <c r="N59" i="87"/>
  <c r="P59" i="87" s="1"/>
  <c r="P79" i="87" s="1"/>
  <c r="P82" i="87" s="1"/>
  <c r="G24" i="55"/>
  <c r="I24" i="55" s="1"/>
  <c r="I21" i="55" s="1"/>
  <c r="I28" i="55" s="1"/>
  <c r="I32" i="55" s="1"/>
  <c r="N79" i="87" l="1"/>
  <c r="G21" i="55"/>
  <c r="L188" i="65"/>
  <c r="J187" i="65"/>
  <c r="K187" i="65"/>
  <c r="G36" i="44" s="1"/>
  <c r="I187" i="65"/>
  <c r="G35" i="44"/>
  <c r="L180" i="65"/>
  <c r="Q180" i="65" s="1"/>
  <c r="I171" i="65"/>
  <c r="J85" i="65"/>
  <c r="K85" i="65"/>
  <c r="L163" i="65" l="1"/>
  <c r="L187" i="65"/>
  <c r="Q188" i="65"/>
  <c r="N82" i="87"/>
  <c r="L139" i="65"/>
  <c r="Q139" i="65" s="1"/>
  <c r="L85" i="65"/>
  <c r="Q85" i="65" s="1"/>
  <c r="H36" i="44" l="1"/>
  <c r="M36" i="44" s="1"/>
  <c r="Q187" i="65"/>
  <c r="J76" i="65"/>
  <c r="K76" i="65"/>
  <c r="I76" i="65"/>
  <c r="I75" i="65" s="1"/>
  <c r="L77" i="65"/>
  <c r="Q77" i="65" s="1"/>
  <c r="K58" i="65"/>
  <c r="I58" i="65"/>
  <c r="L59" i="65"/>
  <c r="Q59" i="65" s="1"/>
  <c r="J58" i="65"/>
  <c r="J26" i="73" l="1"/>
  <c r="F14" i="54" s="1"/>
  <c r="I26" i="73"/>
  <c r="E14" i="54" s="1"/>
  <c r="K27" i="73"/>
  <c r="K12" i="73"/>
  <c r="J11" i="73"/>
  <c r="J10" i="73" s="1"/>
  <c r="J57" i="62"/>
  <c r="J56" i="62" s="1"/>
  <c r="F20" i="41" s="1"/>
  <c r="I16" i="62"/>
  <c r="J13" i="62"/>
  <c r="J12" i="62"/>
  <c r="I13" i="73" l="1"/>
  <c r="E17" i="51"/>
  <c r="J58" i="63"/>
  <c r="J57" i="63" s="1"/>
  <c r="F18" i="42" s="1"/>
  <c r="H18" i="42" s="1"/>
  <c r="J56" i="63"/>
  <c r="H55" i="63"/>
  <c r="I55" i="63" s="1"/>
  <c r="I54" i="63" s="1"/>
  <c r="I53" i="63" s="1"/>
  <c r="J25" i="63"/>
  <c r="I23" i="63"/>
  <c r="J23" i="63" s="1"/>
  <c r="H22" i="63"/>
  <c r="I22" i="63" s="1"/>
  <c r="H19" i="63"/>
  <c r="J19" i="63" s="1"/>
  <c r="J18" i="63" s="1"/>
  <c r="H17" i="63"/>
  <c r="I17" i="63" s="1"/>
  <c r="I14" i="63"/>
  <c r="J14" i="63" s="1"/>
  <c r="I13" i="63"/>
  <c r="J13" i="63" s="1"/>
  <c r="I12" i="63"/>
  <c r="J12" i="63" s="1"/>
  <c r="H15" i="63"/>
  <c r="I15" i="63" s="1"/>
  <c r="J15" i="63" s="1"/>
  <c r="I21" i="63" l="1"/>
  <c r="J22" i="63"/>
  <c r="E17" i="42"/>
  <c r="E16" i="42" s="1"/>
  <c r="J55" i="63"/>
  <c r="J54" i="63" s="1"/>
  <c r="J53" i="63" s="1"/>
  <c r="F17" i="51" l="1"/>
  <c r="F20" i="51" s="1"/>
  <c r="F17" i="42"/>
  <c r="F12" i="53"/>
  <c r="F16" i="42" l="1"/>
  <c r="H17" i="42"/>
  <c r="H16" i="42" s="1"/>
  <c r="G12" i="53"/>
  <c r="H112" i="86" l="1"/>
  <c r="H111" i="86"/>
  <c r="H110" i="86"/>
  <c r="J109" i="86" s="1"/>
  <c r="H104" i="86"/>
  <c r="J102" i="86"/>
  <c r="H119" i="86" s="1"/>
  <c r="J97" i="86"/>
  <c r="H118" i="86" s="1"/>
  <c r="N118" i="86" s="1"/>
  <c r="Q89" i="86"/>
  <c r="L89" i="86"/>
  <c r="I89" i="86"/>
  <c r="Q88" i="86"/>
  <c r="L88" i="86"/>
  <c r="I88" i="86"/>
  <c r="Q87" i="86"/>
  <c r="L87" i="86"/>
  <c r="M87" i="86" s="1"/>
  <c r="I87" i="86"/>
  <c r="Q86" i="86"/>
  <c r="L86" i="86"/>
  <c r="I86" i="86"/>
  <c r="Q85" i="86"/>
  <c r="L85" i="86"/>
  <c r="M85" i="86" s="1"/>
  <c r="I85" i="86"/>
  <c r="Q84" i="86"/>
  <c r="L84" i="86"/>
  <c r="I84" i="86"/>
  <c r="X83" i="86"/>
  <c r="W83" i="86"/>
  <c r="V83" i="86"/>
  <c r="U83" i="86"/>
  <c r="T83" i="86"/>
  <c r="S83" i="86"/>
  <c r="R83" i="86"/>
  <c r="J83" i="86"/>
  <c r="H83" i="86"/>
  <c r="Q81" i="86"/>
  <c r="L81" i="86"/>
  <c r="I81" i="86"/>
  <c r="Q80" i="86"/>
  <c r="Q79" i="86" s="1"/>
  <c r="L80" i="86"/>
  <c r="M80" i="86" s="1"/>
  <c r="I80" i="86"/>
  <c r="U79" i="86"/>
  <c r="T79" i="86"/>
  <c r="S79" i="86"/>
  <c r="R79" i="86"/>
  <c r="J79" i="86"/>
  <c r="H79" i="86"/>
  <c r="Q77" i="86"/>
  <c r="L77" i="86"/>
  <c r="K77" i="86" s="1"/>
  <c r="I77" i="86"/>
  <c r="Q76" i="86"/>
  <c r="L76" i="86"/>
  <c r="I76" i="86"/>
  <c r="X75" i="86"/>
  <c r="W75" i="86"/>
  <c r="V75" i="86"/>
  <c r="U75" i="86"/>
  <c r="T75" i="86"/>
  <c r="S75" i="86"/>
  <c r="R75" i="86"/>
  <c r="J75" i="86"/>
  <c r="H75" i="86"/>
  <c r="Q73" i="86"/>
  <c r="L73" i="86"/>
  <c r="Q72" i="86"/>
  <c r="L72" i="86"/>
  <c r="I72" i="86"/>
  <c r="X71" i="86"/>
  <c r="W71" i="86"/>
  <c r="V71" i="86"/>
  <c r="U71" i="86"/>
  <c r="T71" i="86"/>
  <c r="S71" i="86"/>
  <c r="R71" i="86"/>
  <c r="J71" i="86"/>
  <c r="H71" i="86"/>
  <c r="Q70" i="86"/>
  <c r="L70" i="86"/>
  <c r="I70" i="86"/>
  <c r="Q69" i="86"/>
  <c r="L69" i="86"/>
  <c r="I69" i="86"/>
  <c r="X68" i="86"/>
  <c r="W68" i="86"/>
  <c r="V68" i="86"/>
  <c r="U68" i="86"/>
  <c r="T68" i="86"/>
  <c r="S68" i="86"/>
  <c r="R68" i="86"/>
  <c r="J68" i="86"/>
  <c r="H68" i="86"/>
  <c r="Q67" i="86"/>
  <c r="L67" i="86"/>
  <c r="I67" i="86"/>
  <c r="Q66" i="86"/>
  <c r="L66" i="86"/>
  <c r="I66" i="86"/>
  <c r="X65" i="86"/>
  <c r="W65" i="86"/>
  <c r="V65" i="86"/>
  <c r="U65" i="86"/>
  <c r="T65" i="86"/>
  <c r="S65" i="86"/>
  <c r="R65" i="86"/>
  <c r="J65" i="86"/>
  <c r="H65" i="86"/>
  <c r="Q63" i="86"/>
  <c r="L63" i="86"/>
  <c r="I63" i="86"/>
  <c r="Q62" i="86"/>
  <c r="L62" i="86"/>
  <c r="I62" i="86"/>
  <c r="U61" i="86"/>
  <c r="T61" i="86"/>
  <c r="S61" i="86"/>
  <c r="R61" i="86"/>
  <c r="J61" i="86"/>
  <c r="H61" i="86"/>
  <c r="Q59" i="86"/>
  <c r="L59" i="86"/>
  <c r="I59" i="86"/>
  <c r="Q58" i="86"/>
  <c r="L58" i="86"/>
  <c r="Q57" i="86"/>
  <c r="L57" i="86"/>
  <c r="I57" i="86"/>
  <c r="T56" i="86"/>
  <c r="Q56" i="86" s="1"/>
  <c r="L56" i="86"/>
  <c r="M56" i="86" s="1"/>
  <c r="I56" i="86"/>
  <c r="T55" i="86"/>
  <c r="Q55" i="86" s="1"/>
  <c r="L55" i="86"/>
  <c r="I55" i="86"/>
  <c r="Q54" i="86"/>
  <c r="L54" i="86"/>
  <c r="I54" i="86"/>
  <c r="Q53" i="86"/>
  <c r="L53" i="86"/>
  <c r="I53" i="86"/>
  <c r="X52" i="86"/>
  <c r="W52" i="86"/>
  <c r="V52" i="86"/>
  <c r="U52" i="86"/>
  <c r="S52" i="86"/>
  <c r="R52" i="86"/>
  <c r="J52" i="86"/>
  <c r="H52" i="86"/>
  <c r="Q51" i="86"/>
  <c r="L51" i="86"/>
  <c r="I51" i="86"/>
  <c r="Q50" i="86"/>
  <c r="L50" i="86"/>
  <c r="I50" i="86"/>
  <c r="Q49" i="86"/>
  <c r="L49" i="86"/>
  <c r="I49" i="86"/>
  <c r="X48" i="86"/>
  <c r="W48" i="86"/>
  <c r="V48" i="86"/>
  <c r="U48" i="86"/>
  <c r="T48" i="86"/>
  <c r="S48" i="86"/>
  <c r="R48" i="86"/>
  <c r="J48" i="86"/>
  <c r="H48" i="86"/>
  <c r="Q46" i="86"/>
  <c r="L46" i="86"/>
  <c r="I46" i="86"/>
  <c r="Q45" i="86"/>
  <c r="L45" i="86"/>
  <c r="M45" i="86" s="1"/>
  <c r="I45" i="86"/>
  <c r="Q44" i="86"/>
  <c r="L44" i="86"/>
  <c r="I44" i="86"/>
  <c r="Q43" i="86"/>
  <c r="L43" i="86"/>
  <c r="M43" i="86" s="1"/>
  <c r="I43" i="86"/>
  <c r="Q42" i="86"/>
  <c r="L42" i="86"/>
  <c r="I42" i="86"/>
  <c r="X41" i="86"/>
  <c r="W41" i="86"/>
  <c r="V41" i="86"/>
  <c r="U41" i="86"/>
  <c r="T41" i="86"/>
  <c r="S41" i="86"/>
  <c r="R41" i="86"/>
  <c r="J41" i="86"/>
  <c r="H41" i="86"/>
  <c r="Q40" i="86"/>
  <c r="K40" i="86"/>
  <c r="I40" i="86"/>
  <c r="Q39" i="86"/>
  <c r="K39" i="86"/>
  <c r="I39" i="86"/>
  <c r="Q38" i="86"/>
  <c r="K38" i="86"/>
  <c r="I38" i="86"/>
  <c r="U37" i="86"/>
  <c r="T37" i="86"/>
  <c r="S37" i="86"/>
  <c r="R37" i="86"/>
  <c r="O37" i="86"/>
  <c r="J37" i="86"/>
  <c r="H37" i="86"/>
  <c r="Q36" i="86"/>
  <c r="L36" i="86"/>
  <c r="I36" i="86"/>
  <c r="Q35" i="86"/>
  <c r="L35" i="86"/>
  <c r="M35" i="86" s="1"/>
  <c r="I35" i="86"/>
  <c r="Q34" i="86"/>
  <c r="L34" i="86"/>
  <c r="I34" i="86"/>
  <c r="Q33" i="86"/>
  <c r="L33" i="86"/>
  <c r="I33" i="86"/>
  <c r="Q32" i="86"/>
  <c r="L32" i="86"/>
  <c r="I32" i="86"/>
  <c r="Q31" i="86"/>
  <c r="L31" i="86"/>
  <c r="M31" i="86" s="1"/>
  <c r="I31" i="86"/>
  <c r="R30" i="86"/>
  <c r="R25" i="86" s="1"/>
  <c r="Q29" i="86"/>
  <c r="L29" i="86"/>
  <c r="I29" i="86"/>
  <c r="Q28" i="86"/>
  <c r="L28" i="86"/>
  <c r="I28" i="86"/>
  <c r="Q27" i="86"/>
  <c r="L27" i="86"/>
  <c r="I27" i="86"/>
  <c r="Q26" i="86"/>
  <c r="L26" i="86"/>
  <c r="I26" i="86"/>
  <c r="X25" i="86"/>
  <c r="W25" i="86"/>
  <c r="V25" i="86"/>
  <c r="U25" i="86"/>
  <c r="T25" i="86"/>
  <c r="S25" i="86"/>
  <c r="O25" i="86"/>
  <c r="J25" i="86"/>
  <c r="H25" i="86"/>
  <c r="Q23" i="86"/>
  <c r="L23" i="86"/>
  <c r="I23" i="86"/>
  <c r="Q22" i="86"/>
  <c r="L22" i="86"/>
  <c r="I22" i="86"/>
  <c r="Q21" i="86"/>
  <c r="L21" i="86"/>
  <c r="I21" i="86"/>
  <c r="Q20" i="86"/>
  <c r="L20" i="86"/>
  <c r="I20" i="86"/>
  <c r="Q19" i="86"/>
  <c r="L19" i="86"/>
  <c r="I19" i="86"/>
  <c r="Q18" i="86"/>
  <c r="K18" i="86"/>
  <c r="I18" i="86"/>
  <c r="Q17" i="86"/>
  <c r="K17" i="86"/>
  <c r="I17" i="86"/>
  <c r="Q16" i="86"/>
  <c r="L16" i="86"/>
  <c r="I16" i="86"/>
  <c r="Q15" i="86"/>
  <c r="L15" i="86"/>
  <c r="I15" i="86"/>
  <c r="Q14" i="86"/>
  <c r="L14" i="86"/>
  <c r="I14" i="86"/>
  <c r="U13" i="86"/>
  <c r="T13" i="86"/>
  <c r="S13" i="86"/>
  <c r="R13" i="86"/>
  <c r="O13" i="86"/>
  <c r="J13" i="86"/>
  <c r="H13" i="86"/>
  <c r="Q12" i="86"/>
  <c r="L12" i="86"/>
  <c r="M12" i="86" s="1"/>
  <c r="I12" i="86"/>
  <c r="Q11" i="86"/>
  <c r="L11" i="86"/>
  <c r="M11" i="86" s="1"/>
  <c r="I11" i="86"/>
  <c r="U10" i="86"/>
  <c r="T10" i="86"/>
  <c r="S10" i="86"/>
  <c r="R10" i="86"/>
  <c r="O10" i="86"/>
  <c r="J10" i="86"/>
  <c r="H10" i="86"/>
  <c r="Q9" i="86"/>
  <c r="L9" i="86"/>
  <c r="I9" i="86"/>
  <c r="Q8" i="86"/>
  <c r="L8" i="86"/>
  <c r="I8" i="86"/>
  <c r="U7" i="86"/>
  <c r="T7" i="86"/>
  <c r="S7" i="86"/>
  <c r="R7" i="86"/>
  <c r="J7" i="86"/>
  <c r="H7" i="86"/>
  <c r="U3" i="86"/>
  <c r="Q3" i="86" s="1"/>
  <c r="H20" i="40"/>
  <c r="M21" i="40"/>
  <c r="N21" i="40"/>
  <c r="O21" i="40"/>
  <c r="P21" i="40"/>
  <c r="Q21" i="40"/>
  <c r="R21" i="40"/>
  <c r="L21" i="40" l="1"/>
  <c r="L79" i="86"/>
  <c r="M79" i="86" s="1"/>
  <c r="I37" i="86"/>
  <c r="I25" i="86"/>
  <c r="I75" i="86"/>
  <c r="V90" i="86"/>
  <c r="V91" i="86" s="1"/>
  <c r="W90" i="86"/>
  <c r="W91" i="86" s="1"/>
  <c r="K31" i="86"/>
  <c r="I71" i="86"/>
  <c r="X90" i="86"/>
  <c r="X91" i="86" s="1"/>
  <c r="I65" i="86"/>
  <c r="Q68" i="86"/>
  <c r="Q71" i="86"/>
  <c r="Q41" i="86"/>
  <c r="L71" i="86"/>
  <c r="M71" i="86" s="1"/>
  <c r="L10" i="86"/>
  <c r="M10" i="86" s="1"/>
  <c r="Q13" i="86"/>
  <c r="U90" i="86"/>
  <c r="U91" i="86" s="1"/>
  <c r="K11" i="86"/>
  <c r="K43" i="86"/>
  <c r="I61" i="86"/>
  <c r="Q52" i="86"/>
  <c r="Q65" i="86"/>
  <c r="I52" i="86"/>
  <c r="I83" i="86"/>
  <c r="Q7" i="86"/>
  <c r="Q37" i="86"/>
  <c r="K56" i="86"/>
  <c r="Q75" i="86"/>
  <c r="K80" i="86"/>
  <c r="Q30" i="86"/>
  <c r="Q25" i="86" s="1"/>
  <c r="K35" i="86"/>
  <c r="I48" i="86"/>
  <c r="K21" i="86"/>
  <c r="M21" i="86"/>
  <c r="K27" i="86"/>
  <c r="M27" i="86"/>
  <c r="K67" i="86"/>
  <c r="M67" i="86"/>
  <c r="I13" i="86"/>
  <c r="K14" i="86"/>
  <c r="M14" i="86"/>
  <c r="K32" i="86"/>
  <c r="M32" i="86"/>
  <c r="K62" i="86"/>
  <c r="M62" i="86"/>
  <c r="H92" i="86"/>
  <c r="H90" i="86"/>
  <c r="I41" i="86"/>
  <c r="K46" i="86"/>
  <c r="M46" i="86"/>
  <c r="K55" i="86"/>
  <c r="M55" i="86"/>
  <c r="K57" i="86"/>
  <c r="M57" i="86"/>
  <c r="K72" i="86"/>
  <c r="M72" i="86"/>
  <c r="K76" i="86"/>
  <c r="M76" i="86"/>
  <c r="I79" i="86"/>
  <c r="K44" i="86"/>
  <c r="M44" i="86"/>
  <c r="J92" i="86"/>
  <c r="J90" i="86"/>
  <c r="I90" i="86" s="1"/>
  <c r="K86" i="86"/>
  <c r="M86" i="86"/>
  <c r="K88" i="86"/>
  <c r="M88" i="86"/>
  <c r="K15" i="86"/>
  <c r="M15" i="86"/>
  <c r="K42" i="86"/>
  <c r="M42" i="86"/>
  <c r="K50" i="86"/>
  <c r="M50" i="86"/>
  <c r="K53" i="86"/>
  <c r="M53" i="86"/>
  <c r="K63" i="86"/>
  <c r="M63" i="86"/>
  <c r="K70" i="86"/>
  <c r="M70" i="86"/>
  <c r="K84" i="86"/>
  <c r="M84" i="86"/>
  <c r="K33" i="86"/>
  <c r="M33" i="86"/>
  <c r="K20" i="86"/>
  <c r="M20" i="86"/>
  <c r="K22" i="86"/>
  <c r="M22" i="86"/>
  <c r="K28" i="86"/>
  <c r="M28" i="86"/>
  <c r="Q48" i="86"/>
  <c r="Q61" i="86"/>
  <c r="Q83" i="86"/>
  <c r="J110" i="86"/>
  <c r="S90" i="86"/>
  <c r="S91" i="86" s="1"/>
  <c r="K12" i="86"/>
  <c r="K36" i="86"/>
  <c r="M36" i="86"/>
  <c r="K45" i="86"/>
  <c r="T52" i="86"/>
  <c r="T90" i="86" s="1"/>
  <c r="T91" i="86" s="1"/>
  <c r="I68" i="86"/>
  <c r="L75" i="86"/>
  <c r="M77" i="86"/>
  <c r="K89" i="86"/>
  <c r="M89" i="86"/>
  <c r="K8" i="86"/>
  <c r="M8" i="86"/>
  <c r="I7" i="86"/>
  <c r="R90" i="86"/>
  <c r="R91" i="86" s="1"/>
  <c r="K9" i="86"/>
  <c r="M9" i="86"/>
  <c r="K16" i="86"/>
  <c r="M16" i="86"/>
  <c r="K26" i="86"/>
  <c r="M26" i="86"/>
  <c r="K34" i="86"/>
  <c r="M34" i="86"/>
  <c r="K49" i="86"/>
  <c r="M49" i="86"/>
  <c r="K54" i="86"/>
  <c r="M54" i="86"/>
  <c r="K59" i="86"/>
  <c r="M59" i="86"/>
  <c r="K81" i="86"/>
  <c r="M81" i="86"/>
  <c r="K85" i="86"/>
  <c r="K87" i="86"/>
  <c r="K19" i="86"/>
  <c r="M19" i="86"/>
  <c r="Q10" i="86"/>
  <c r="K23" i="86"/>
  <c r="M23" i="86"/>
  <c r="K29" i="86"/>
  <c r="M29" i="86"/>
  <c r="K51" i="86"/>
  <c r="M51" i="86"/>
  <c r="K66" i="86"/>
  <c r="M66" i="86"/>
  <c r="K69" i="86"/>
  <c r="M69" i="86"/>
  <c r="L68" i="86"/>
  <c r="L48" i="86"/>
  <c r="L61" i="86"/>
  <c r="L83" i="86"/>
  <c r="L7" i="86"/>
  <c r="E10" i="53"/>
  <c r="N119" i="86"/>
  <c r="N120" i="86" s="1"/>
  <c r="I10" i="86"/>
  <c r="J111" i="86"/>
  <c r="L52" i="86"/>
  <c r="L41" i="86"/>
  <c r="L65" i="86"/>
  <c r="L25" i="86"/>
  <c r="L37" i="86"/>
  <c r="L13" i="86"/>
  <c r="K79" i="86" l="1"/>
  <c r="K71" i="86"/>
  <c r="Q90" i="86"/>
  <c r="Q91" i="86" s="1"/>
  <c r="K10" i="86"/>
  <c r="K48" i="86"/>
  <c r="M48" i="86"/>
  <c r="K75" i="86"/>
  <c r="M75" i="86"/>
  <c r="K68" i="86"/>
  <c r="M68" i="86"/>
  <c r="K25" i="86"/>
  <c r="M25" i="86"/>
  <c r="K65" i="86"/>
  <c r="M65" i="86"/>
  <c r="K41" i="86"/>
  <c r="M41" i="86"/>
  <c r="K7" i="86"/>
  <c r="M7" i="86"/>
  <c r="K52" i="86"/>
  <c r="M52" i="86"/>
  <c r="K83" i="86"/>
  <c r="M83" i="86"/>
  <c r="K61" i="86"/>
  <c r="M61" i="86"/>
  <c r="K37" i="86"/>
  <c r="M37" i="86"/>
  <c r="K13" i="86"/>
  <c r="L90" i="86"/>
  <c r="M13" i="86"/>
  <c r="N92" i="86"/>
  <c r="N97" i="86" s="1"/>
  <c r="M90" i="86" l="1"/>
  <c r="K90" i="86"/>
  <c r="E19" i="52"/>
  <c r="F15" i="47"/>
  <c r="G15" i="47"/>
  <c r="H15" i="47"/>
  <c r="E15" i="47"/>
  <c r="M210" i="85"/>
  <c r="T210" i="85" s="1"/>
  <c r="M220" i="85"/>
  <c r="T220" i="85" s="1"/>
  <c r="M219" i="85"/>
  <c r="T219" i="85" s="1"/>
  <c r="M217" i="85"/>
  <c r="T217" i="85" s="1"/>
  <c r="J215" i="85"/>
  <c r="K215" i="85"/>
  <c r="L215" i="85"/>
  <c r="I215" i="85"/>
  <c r="K221" i="85"/>
  <c r="L221" i="85"/>
  <c r="J221" i="85"/>
  <c r="E14" i="42"/>
  <c r="E13" i="42"/>
  <c r="I29" i="62"/>
  <c r="N63" i="76" l="1"/>
  <c r="R63" i="76" s="1"/>
  <c r="R62" i="76" l="1"/>
  <c r="N62" i="76"/>
  <c r="I16" i="47" s="1"/>
  <c r="M16" i="47" s="1"/>
  <c r="M15" i="47" s="1"/>
  <c r="L98" i="66"/>
  <c r="J11" i="63"/>
  <c r="J11" i="62"/>
  <c r="J15" i="62"/>
  <c r="J17" i="62"/>
  <c r="L97" i="66" l="1"/>
  <c r="Q98" i="66"/>
  <c r="Q97" i="66" s="1"/>
  <c r="J16" i="62"/>
  <c r="J30" i="62"/>
  <c r="M239" i="85"/>
  <c r="T97" i="85"/>
  <c r="M22" i="85"/>
  <c r="T22" i="85" s="1"/>
  <c r="I234" i="85"/>
  <c r="L231" i="85"/>
  <c r="L230" i="85" s="1"/>
  <c r="K231" i="85"/>
  <c r="K230" i="85" s="1"/>
  <c r="J231" i="85"/>
  <c r="J230" i="85" s="1"/>
  <c r="I231" i="85"/>
  <c r="I230" i="85" s="1"/>
  <c r="K225" i="85"/>
  <c r="L225" i="85"/>
  <c r="L224" i="85" s="1"/>
  <c r="J225" i="85"/>
  <c r="J224" i="85" s="1"/>
  <c r="I225" i="85"/>
  <c r="I224" i="85" s="1"/>
  <c r="M223" i="85"/>
  <c r="T223" i="85" s="1"/>
  <c r="M216" i="85"/>
  <c r="M214" i="85"/>
  <c r="T214" i="85" s="1"/>
  <c r="M213" i="85"/>
  <c r="T213" i="85" s="1"/>
  <c r="M212" i="85"/>
  <c r="T212" i="85" s="1"/>
  <c r="M209" i="85"/>
  <c r="L198" i="85"/>
  <c r="K198" i="85"/>
  <c r="G23" i="84" s="1"/>
  <c r="J198" i="85"/>
  <c r="F23" i="84" s="1"/>
  <c r="I198" i="85"/>
  <c r="E23" i="84" s="1"/>
  <c r="L162" i="85"/>
  <c r="H22" i="84" s="1"/>
  <c r="K162" i="85"/>
  <c r="G22" i="84" s="1"/>
  <c r="I162" i="85"/>
  <c r="E22" i="84" s="1"/>
  <c r="K151" i="85"/>
  <c r="L151" i="85"/>
  <c r="J151" i="85"/>
  <c r="F20" i="84" s="1"/>
  <c r="I151" i="85"/>
  <c r="E20" i="84" s="1"/>
  <c r="I96" i="85"/>
  <c r="J96" i="85"/>
  <c r="L96" i="85"/>
  <c r="H19" i="84" s="1"/>
  <c r="K96" i="85"/>
  <c r="G19" i="84" s="1"/>
  <c r="G96" i="85"/>
  <c r="M91" i="85"/>
  <c r="L91" i="85"/>
  <c r="L90" i="85" s="1"/>
  <c r="K91" i="85"/>
  <c r="K90" i="85" s="1"/>
  <c r="J91" i="85"/>
  <c r="F17" i="84" s="1"/>
  <c r="F16" i="84" s="1"/>
  <c r="I91" i="85"/>
  <c r="I90" i="85" s="1"/>
  <c r="G91" i="85"/>
  <c r="H15" i="84"/>
  <c r="H14" i="84" s="1"/>
  <c r="K20" i="85"/>
  <c r="I21" i="85"/>
  <c r="I20" i="85" s="1"/>
  <c r="L17" i="85"/>
  <c r="L16" i="85" s="1"/>
  <c r="K17" i="85"/>
  <c r="K16" i="85" s="1"/>
  <c r="J17" i="85"/>
  <c r="F13" i="84" s="1"/>
  <c r="I17" i="85"/>
  <c r="I16" i="85" s="1"/>
  <c r="G17" i="85"/>
  <c r="L11" i="85"/>
  <c r="H11" i="84" s="1"/>
  <c r="H10" i="84" s="1"/>
  <c r="K11" i="85"/>
  <c r="K10" i="85" s="1"/>
  <c r="J10" i="85"/>
  <c r="H31" i="84"/>
  <c r="H30" i="84" s="1"/>
  <c r="G31" i="84"/>
  <c r="G30" i="84" s="1"/>
  <c r="F31" i="84"/>
  <c r="F30" i="84" s="1"/>
  <c r="E31" i="84"/>
  <c r="E30" i="84" s="1"/>
  <c r="H29" i="84"/>
  <c r="G29" i="84"/>
  <c r="F29" i="84"/>
  <c r="E29" i="84"/>
  <c r="H28" i="84"/>
  <c r="G28" i="84"/>
  <c r="F28" i="84"/>
  <c r="E28" i="84"/>
  <c r="H26" i="84"/>
  <c r="G26" i="84"/>
  <c r="F26" i="84"/>
  <c r="E26" i="84"/>
  <c r="H25" i="84"/>
  <c r="G25" i="84"/>
  <c r="F25" i="84"/>
  <c r="E25" i="84"/>
  <c r="D19" i="84"/>
  <c r="D17" i="84"/>
  <c r="D13" i="84"/>
  <c r="E11" i="84"/>
  <c r="I25" i="84" l="1"/>
  <c r="T209" i="85"/>
  <c r="P25" i="84" s="1"/>
  <c r="M90" i="85"/>
  <c r="T90" i="85" s="1"/>
  <c r="T91" i="85"/>
  <c r="P17" i="84" s="1"/>
  <c r="P16" i="84" s="1"/>
  <c r="I28" i="84"/>
  <c r="T216" i="85"/>
  <c r="P28" i="84" s="1"/>
  <c r="M238" i="85"/>
  <c r="T239" i="85"/>
  <c r="M21" i="85"/>
  <c r="T21" i="85" s="1"/>
  <c r="P15" i="84" s="1"/>
  <c r="P14" i="84" s="1"/>
  <c r="I233" i="85"/>
  <c r="E37" i="84"/>
  <c r="E36" i="84" s="1"/>
  <c r="M225" i="85"/>
  <c r="K233" i="85"/>
  <c r="G37" i="84"/>
  <c r="G36" i="84" s="1"/>
  <c r="E13" i="84"/>
  <c r="E12" i="84" s="1"/>
  <c r="L233" i="85"/>
  <c r="H37" i="84"/>
  <c r="H36" i="84" s="1"/>
  <c r="G35" i="84"/>
  <c r="G34" i="84" s="1"/>
  <c r="E15" i="84"/>
  <c r="E14" i="84" s="1"/>
  <c r="E17" i="84"/>
  <c r="E16" i="84" s="1"/>
  <c r="I161" i="85"/>
  <c r="F35" i="84"/>
  <c r="F34" i="84" s="1"/>
  <c r="L95" i="85"/>
  <c r="H20" i="84"/>
  <c r="H18" i="84" s="1"/>
  <c r="I17" i="84"/>
  <c r="H33" i="84"/>
  <c r="H32" i="84" s="1"/>
  <c r="K161" i="85"/>
  <c r="G17" i="84"/>
  <c r="G16" i="84" s="1"/>
  <c r="E33" i="84"/>
  <c r="E32" i="84" s="1"/>
  <c r="H27" i="84"/>
  <c r="G13" i="84"/>
  <c r="G12" i="84" s="1"/>
  <c r="G15" i="84"/>
  <c r="G14" i="84" s="1"/>
  <c r="H35" i="84"/>
  <c r="H34" i="84" s="1"/>
  <c r="H13" i="84"/>
  <c r="H12" i="84" s="1"/>
  <c r="F27" i="84"/>
  <c r="H17" i="84"/>
  <c r="H16" i="84" s="1"/>
  <c r="G24" i="84"/>
  <c r="F33" i="84"/>
  <c r="F32" i="84" s="1"/>
  <c r="L10" i="85"/>
  <c r="J16" i="85"/>
  <c r="E24" i="84"/>
  <c r="H24" i="84"/>
  <c r="J90" i="85"/>
  <c r="G27" i="84"/>
  <c r="F24" i="84"/>
  <c r="M222" i="85"/>
  <c r="E21" i="84"/>
  <c r="G21" i="84"/>
  <c r="L161" i="85"/>
  <c r="M96" i="85"/>
  <c r="L20" i="85"/>
  <c r="M10" i="85"/>
  <c r="T10" i="85" s="1"/>
  <c r="G11" i="84"/>
  <c r="G10" i="84" s="1"/>
  <c r="F11" i="84"/>
  <c r="F10" i="84" s="1"/>
  <c r="G20" i="84"/>
  <c r="G18" i="84" s="1"/>
  <c r="K95" i="85"/>
  <c r="K224" i="85"/>
  <c r="G33" i="84"/>
  <c r="G32" i="84" s="1"/>
  <c r="I95" i="85"/>
  <c r="E19" i="84"/>
  <c r="J95" i="85"/>
  <c r="F19" i="84"/>
  <c r="F18" i="84" s="1"/>
  <c r="T162" i="85"/>
  <c r="P22" i="84" s="1"/>
  <c r="M198" i="85"/>
  <c r="M161" i="85" s="1"/>
  <c r="J162" i="85"/>
  <c r="M211" i="85"/>
  <c r="H23" i="84"/>
  <c r="H21" i="84" s="1"/>
  <c r="E27" i="84"/>
  <c r="E35" i="84"/>
  <c r="M17" i="85"/>
  <c r="T17" i="85" s="1"/>
  <c r="P13" i="84" s="1"/>
  <c r="P12" i="84" s="1"/>
  <c r="F12" i="84"/>
  <c r="M218" i="85"/>
  <c r="E10" i="84"/>
  <c r="I240" i="85" l="1"/>
  <c r="I244" i="85" s="1"/>
  <c r="M224" i="85"/>
  <c r="T224" i="85" s="1"/>
  <c r="T225" i="85"/>
  <c r="P33" i="84" s="1"/>
  <c r="P32" i="84" s="1"/>
  <c r="I38" i="84"/>
  <c r="P38" i="84" s="1"/>
  <c r="T238" i="85"/>
  <c r="I20" i="84"/>
  <c r="T151" i="85"/>
  <c r="P20" i="84" s="1"/>
  <c r="P27" i="84"/>
  <c r="M208" i="85"/>
  <c r="T208" i="85" s="1"/>
  <c r="T211" i="85"/>
  <c r="M215" i="85"/>
  <c r="T215" i="85" s="1"/>
  <c r="T218" i="85"/>
  <c r="P29" i="84" s="1"/>
  <c r="I19" i="84"/>
  <c r="T96" i="85"/>
  <c r="P19" i="84" s="1"/>
  <c r="I23" i="84"/>
  <c r="P23" i="84" s="1"/>
  <c r="P21" i="84" s="1"/>
  <c r="T198" i="85"/>
  <c r="I31" i="84"/>
  <c r="T222" i="85"/>
  <c r="I16" i="84"/>
  <c r="I27" i="84"/>
  <c r="I32" i="84"/>
  <c r="N7" i="40"/>
  <c r="AB7" i="40" s="1"/>
  <c r="I33" i="84"/>
  <c r="M221" i="85"/>
  <c r="T221" i="85" s="1"/>
  <c r="L240" i="85"/>
  <c r="H39" i="84"/>
  <c r="H43" i="84" s="1"/>
  <c r="I11" i="84"/>
  <c r="I10" i="84" s="1"/>
  <c r="G39" i="84"/>
  <c r="G43" i="84" s="1"/>
  <c r="K240" i="85"/>
  <c r="F22" i="84"/>
  <c r="J161" i="85"/>
  <c r="T161" i="85"/>
  <c r="I22" i="84"/>
  <c r="E18" i="84"/>
  <c r="I13" i="84"/>
  <c r="M16" i="85"/>
  <c r="T16" i="85" s="1"/>
  <c r="I29" i="84"/>
  <c r="I26" i="84"/>
  <c r="I24" i="84"/>
  <c r="M95" i="85"/>
  <c r="T95" i="85" s="1"/>
  <c r="E34" i="84"/>
  <c r="P18" i="84" l="1"/>
  <c r="P31" i="84"/>
  <c r="P30" i="84" s="1"/>
  <c r="P26" i="84"/>
  <c r="P24" i="84" s="1"/>
  <c r="I30" i="84"/>
  <c r="I12" i="84"/>
  <c r="I21" i="84"/>
  <c r="I18" i="84"/>
  <c r="K244" i="85"/>
  <c r="R7" i="40"/>
  <c r="AF7" i="40" s="1"/>
  <c r="L244" i="85"/>
  <c r="P7" i="40"/>
  <c r="AD7" i="40" s="1"/>
  <c r="E39" i="84"/>
  <c r="F21" i="84"/>
  <c r="E43" i="84" l="1"/>
  <c r="AH22" i="40" l="1"/>
  <c r="AH24" i="40" s="1"/>
  <c r="I16" i="63"/>
  <c r="E12" i="42" s="1"/>
  <c r="I11" i="63"/>
  <c r="E11" i="42" s="1"/>
  <c r="J55" i="62"/>
  <c r="J54" i="62" s="1"/>
  <c r="J53" i="62" s="1"/>
  <c r="J28" i="62"/>
  <c r="J29" i="62" s="1"/>
  <c r="J26" i="62"/>
  <c r="J25" i="62" s="1"/>
  <c r="J24" i="62"/>
  <c r="J14" i="62"/>
  <c r="J23" i="62" l="1"/>
  <c r="J10" i="62" s="1"/>
  <c r="F13" i="50" l="1"/>
  <c r="F12" i="50" s="1"/>
  <c r="G13" i="50"/>
  <c r="G12" i="50" s="1"/>
  <c r="L10" i="70"/>
  <c r="F10" i="50" s="1"/>
  <c r="G11" i="50"/>
  <c r="E11" i="50"/>
  <c r="N12" i="70"/>
  <c r="N11" i="70" s="1"/>
  <c r="M10" i="70" l="1"/>
  <c r="M28" i="70" s="1"/>
  <c r="M32" i="70" s="1"/>
  <c r="L28" i="70"/>
  <c r="L32" i="70" s="1"/>
  <c r="F11" i="50"/>
  <c r="F15" i="50"/>
  <c r="R14" i="40" l="1"/>
  <c r="AF14" i="40" s="1"/>
  <c r="F19" i="50"/>
  <c r="G10" i="50"/>
  <c r="G15" i="50" s="1"/>
  <c r="J24" i="65"/>
  <c r="N14" i="40" l="1"/>
  <c r="AB14" i="40" s="1"/>
  <c r="G19" i="50"/>
  <c r="K36" i="67"/>
  <c r="N24" i="70" l="1"/>
  <c r="N23" i="70" s="1"/>
  <c r="H14" i="50"/>
  <c r="L18" i="76" l="1"/>
  <c r="J181" i="65" l="1"/>
  <c r="I181" i="65"/>
  <c r="G34" i="44"/>
  <c r="J139" i="65"/>
  <c r="K24" i="65"/>
  <c r="I24" i="65" l="1"/>
  <c r="K139" i="65"/>
  <c r="K181" i="65"/>
  <c r="G33" i="44" s="1"/>
  <c r="F10" i="53" l="1"/>
  <c r="O117" i="68" l="1"/>
  <c r="L107" i="66"/>
  <c r="Q107" i="66" s="1"/>
  <c r="Q106" i="66" s="1"/>
  <c r="K74" i="66"/>
  <c r="J74" i="66"/>
  <c r="L69" i="66"/>
  <c r="Q69" i="66" s="1"/>
  <c r="Q68" i="66" s="1"/>
  <c r="J44" i="71" l="1"/>
  <c r="J17" i="63" l="1"/>
  <c r="J24" i="63"/>
  <c r="F15" i="42" s="1"/>
  <c r="H15" i="42" s="1"/>
  <c r="I24" i="63"/>
  <c r="I10" i="63" l="1"/>
  <c r="E15" i="42"/>
  <c r="E10" i="42" s="1"/>
  <c r="F13" i="42"/>
  <c r="H13" i="42" s="1"/>
  <c r="F11" i="42"/>
  <c r="H11" i="42" s="1"/>
  <c r="J16" i="63"/>
  <c r="F12" i="42" s="1"/>
  <c r="H12" i="42" s="1"/>
  <c r="J21" i="63"/>
  <c r="F14" i="42" s="1"/>
  <c r="H14" i="42" s="1"/>
  <c r="H10" i="42" l="1"/>
  <c r="H19" i="42" s="1"/>
  <c r="H23" i="42" s="1"/>
  <c r="F10" i="42"/>
  <c r="J10" i="63"/>
  <c r="I139" i="65" l="1"/>
  <c r="E16" i="41" l="1"/>
  <c r="I42" i="71" l="1"/>
  <c r="J42" i="71"/>
  <c r="K35" i="71"/>
  <c r="M35" i="71" s="1"/>
  <c r="M34" i="71" s="1"/>
  <c r="I85" i="65" l="1"/>
  <c r="J72" i="65"/>
  <c r="K72" i="65"/>
  <c r="I72" i="65"/>
  <c r="I71" i="65" s="1"/>
  <c r="I57" i="65"/>
  <c r="I10" i="65"/>
  <c r="K10" i="65" l="1"/>
  <c r="J10" i="65"/>
  <c r="L10" i="65" l="1"/>
  <c r="Q10" i="65" s="1"/>
  <c r="K63" i="65"/>
  <c r="I63" i="65"/>
  <c r="I62" i="65" s="1"/>
  <c r="I156" i="65" l="1"/>
  <c r="I80" i="65"/>
  <c r="I79" i="65" s="1"/>
  <c r="K80" i="66" l="1"/>
  <c r="K79" i="66" s="1"/>
  <c r="AG20" i="40" l="1"/>
  <c r="AG22" i="40" l="1"/>
  <c r="AG24" i="40" s="1"/>
  <c r="K18" i="76"/>
  <c r="M18" i="76"/>
  <c r="J13" i="71" l="1"/>
  <c r="L30" i="68" l="1"/>
  <c r="L29" i="68" l="1"/>
  <c r="O30" i="68"/>
  <c r="O29" i="68" s="1"/>
  <c r="G14" i="47"/>
  <c r="G13" i="47" s="1"/>
  <c r="L17" i="76"/>
  <c r="L65" i="76" s="1"/>
  <c r="N12" i="76"/>
  <c r="R12" i="76" s="1"/>
  <c r="G11" i="47"/>
  <c r="G10" i="47" s="1"/>
  <c r="N61" i="76" l="1"/>
  <c r="R61" i="76" s="1"/>
  <c r="N18" i="76"/>
  <c r="N17" i="76" s="1"/>
  <c r="N14" i="76"/>
  <c r="R14" i="76" s="1"/>
  <c r="F11" i="47"/>
  <c r="F10" i="47" s="1"/>
  <c r="J18" i="76"/>
  <c r="J17" i="76" s="1"/>
  <c r="J65" i="76" s="1"/>
  <c r="L69" i="76"/>
  <c r="K17" i="76"/>
  <c r="K65" i="76" s="1"/>
  <c r="F14" i="47"/>
  <c r="F13" i="47" s="1"/>
  <c r="N13" i="76"/>
  <c r="R13" i="76" s="1"/>
  <c r="R11" i="76" l="1"/>
  <c r="N11" i="76"/>
  <c r="K69" i="76"/>
  <c r="J69" i="76"/>
  <c r="M17" i="76"/>
  <c r="H14" i="47"/>
  <c r="H13" i="47" s="1"/>
  <c r="N10" i="76" l="1"/>
  <c r="I11" i="47"/>
  <c r="M65" i="76"/>
  <c r="M69" i="76" s="1"/>
  <c r="E11" i="47"/>
  <c r="E10" i="47" s="1"/>
  <c r="I10" i="47" l="1"/>
  <c r="M11" i="47"/>
  <c r="M10" i="47" s="1"/>
  <c r="N65" i="76"/>
  <c r="N69" i="76" s="1"/>
  <c r="R10" i="76"/>
  <c r="R65" i="76" s="1"/>
  <c r="R69" i="76" s="1"/>
  <c r="F26" i="48"/>
  <c r="G26" i="48"/>
  <c r="L20" i="68" l="1"/>
  <c r="O20" i="68" s="1"/>
  <c r="O19" i="68" s="1"/>
  <c r="O18" i="68" s="1"/>
  <c r="I34" i="71" l="1"/>
  <c r="I13" i="71"/>
  <c r="K44" i="71" l="1"/>
  <c r="G10" i="53" l="1"/>
  <c r="J34" i="71" l="1"/>
  <c r="J39" i="71"/>
  <c r="K43" i="71"/>
  <c r="K32" i="71"/>
  <c r="K42" i="71" l="1"/>
  <c r="M43" i="71"/>
  <c r="M42" i="71" s="1"/>
  <c r="L23" i="68"/>
  <c r="O23" i="68" s="1"/>
  <c r="O22" i="68" s="1"/>
  <c r="O21" i="68" s="1"/>
  <c r="L22" i="68" l="1"/>
  <c r="J10" i="67"/>
  <c r="K10" i="67"/>
  <c r="H17" i="48" l="1"/>
  <c r="L21" i="68"/>
  <c r="I10" i="67"/>
  <c r="H16" i="48" l="1"/>
  <c r="L17" i="48"/>
  <c r="L16" i="48" s="1"/>
  <c r="L179" i="65"/>
  <c r="Q179" i="65" s="1"/>
  <c r="L76" i="65"/>
  <c r="Q76" i="65" s="1"/>
  <c r="L58" i="65"/>
  <c r="Q163" i="65" l="1"/>
  <c r="L57" i="65"/>
  <c r="Q57" i="65" s="1"/>
  <c r="Q58" i="65"/>
  <c r="J171" i="65"/>
  <c r="K171" i="65"/>
  <c r="K156" i="65"/>
  <c r="H35" i="44" l="1"/>
  <c r="M35" i="44" s="1"/>
  <c r="L63" i="65"/>
  <c r="Q63" i="65" s="1"/>
  <c r="L72" i="65"/>
  <c r="Q72" i="65" s="1"/>
  <c r="J13" i="73" l="1"/>
  <c r="F19" i="52"/>
  <c r="F18" i="52"/>
  <c r="E18" i="52"/>
  <c r="F17" i="52"/>
  <c r="E15" i="52"/>
  <c r="F14" i="52"/>
  <c r="E14" i="52"/>
  <c r="F13" i="52"/>
  <c r="E13" i="52"/>
  <c r="E12" i="52"/>
  <c r="K41" i="71" l="1"/>
  <c r="K38" i="71"/>
  <c r="K37" i="71" s="1"/>
  <c r="J37" i="71"/>
  <c r="F15" i="52" s="1"/>
  <c r="K12" i="71"/>
  <c r="M12" i="71" s="1"/>
  <c r="M11" i="71" s="1"/>
  <c r="L26" i="68"/>
  <c r="O26" i="68" s="1"/>
  <c r="O25" i="68" s="1"/>
  <c r="O24" i="68" s="1"/>
  <c r="O124" i="68" s="1"/>
  <c r="K40" i="71" l="1"/>
  <c r="M41" i="71"/>
  <c r="M40" i="71" s="1"/>
  <c r="I40" i="71"/>
  <c r="I39" i="71" s="1"/>
  <c r="E17" i="52" l="1"/>
  <c r="E13" i="41"/>
  <c r="F21" i="57" l="1"/>
  <c r="G21" i="57"/>
  <c r="D17" i="57"/>
  <c r="F11" i="57"/>
  <c r="G11" i="57"/>
  <c r="E11" i="57"/>
  <c r="E11" i="44" l="1"/>
  <c r="F35" i="44"/>
  <c r="E35" i="44"/>
  <c r="F34" i="44"/>
  <c r="E34" i="44"/>
  <c r="J178" i="65"/>
  <c r="F32" i="44" s="1"/>
  <c r="K178" i="65"/>
  <c r="I178" i="65"/>
  <c r="E29" i="44"/>
  <c r="F26" i="44"/>
  <c r="G26" i="44"/>
  <c r="E26" i="44"/>
  <c r="F25" i="44"/>
  <c r="G25" i="44"/>
  <c r="E25" i="44"/>
  <c r="E24" i="44"/>
  <c r="F22" i="44"/>
  <c r="G22" i="44"/>
  <c r="E22" i="44"/>
  <c r="F20" i="44"/>
  <c r="G20" i="44"/>
  <c r="E20" i="44"/>
  <c r="E18" i="44"/>
  <c r="G14" i="44"/>
  <c r="F14" i="44"/>
  <c r="E14" i="44"/>
  <c r="F12" i="44"/>
  <c r="G12" i="44"/>
  <c r="E12" i="44"/>
  <c r="L24" i="65" l="1"/>
  <c r="Q24" i="65" s="1"/>
  <c r="F16" i="44"/>
  <c r="J57" i="65"/>
  <c r="E32" i="44"/>
  <c r="I170" i="65"/>
  <c r="G32" i="44"/>
  <c r="K170" i="65"/>
  <c r="L171" i="65"/>
  <c r="Q171" i="65" s="1"/>
  <c r="E13" i="54"/>
  <c r="F11" i="54"/>
  <c r="K26" i="73"/>
  <c r="G14" i="54" s="1"/>
  <c r="G13" i="54" l="1"/>
  <c r="K13" i="73" l="1"/>
  <c r="E26" i="48"/>
  <c r="G18" i="45"/>
  <c r="G16" i="45"/>
  <c r="E16" i="45"/>
  <c r="G15" i="45"/>
  <c r="E15" i="45"/>
  <c r="G14" i="45" l="1"/>
  <c r="E14" i="45"/>
  <c r="G13" i="45"/>
  <c r="L74" i="66" l="1"/>
  <c r="F11" i="41" l="1"/>
  <c r="F21" i="48"/>
  <c r="E15" i="41" l="1"/>
  <c r="I23" i="62"/>
  <c r="E14" i="41" s="1"/>
  <c r="E12" i="41"/>
  <c r="I11" i="62"/>
  <c r="E11" i="41" s="1"/>
  <c r="E10" i="41" l="1"/>
  <c r="E19" i="41"/>
  <c r="E18" i="41" s="1"/>
  <c r="I10" i="62"/>
  <c r="I58" i="62" l="1"/>
  <c r="J58" i="62" l="1"/>
  <c r="J62" i="62" s="1"/>
  <c r="F24" i="51" l="1"/>
  <c r="E10" i="51" l="1"/>
  <c r="E20" i="51" s="1"/>
  <c r="E12" i="54"/>
  <c r="E12" i="53" l="1"/>
  <c r="F33" i="44"/>
  <c r="E33" i="44"/>
  <c r="E23" i="44"/>
  <c r="F21" i="44"/>
  <c r="G21" i="44"/>
  <c r="E21" i="44"/>
  <c r="G19" i="44"/>
  <c r="F19" i="44"/>
  <c r="E19" i="44"/>
  <c r="E17" i="44"/>
  <c r="F15" i="44"/>
  <c r="E13" i="44"/>
  <c r="E10" i="44"/>
  <c r="E21" i="41"/>
  <c r="Q5" i="40" l="1"/>
  <c r="E25" i="41"/>
  <c r="L5" i="40" l="1"/>
  <c r="AE5" i="40"/>
  <c r="L181" i="65"/>
  <c r="Q181" i="65" s="1"/>
  <c r="Z5" i="40" l="1"/>
  <c r="K22" i="70"/>
  <c r="E13" i="50"/>
  <c r="E12" i="50" s="1"/>
  <c r="I15" i="47"/>
  <c r="H11" i="47" l="1"/>
  <c r="H10" i="47" s="1"/>
  <c r="E14" i="47" l="1"/>
  <c r="E13" i="47" s="1"/>
  <c r="I14" i="47"/>
  <c r="I13" i="47" l="1"/>
  <c r="M14" i="47"/>
  <c r="M13" i="47" s="1"/>
  <c r="M17" i="47" s="1"/>
  <c r="M22" i="47" s="1"/>
  <c r="F17" i="47"/>
  <c r="Q11" i="40" s="1"/>
  <c r="AE11" i="40" s="1"/>
  <c r="E17" i="47"/>
  <c r="G17" i="47"/>
  <c r="O11" i="40" s="1"/>
  <c r="AC11" i="40" s="1"/>
  <c r="E22" i="47" l="1"/>
  <c r="N11" i="40"/>
  <c r="AB11" i="40" s="1"/>
  <c r="I17" i="47"/>
  <c r="I22" i="47" s="1"/>
  <c r="G22" i="47"/>
  <c r="F22" i="47"/>
  <c r="H17" i="47"/>
  <c r="M11" i="40" s="1"/>
  <c r="G19" i="52"/>
  <c r="I19" i="52" s="1"/>
  <c r="G15" i="52"/>
  <c r="I15" i="52" s="1"/>
  <c r="L122" i="68"/>
  <c r="H26" i="48" s="1"/>
  <c r="L26" i="48" s="1"/>
  <c r="L27" i="68"/>
  <c r="H20" i="48" s="1"/>
  <c r="L20" i="48" s="1"/>
  <c r="L75" i="65"/>
  <c r="Q75" i="65" s="1"/>
  <c r="L11" i="40" l="1"/>
  <c r="AA11" i="40"/>
  <c r="Z11" i="40" s="1"/>
  <c r="L117" i="68"/>
  <c r="L108" i="68" s="1"/>
  <c r="H25" i="48"/>
  <c r="H17" i="57"/>
  <c r="J17" i="57" s="1"/>
  <c r="H22" i="47"/>
  <c r="H24" i="48" l="1"/>
  <c r="L25" i="48"/>
  <c r="L24" i="48" s="1"/>
  <c r="J11" i="40"/>
  <c r="G12" i="54"/>
  <c r="F16" i="41"/>
  <c r="F15" i="41"/>
  <c r="F14" i="41"/>
  <c r="F12" i="41"/>
  <c r="F19" i="41" l="1"/>
  <c r="F18" i="41" s="1"/>
  <c r="J5" i="40" l="1"/>
  <c r="I36" i="67" l="1"/>
  <c r="I35" i="67" s="1"/>
  <c r="K35" i="67"/>
  <c r="J35" i="67"/>
  <c r="K32" i="67"/>
  <c r="J32" i="67"/>
  <c r="I32" i="67"/>
  <c r="K29" i="67"/>
  <c r="G17" i="57" s="1"/>
  <c r="J29" i="67"/>
  <c r="F17" i="57" s="1"/>
  <c r="I29" i="67"/>
  <c r="E17" i="57" s="1"/>
  <c r="K25" i="67"/>
  <c r="G16" i="57" s="1"/>
  <c r="J25" i="67"/>
  <c r="F16" i="57" s="1"/>
  <c r="I25" i="67"/>
  <c r="E16" i="57" s="1"/>
  <c r="G14" i="57"/>
  <c r="F14" i="57"/>
  <c r="E14" i="57"/>
  <c r="K14" i="67"/>
  <c r="G13" i="57" s="1"/>
  <c r="J14" i="67"/>
  <c r="F13" i="57" s="1"/>
  <c r="G20" i="57"/>
  <c r="F20" i="57"/>
  <c r="G10" i="57"/>
  <c r="F10" i="57"/>
  <c r="E10" i="57"/>
  <c r="G15" i="57" l="1"/>
  <c r="F12" i="57"/>
  <c r="H11" i="57"/>
  <c r="F15" i="57"/>
  <c r="E15" i="57"/>
  <c r="E19" i="57"/>
  <c r="E18" i="57" s="1"/>
  <c r="I31" i="67"/>
  <c r="K31" i="67"/>
  <c r="G19" i="57"/>
  <c r="G18" i="57" s="1"/>
  <c r="J31" i="67"/>
  <c r="F19" i="57"/>
  <c r="F18" i="57" s="1"/>
  <c r="E21" i="57"/>
  <c r="E20" i="57" s="1"/>
  <c r="I24" i="67"/>
  <c r="J24" i="67"/>
  <c r="K24" i="67"/>
  <c r="J13" i="67"/>
  <c r="K13" i="67"/>
  <c r="I14" i="67"/>
  <c r="H21" i="57"/>
  <c r="J21" i="57" s="1"/>
  <c r="G12" i="57"/>
  <c r="H10" i="57" l="1"/>
  <c r="J10" i="57" s="1"/>
  <c r="J11" i="57"/>
  <c r="F23" i="57"/>
  <c r="Q10" i="40" s="1"/>
  <c r="AE10" i="40" s="1"/>
  <c r="H20" i="57"/>
  <c r="J20" i="57" s="1"/>
  <c r="H16" i="57"/>
  <c r="K38" i="67"/>
  <c r="K42" i="67" s="1"/>
  <c r="G23" i="57"/>
  <c r="P10" i="40" s="1"/>
  <c r="J38" i="67"/>
  <c r="J42" i="67" s="1"/>
  <c r="I13" i="67"/>
  <c r="I38" i="67" s="1"/>
  <c r="I42" i="67" s="1"/>
  <c r="E13" i="57"/>
  <c r="E12" i="57" s="1"/>
  <c r="E23" i="57" s="1"/>
  <c r="H19" i="57"/>
  <c r="H13" i="57"/>
  <c r="J13" i="57" s="1"/>
  <c r="G31" i="44"/>
  <c r="G30" i="44" s="1"/>
  <c r="F31" i="44"/>
  <c r="F30" i="44" s="1"/>
  <c r="J163" i="65"/>
  <c r="F29" i="44" s="1"/>
  <c r="G28" i="44"/>
  <c r="J156" i="65"/>
  <c r="F28" i="44" s="1"/>
  <c r="K80" i="65"/>
  <c r="G24" i="44" s="1"/>
  <c r="G23" i="44" s="1"/>
  <c r="J80" i="65"/>
  <c r="F24" i="44" s="1"/>
  <c r="F23" i="44" s="1"/>
  <c r="H22" i="44"/>
  <c r="M22" i="44" s="1"/>
  <c r="H21" i="44"/>
  <c r="M21" i="44" s="1"/>
  <c r="K75" i="65"/>
  <c r="J75" i="65"/>
  <c r="J71" i="65"/>
  <c r="J63" i="65"/>
  <c r="K57" i="65"/>
  <c r="F28" i="57" l="1"/>
  <c r="H15" i="57"/>
  <c r="J15" i="57" s="1"/>
  <c r="J16" i="57"/>
  <c r="H18" i="57"/>
  <c r="J18" i="57" s="1"/>
  <c r="J19" i="57"/>
  <c r="P20" i="40"/>
  <c r="P22" i="40" s="1"/>
  <c r="P24" i="40" s="1"/>
  <c r="AD10" i="40"/>
  <c r="AD20" i="40" s="1"/>
  <c r="AD22" i="40" s="1"/>
  <c r="AD24" i="40" s="1"/>
  <c r="E28" i="57"/>
  <c r="N10" i="40"/>
  <c r="H14" i="57"/>
  <c r="G28" i="57"/>
  <c r="F27" i="44"/>
  <c r="F13" i="44"/>
  <c r="F11" i="44"/>
  <c r="F10" i="44" s="1"/>
  <c r="G13" i="44"/>
  <c r="K62" i="65"/>
  <c r="G18" i="44"/>
  <c r="G17" i="44" s="1"/>
  <c r="E16" i="44"/>
  <c r="E15" i="44" s="1"/>
  <c r="G16" i="44"/>
  <c r="G15" i="44" s="1"/>
  <c r="G11" i="44"/>
  <c r="G10" i="44" s="1"/>
  <c r="J62" i="65"/>
  <c r="F18" i="44"/>
  <c r="F17" i="44" s="1"/>
  <c r="J170" i="65"/>
  <c r="J155" i="65"/>
  <c r="L178" i="65"/>
  <c r="Q178" i="65" s="1"/>
  <c r="H33" i="44"/>
  <c r="M33" i="44" s="1"/>
  <c r="H10" i="44"/>
  <c r="M10" i="44" s="1"/>
  <c r="L80" i="65"/>
  <c r="K71" i="65"/>
  <c r="J79" i="65"/>
  <c r="H12" i="44"/>
  <c r="M12" i="44" s="1"/>
  <c r="K79" i="65"/>
  <c r="H15" i="44"/>
  <c r="M15" i="44" s="1"/>
  <c r="H16" i="44"/>
  <c r="M16" i="44" s="1"/>
  <c r="H31" i="44"/>
  <c r="M31" i="44" s="1"/>
  <c r="K163" i="65"/>
  <c r="L62" i="65"/>
  <c r="Q62" i="65" s="1"/>
  <c r="H12" i="57" l="1"/>
  <c r="J12" i="57" s="1"/>
  <c r="J23" i="57" s="1"/>
  <c r="J28" i="57" s="1"/>
  <c r="J14" i="57"/>
  <c r="H24" i="44"/>
  <c r="M24" i="44" s="1"/>
  <c r="Q80" i="65"/>
  <c r="L10" i="40"/>
  <c r="J10" i="40" s="1"/>
  <c r="AB10" i="40"/>
  <c r="Z10" i="40" s="1"/>
  <c r="L42" i="67"/>
  <c r="L156" i="65"/>
  <c r="F37" i="44"/>
  <c r="M8" i="40" s="1"/>
  <c r="AA8" i="40" s="1"/>
  <c r="E31" i="44"/>
  <c r="E30" i="44" s="1"/>
  <c r="I155" i="65"/>
  <c r="E28" i="44"/>
  <c r="E27" i="44" s="1"/>
  <c r="K155" i="65"/>
  <c r="G29" i="44"/>
  <c r="G27" i="44" s="1"/>
  <c r="L170" i="65"/>
  <c r="Q170" i="65" s="1"/>
  <c r="H32" i="44"/>
  <c r="H29" i="44"/>
  <c r="M29" i="44" s="1"/>
  <c r="L79" i="65"/>
  <c r="Q79" i="65" s="1"/>
  <c r="H34" i="44"/>
  <c r="M34" i="44" s="1"/>
  <c r="J189" i="65"/>
  <c r="J193" i="65" s="1"/>
  <c r="L71" i="65"/>
  <c r="Q71" i="65" s="1"/>
  <c r="H26" i="44"/>
  <c r="M26" i="44" s="1"/>
  <c r="H11" i="44"/>
  <c r="M11" i="44" s="1"/>
  <c r="H13" i="44"/>
  <c r="M13" i="44" s="1"/>
  <c r="H14" i="44"/>
  <c r="M14" i="44" s="1"/>
  <c r="H17" i="44"/>
  <c r="M17" i="44" s="1"/>
  <c r="H18" i="44"/>
  <c r="M18" i="44" s="1"/>
  <c r="H25" i="44"/>
  <c r="M25" i="44" s="1"/>
  <c r="F14" i="53"/>
  <c r="H30" i="44" l="1"/>
  <c r="M30" i="44" s="1"/>
  <c r="M32" i="44"/>
  <c r="H28" i="44"/>
  <c r="M28" i="44" s="1"/>
  <c r="Q156" i="65"/>
  <c r="H23" i="44"/>
  <c r="M23" i="44" s="1"/>
  <c r="N16" i="40"/>
  <c r="AB16" i="40" s="1"/>
  <c r="F18" i="53"/>
  <c r="H23" i="57"/>
  <c r="H28" i="57" s="1"/>
  <c r="L155" i="65"/>
  <c r="F41" i="44"/>
  <c r="I189" i="65"/>
  <c r="I193" i="65" s="1"/>
  <c r="K189" i="65"/>
  <c r="K193" i="65" s="1"/>
  <c r="E37" i="44"/>
  <c r="N8" i="40" s="1"/>
  <c r="AB8" i="40" s="1"/>
  <c r="H20" i="44"/>
  <c r="M20" i="44" s="1"/>
  <c r="H19" i="44"/>
  <c r="M19" i="44" s="1"/>
  <c r="E14" i="53"/>
  <c r="H27" i="44" l="1"/>
  <c r="M27" i="44" s="1"/>
  <c r="M37" i="44" s="1"/>
  <c r="M41" i="44" s="1"/>
  <c r="Q155" i="65"/>
  <c r="Q189" i="65" s="1"/>
  <c r="Q193" i="65" s="1"/>
  <c r="Q16" i="40"/>
  <c r="E18" i="53"/>
  <c r="L189" i="65"/>
  <c r="E41" i="44"/>
  <c r="H37" i="44" l="1"/>
  <c r="H41" i="44" s="1"/>
  <c r="L16" i="40"/>
  <c r="AE16" i="40"/>
  <c r="Z16" i="40" s="1"/>
  <c r="L193" i="65"/>
  <c r="G14" i="53"/>
  <c r="G18" i="53" s="1"/>
  <c r="G37" i="44"/>
  <c r="Q8" i="40" s="1"/>
  <c r="L8" i="40" l="1"/>
  <c r="J8" i="40" s="1"/>
  <c r="AE8" i="40"/>
  <c r="Z8" i="40" s="1"/>
  <c r="G41" i="44"/>
  <c r="E24" i="51" l="1"/>
  <c r="Q18" i="40"/>
  <c r="G28" i="55"/>
  <c r="I11" i="73"/>
  <c r="F10" i="54"/>
  <c r="L18" i="40" l="1"/>
  <c r="J18" i="40" s="1"/>
  <c r="AE18" i="40"/>
  <c r="Z18" i="40" s="1"/>
  <c r="G32" i="55"/>
  <c r="I10" i="73"/>
  <c r="I28" i="73" s="1"/>
  <c r="I32" i="73" s="1"/>
  <c r="E11" i="54"/>
  <c r="E10" i="54" s="1"/>
  <c r="E15" i="54" s="1"/>
  <c r="K11" i="73"/>
  <c r="J28" i="73"/>
  <c r="J32" i="73" s="1"/>
  <c r="F13" i="54"/>
  <c r="K10" i="70"/>
  <c r="E10" i="50" s="1"/>
  <c r="E19" i="54" l="1"/>
  <c r="Q17" i="40"/>
  <c r="AE17" i="40" s="1"/>
  <c r="E15" i="50"/>
  <c r="K10" i="73"/>
  <c r="G10" i="54" s="1"/>
  <c r="G11" i="54"/>
  <c r="F12" i="54"/>
  <c r="N10" i="70"/>
  <c r="H10" i="50" s="1"/>
  <c r="N22" i="70"/>
  <c r="H13" i="50"/>
  <c r="H12" i="50" s="1"/>
  <c r="K28" i="70"/>
  <c r="K32" i="70" s="1"/>
  <c r="Q14" i="40" l="1"/>
  <c r="E19" i="50"/>
  <c r="K28" i="73"/>
  <c r="K32" i="73" s="1"/>
  <c r="G15" i="54"/>
  <c r="G19" i="54" s="1"/>
  <c r="F15" i="54"/>
  <c r="N17" i="40" s="1"/>
  <c r="H11" i="50"/>
  <c r="K34" i="71"/>
  <c r="G14" i="52" s="1"/>
  <c r="I14" i="52" s="1"/>
  <c r="G13" i="52"/>
  <c r="I13" i="52" s="1"/>
  <c r="I11" i="71"/>
  <c r="I10" i="71" s="1"/>
  <c r="I46" i="71" s="1"/>
  <c r="I50" i="71" s="1"/>
  <c r="K11" i="71"/>
  <c r="G11" i="52" s="1"/>
  <c r="I11" i="52" s="1"/>
  <c r="J11" i="71"/>
  <c r="F16" i="52"/>
  <c r="E16" i="52"/>
  <c r="L17" i="40" l="1"/>
  <c r="AB17" i="40"/>
  <c r="L14" i="40"/>
  <c r="J14" i="40" s="1"/>
  <c r="AE14" i="40"/>
  <c r="Z14" i="40" s="1"/>
  <c r="F11" i="52"/>
  <c r="J10" i="71"/>
  <c r="J46" i="71" s="1"/>
  <c r="G18" i="52"/>
  <c r="I18" i="52" s="1"/>
  <c r="K39" i="71"/>
  <c r="E11" i="52"/>
  <c r="E10" i="52" s="1"/>
  <c r="E21" i="52" s="1"/>
  <c r="F19" i="54"/>
  <c r="G17" i="52"/>
  <c r="I17" i="52" s="1"/>
  <c r="N28" i="70"/>
  <c r="N32" i="70" s="1"/>
  <c r="Z17" i="40" l="1"/>
  <c r="I16" i="52"/>
  <c r="G16" i="52"/>
  <c r="M39" i="71"/>
  <c r="E25" i="52"/>
  <c r="N15" i="40"/>
  <c r="AB15" i="40" s="1"/>
  <c r="H15" i="50"/>
  <c r="H19" i="50" s="1"/>
  <c r="K11" i="69" l="1"/>
  <c r="K10" i="69" l="1"/>
  <c r="F10" i="49" s="1"/>
  <c r="F11" i="49"/>
  <c r="J36" i="69"/>
  <c r="J35" i="69" l="1"/>
  <c r="E12" i="49" s="1"/>
  <c r="E13" i="49"/>
  <c r="G25" i="48" l="1"/>
  <c r="G24" i="48" s="1"/>
  <c r="F25" i="48"/>
  <c r="F24" i="48" s="1"/>
  <c r="K27" i="68"/>
  <c r="G20" i="48" s="1"/>
  <c r="J27" i="68"/>
  <c r="F20" i="48" s="1"/>
  <c r="I27" i="68"/>
  <c r="E20" i="48" s="1"/>
  <c r="K25" i="68"/>
  <c r="G19" i="48" s="1"/>
  <c r="J25" i="68"/>
  <c r="F19" i="48" s="1"/>
  <c r="F18" i="48" s="1"/>
  <c r="I22" i="68"/>
  <c r="K22" i="68"/>
  <c r="J22" i="68"/>
  <c r="L19" i="68"/>
  <c r="K19" i="68"/>
  <c r="G15" i="48" s="1"/>
  <c r="G14" i="48" s="1"/>
  <c r="J19" i="68"/>
  <c r="F15" i="48" s="1"/>
  <c r="F14" i="48" s="1"/>
  <c r="I19" i="68"/>
  <c r="E15" i="48" s="1"/>
  <c r="K15" i="68"/>
  <c r="G13" i="48" s="1"/>
  <c r="G12" i="48" s="1"/>
  <c r="J15" i="68"/>
  <c r="F13" i="48" s="1"/>
  <c r="F12" i="48" s="1"/>
  <c r="K11" i="68"/>
  <c r="G11" i="48" s="1"/>
  <c r="G10" i="48" s="1"/>
  <c r="J11" i="68"/>
  <c r="F11" i="48" s="1"/>
  <c r="F10" i="48" s="1"/>
  <c r="F17" i="48" l="1"/>
  <c r="F16" i="48" s="1"/>
  <c r="J21" i="68"/>
  <c r="G17" i="48"/>
  <c r="G16" i="48" s="1"/>
  <c r="K21" i="68"/>
  <c r="E17" i="48"/>
  <c r="E16" i="48" s="1"/>
  <c r="I21" i="68"/>
  <c r="L18" i="68"/>
  <c r="H15" i="48"/>
  <c r="I117" i="68"/>
  <c r="I108" i="68" s="1"/>
  <c r="E25" i="48"/>
  <c r="E24" i="48" s="1"/>
  <c r="J24" i="68"/>
  <c r="K117" i="68"/>
  <c r="J117" i="68"/>
  <c r="J14" i="68"/>
  <c r="K10" i="68"/>
  <c r="K14" i="68"/>
  <c r="J10" i="68"/>
  <c r="I18" i="68"/>
  <c r="E14" i="48"/>
  <c r="J18" i="68"/>
  <c r="K18" i="68"/>
  <c r="L25" i="68"/>
  <c r="H19" i="48" s="1"/>
  <c r="L19" i="48" s="1"/>
  <c r="L11" i="68"/>
  <c r="I15" i="68"/>
  <c r="E13" i="48" s="1"/>
  <c r="L15" i="68"/>
  <c r="H13" i="48" s="1"/>
  <c r="I25" i="68"/>
  <c r="G21" i="48"/>
  <c r="G18" i="48" s="1"/>
  <c r="I11" i="68"/>
  <c r="E11" i="48" s="1"/>
  <c r="E19" i="48" l="1"/>
  <c r="I24" i="68"/>
  <c r="H14" i="48"/>
  <c r="L15" i="48"/>
  <c r="L14" i="48" s="1"/>
  <c r="H12" i="48"/>
  <c r="L13" i="48"/>
  <c r="L12" i="48" s="1"/>
  <c r="J108" i="68"/>
  <c r="J124" i="68" s="1"/>
  <c r="J128" i="68" s="1"/>
  <c r="F23" i="48"/>
  <c r="F22" i="48" s="1"/>
  <c r="F27" i="48" s="1"/>
  <c r="O12" i="40" s="1"/>
  <c r="K108" i="68"/>
  <c r="G23" i="48"/>
  <c r="G22" i="48" s="1"/>
  <c r="G27" i="48" s="1"/>
  <c r="M12" i="40" s="1"/>
  <c r="AA12" i="40" s="1"/>
  <c r="H23" i="48"/>
  <c r="L10" i="68"/>
  <c r="H11" i="48"/>
  <c r="E23" i="48"/>
  <c r="L14" i="68"/>
  <c r="I14" i="68"/>
  <c r="E12" i="48"/>
  <c r="I10" i="68"/>
  <c r="E10" i="48"/>
  <c r="K24" i="68"/>
  <c r="O20" i="40" l="1"/>
  <c r="O22" i="40" s="1"/>
  <c r="O24" i="40" s="1"/>
  <c r="AC12" i="40"/>
  <c r="AC20" i="40" s="1"/>
  <c r="AC22" i="40" s="1"/>
  <c r="AC24" i="40" s="1"/>
  <c r="AA20" i="40"/>
  <c r="AA22" i="40" s="1"/>
  <c r="AA24" i="40" s="1"/>
  <c r="K124" i="68"/>
  <c r="K128" i="68" s="1"/>
  <c r="H22" i="48"/>
  <c r="L23" i="48"/>
  <c r="L22" i="48" s="1"/>
  <c r="H10" i="48"/>
  <c r="L11" i="48"/>
  <c r="L10" i="48" s="1"/>
  <c r="M20" i="40"/>
  <c r="M22" i="40" s="1"/>
  <c r="M24" i="40" s="1"/>
  <c r="E22" i="48"/>
  <c r="F32" i="48"/>
  <c r="G32" i="48"/>
  <c r="L126" i="66" l="1"/>
  <c r="K126" i="66"/>
  <c r="G21" i="45" s="1"/>
  <c r="J126" i="66"/>
  <c r="F21" i="45" s="1"/>
  <c r="I126" i="66"/>
  <c r="E21" i="45" s="1"/>
  <c r="J124" i="66"/>
  <c r="F20" i="45" s="1"/>
  <c r="K124" i="66"/>
  <c r="G20" i="45" s="1"/>
  <c r="I124" i="66"/>
  <c r="E20" i="45" s="1"/>
  <c r="J119" i="66"/>
  <c r="F19" i="45" s="1"/>
  <c r="I119" i="66"/>
  <c r="E19" i="45" s="1"/>
  <c r="I106" i="66"/>
  <c r="E18" i="45" s="1"/>
  <c r="I79" i="66"/>
  <c r="F13" i="45"/>
  <c r="I74" i="66"/>
  <c r="E13" i="45" s="1"/>
  <c r="K68" i="66"/>
  <c r="G12" i="45" s="1"/>
  <c r="I68" i="66"/>
  <c r="E12" i="45" s="1"/>
  <c r="K11" i="66"/>
  <c r="G11" i="66"/>
  <c r="D11" i="45"/>
  <c r="L11" i="66" l="1"/>
  <c r="L119" i="66"/>
  <c r="H19" i="45" s="1"/>
  <c r="M19" i="45" s="1"/>
  <c r="I11" i="66"/>
  <c r="H16" i="45"/>
  <c r="M16" i="45" s="1"/>
  <c r="K10" i="66"/>
  <c r="G11" i="45"/>
  <c r="G10" i="45" s="1"/>
  <c r="H21" i="45"/>
  <c r="M21" i="45" s="1"/>
  <c r="K119" i="66"/>
  <c r="L106" i="66"/>
  <c r="H18" i="45" s="1"/>
  <c r="M18" i="45" s="1"/>
  <c r="L124" i="66"/>
  <c r="I105" i="66"/>
  <c r="E17" i="45"/>
  <c r="J106" i="66"/>
  <c r="H13" i="45"/>
  <c r="M13" i="45" s="1"/>
  <c r="J97" i="66" l="1"/>
  <c r="F16" i="45" s="1"/>
  <c r="K105" i="66"/>
  <c r="K132" i="66" s="1"/>
  <c r="K136" i="66" s="1"/>
  <c r="G19" i="45"/>
  <c r="G17" i="45" s="1"/>
  <c r="H20" i="45"/>
  <c r="J105" i="66"/>
  <c r="F18" i="45"/>
  <c r="F17" i="45" s="1"/>
  <c r="I10" i="66"/>
  <c r="I132" i="66" s="1"/>
  <c r="I136" i="66" s="1"/>
  <c r="E11" i="45"/>
  <c r="L105" i="66"/>
  <c r="Q105" i="66" s="1"/>
  <c r="H17" i="45" l="1"/>
  <c r="M17" i="45" s="1"/>
  <c r="M20" i="45"/>
  <c r="E10" i="45"/>
  <c r="E22" i="45" s="1"/>
  <c r="G22" i="45"/>
  <c r="R9" i="40" s="1"/>
  <c r="AF9" i="40" s="1"/>
  <c r="E26" i="45" l="1"/>
  <c r="N9" i="40"/>
  <c r="AB9" i="40" s="1"/>
  <c r="G26" i="45"/>
  <c r="F13" i="41" l="1"/>
  <c r="F10" i="41" s="1"/>
  <c r="F21" i="41" l="1"/>
  <c r="F25" i="41" s="1"/>
  <c r="H6" i="77"/>
  <c r="C5" i="79" l="1"/>
  <c r="C4" i="79" l="1"/>
  <c r="C8" i="79"/>
  <c r="C3" i="79"/>
  <c r="C6" i="79"/>
  <c r="C7" i="79"/>
  <c r="C9" i="79" l="1"/>
  <c r="G19" i="40" l="1"/>
  <c r="G15" i="40"/>
  <c r="G11" i="40"/>
  <c r="G7" i="40"/>
  <c r="G14" i="40"/>
  <c r="G6" i="40"/>
  <c r="G18" i="40"/>
  <c r="G10" i="40"/>
  <c r="G17" i="40"/>
  <c r="G13" i="40"/>
  <c r="G9" i="40"/>
  <c r="G5" i="40"/>
  <c r="G16" i="40"/>
  <c r="G12" i="40"/>
  <c r="G8" i="40"/>
  <c r="G20" i="40" l="1"/>
  <c r="F18" i="40" l="1"/>
  <c r="F11" i="40"/>
  <c r="F10" i="40"/>
  <c r="F5" i="40"/>
  <c r="F17" i="40" l="1"/>
  <c r="J17" i="40"/>
  <c r="F16" i="40"/>
  <c r="J16" i="40"/>
  <c r="F8" i="40"/>
  <c r="F14" i="40"/>
  <c r="E5" i="78" l="1"/>
  <c r="E6" i="78"/>
  <c r="E7" i="78"/>
  <c r="E8" i="78"/>
  <c r="E9" i="78"/>
  <c r="E10" i="78"/>
  <c r="E11" i="78"/>
  <c r="E12" i="78"/>
  <c r="E13" i="78"/>
  <c r="E14" i="78"/>
  <c r="E15" i="78"/>
  <c r="E16" i="78"/>
  <c r="E17" i="78"/>
  <c r="E18" i="78"/>
  <c r="E19" i="78"/>
  <c r="E4" i="78"/>
  <c r="E13" i="77"/>
  <c r="D13" i="77"/>
  <c r="F9" i="77"/>
  <c r="F10" i="77"/>
  <c r="F11" i="77"/>
  <c r="F12" i="77"/>
  <c r="F5" i="77"/>
  <c r="F6" i="77"/>
  <c r="F7" i="77"/>
  <c r="F8" i="77"/>
  <c r="F4" i="77"/>
  <c r="F3" i="77"/>
  <c r="E14" i="77" l="1"/>
  <c r="F13" i="77"/>
  <c r="E20" i="78"/>
  <c r="C17" i="40" l="1"/>
  <c r="C18" i="40"/>
  <c r="I12" i="59" l="1"/>
  <c r="F19" i="58" l="1"/>
  <c r="E19" i="30"/>
  <c r="E19" i="58" l="1"/>
  <c r="H11" i="45" l="1"/>
  <c r="M11" i="45" s="1"/>
  <c r="L11" i="69" l="1"/>
  <c r="J11" i="69"/>
  <c r="E11" i="49" s="1"/>
  <c r="G11" i="49" l="1"/>
  <c r="J11" i="49" s="1"/>
  <c r="L10" i="69"/>
  <c r="N10" i="69" s="1"/>
  <c r="N41" i="69" s="1"/>
  <c r="N45" i="69" s="1"/>
  <c r="J10" i="69"/>
  <c r="E10" i="49" l="1"/>
  <c r="J41" i="69"/>
  <c r="J45" i="69" s="1"/>
  <c r="G10" i="49"/>
  <c r="J10" i="49" s="1"/>
  <c r="E14" i="49" l="1"/>
  <c r="Q13" i="40" s="1"/>
  <c r="AE13" i="40" s="1"/>
  <c r="E18" i="49" l="1"/>
  <c r="F12" i="52" l="1"/>
  <c r="J50" i="71" l="1"/>
  <c r="K13" i="71"/>
  <c r="G12" i="52" s="1"/>
  <c r="F10" i="52"/>
  <c r="K10" i="71" l="1"/>
  <c r="F21" i="52"/>
  <c r="Q15" i="40" s="1"/>
  <c r="G10" i="52" l="1"/>
  <c r="G21" i="52" s="1"/>
  <c r="G25" i="52" s="1"/>
  <c r="L15" i="40"/>
  <c r="K46" i="71"/>
  <c r="K50" i="71" s="1"/>
  <c r="F25" i="52"/>
  <c r="J15" i="40" l="1"/>
  <c r="F15" i="40"/>
  <c r="C14" i="40"/>
  <c r="H21" i="48" l="1"/>
  <c r="E21" i="48"/>
  <c r="H18" i="48" l="1"/>
  <c r="H27" i="48" s="1"/>
  <c r="H32" i="48" s="1"/>
  <c r="L21" i="48"/>
  <c r="L18" i="48" s="1"/>
  <c r="L27" i="48" s="1"/>
  <c r="L32" i="48" s="1"/>
  <c r="E18" i="48"/>
  <c r="E27" i="48" s="1"/>
  <c r="L24" i="68"/>
  <c r="I124" i="68"/>
  <c r="I128" i="68" s="1"/>
  <c r="L124" i="68" l="1"/>
  <c r="L128" i="68" s="1"/>
  <c r="O128" i="68"/>
  <c r="N12" i="40"/>
  <c r="E32" i="48"/>
  <c r="L12" i="40" l="1"/>
  <c r="AB12" i="40"/>
  <c r="N20" i="40"/>
  <c r="N22" i="40" s="1"/>
  <c r="N24" i="40" s="1"/>
  <c r="I59" i="63"/>
  <c r="Z12" i="40" l="1"/>
  <c r="AB20" i="40"/>
  <c r="AB22" i="40" s="1"/>
  <c r="AB24" i="40" s="1"/>
  <c r="C11" i="40"/>
  <c r="J12" i="40"/>
  <c r="F12" i="40"/>
  <c r="F19" i="42"/>
  <c r="F23" i="42" s="1"/>
  <c r="E19" i="42"/>
  <c r="Q6" i="40" s="1"/>
  <c r="J59" i="63"/>
  <c r="I64" i="63"/>
  <c r="L6" i="40" l="1"/>
  <c r="AE6" i="40"/>
  <c r="J64" i="63"/>
  <c r="K65" i="63"/>
  <c r="E23" i="42"/>
  <c r="Z6" i="40" l="1"/>
  <c r="J6" i="40"/>
  <c r="F6" i="40"/>
  <c r="J11" i="66" l="1"/>
  <c r="F11" i="45" l="1"/>
  <c r="L68" i="66"/>
  <c r="L10" i="66" s="1"/>
  <c r="Q10" i="66" s="1"/>
  <c r="J68" i="66"/>
  <c r="J10" i="66" s="1"/>
  <c r="F12" i="45" l="1"/>
  <c r="F10" i="45" s="1"/>
  <c r="H12" i="45"/>
  <c r="H10" i="45" l="1"/>
  <c r="M10" i="45" s="1"/>
  <c r="M12" i="45"/>
  <c r="L80" i="66"/>
  <c r="H15" i="45" s="1"/>
  <c r="J80" i="66"/>
  <c r="H14" i="45" l="1"/>
  <c r="M14" i="45" s="1"/>
  <c r="M22" i="45" s="1"/>
  <c r="M26" i="45" s="1"/>
  <c r="M15" i="45"/>
  <c r="J79" i="66"/>
  <c r="J132" i="66" s="1"/>
  <c r="J136" i="66" s="1"/>
  <c r="F15" i="45"/>
  <c r="F14" i="45" s="1"/>
  <c r="L79" i="66"/>
  <c r="Q79" i="66" s="1"/>
  <c r="Q132" i="66" s="1"/>
  <c r="Q136" i="66" s="1"/>
  <c r="L132" i="66" l="1"/>
  <c r="L136" i="66" s="1"/>
  <c r="H22" i="45" l="1"/>
  <c r="H26" i="45" s="1"/>
  <c r="F22" i="45"/>
  <c r="Q9" i="40" s="1"/>
  <c r="L9" i="40" l="1"/>
  <c r="C8" i="40" s="1"/>
  <c r="AE9" i="40"/>
  <c r="Z9" i="40" s="1"/>
  <c r="F26" i="45"/>
  <c r="J9" i="40" l="1"/>
  <c r="F9" i="40"/>
  <c r="K36" i="69" l="1"/>
  <c r="L36" i="69"/>
  <c r="L35" i="69" s="1"/>
  <c r="G12" i="49" l="1"/>
  <c r="J12" i="49" s="1"/>
  <c r="J14" i="49" s="1"/>
  <c r="J18" i="49" s="1"/>
  <c r="L41" i="69"/>
  <c r="L45" i="69" s="1"/>
  <c r="K35" i="69"/>
  <c r="F13" i="49"/>
  <c r="G13" i="49"/>
  <c r="J13" i="49" s="1"/>
  <c r="G14" i="49" l="1"/>
  <c r="G18" i="49" s="1"/>
  <c r="F12" i="49"/>
  <c r="K41" i="69"/>
  <c r="K45" i="69" s="1"/>
  <c r="F14" i="49" l="1"/>
  <c r="R13" i="40" s="1"/>
  <c r="L13" i="40" l="1"/>
  <c r="AF13" i="40"/>
  <c r="Z13" i="40" s="1"/>
  <c r="F18" i="49"/>
  <c r="J13" i="40" l="1"/>
  <c r="F13" i="40"/>
  <c r="C13" i="40"/>
  <c r="I15" i="84" l="1"/>
  <c r="F15" i="84" l="1"/>
  <c r="M20" i="85"/>
  <c r="T20" i="85" l="1"/>
  <c r="I14" i="84"/>
  <c r="F14" i="84"/>
  <c r="M231" i="85" l="1"/>
  <c r="M230" i="85" l="1"/>
  <c r="T230" i="85" s="1"/>
  <c r="T231" i="85"/>
  <c r="P35" i="84" s="1"/>
  <c r="P34" i="84" s="1"/>
  <c r="I35" i="84"/>
  <c r="I34" i="84"/>
  <c r="F13" i="55" l="1"/>
  <c r="M10" i="87"/>
  <c r="M79" i="87" s="1"/>
  <c r="M82" i="87" s="1"/>
  <c r="F10" i="55" l="1"/>
  <c r="F28" i="55" s="1"/>
  <c r="F32" i="55" l="1"/>
  <c r="R19" i="40"/>
  <c r="E13" i="55"/>
  <c r="L10" i="87"/>
  <c r="L79" i="87" s="1"/>
  <c r="L82" i="87" s="1"/>
  <c r="R20" i="40" l="1"/>
  <c r="R22" i="40" s="1"/>
  <c r="R24" i="40" s="1"/>
  <c r="AF19" i="40"/>
  <c r="AF20" i="40" s="1"/>
  <c r="AF22" i="40" s="1"/>
  <c r="AF24" i="40" s="1"/>
  <c r="E10" i="55"/>
  <c r="E28" i="55" s="1"/>
  <c r="E32" i="55" l="1"/>
  <c r="Q19" i="40"/>
  <c r="L19" i="40" l="1"/>
  <c r="AE19" i="40"/>
  <c r="Z19" i="40" l="1"/>
  <c r="F19" i="40"/>
  <c r="J19" i="40"/>
  <c r="C19" i="40"/>
  <c r="M16" i="71" l="1"/>
  <c r="M13" i="71" s="1"/>
  <c r="L13" i="71"/>
  <c r="L10" i="71" s="1"/>
  <c r="H12" i="52" l="1"/>
  <c r="I12" i="52" s="1"/>
  <c r="I10" i="52" s="1"/>
  <c r="I21" i="52" s="1"/>
  <c r="I25" i="52" s="1"/>
  <c r="M10" i="71"/>
  <c r="M46" i="71" s="1"/>
  <c r="M50" i="71" s="1"/>
  <c r="L46" i="71"/>
  <c r="L50" i="71" s="1"/>
  <c r="H10" i="52"/>
  <c r="H21" i="52" s="1"/>
  <c r="T15" i="40" l="1"/>
  <c r="H25" i="52"/>
  <c r="S15" i="40" l="1"/>
  <c r="S20" i="40" s="1"/>
  <c r="S22" i="40" s="1"/>
  <c r="S24" i="40" s="1"/>
  <c r="T20" i="40"/>
  <c r="T22" i="40" s="1"/>
  <c r="T24" i="40" s="1"/>
  <c r="AE15" i="40"/>
  <c r="Z15" i="40" l="1"/>
  <c r="J233" i="85"/>
  <c r="J240" i="85" s="1"/>
  <c r="F37" i="84" l="1"/>
  <c r="F36" i="84" s="1"/>
  <c r="F39" i="84" s="1"/>
  <c r="F43" i="84" s="1"/>
  <c r="J244" i="85"/>
  <c r="Q7" i="40"/>
  <c r="L7" i="40" l="1"/>
  <c r="AE7" i="40"/>
  <c r="Q20" i="40"/>
  <c r="Q22" i="40" s="1"/>
  <c r="Q24" i="40" s="1"/>
  <c r="C5" i="40" l="1"/>
  <c r="C20" i="40" s="1"/>
  <c r="L20" i="40"/>
  <c r="I7" i="40" s="1"/>
  <c r="J7" i="40"/>
  <c r="F7" i="40"/>
  <c r="Z7" i="40"/>
  <c r="Z20" i="40" s="1"/>
  <c r="Z22" i="40" s="1"/>
  <c r="Z24" i="40" s="1"/>
  <c r="AE20" i="40"/>
  <c r="AE22" i="40" s="1"/>
  <c r="AE24" i="40" s="1"/>
  <c r="I16" i="40" l="1"/>
  <c r="I8" i="40"/>
  <c r="I14" i="40"/>
  <c r="I15" i="40"/>
  <c r="I9" i="40"/>
  <c r="I11" i="40"/>
  <c r="L22" i="40"/>
  <c r="L24" i="40" s="1"/>
  <c r="I6" i="40"/>
  <c r="I18" i="40"/>
  <c r="I5" i="40"/>
  <c r="I19" i="40"/>
  <c r="I13" i="40"/>
  <c r="I12" i="40"/>
  <c r="I10" i="40"/>
  <c r="I17" i="40"/>
  <c r="I20" i="40" l="1"/>
  <c r="M236" i="85"/>
  <c r="T236" i="85" s="1"/>
  <c r="I37" i="84" l="1"/>
  <c r="T234" i="85" l="1"/>
  <c r="P37" i="84" s="1"/>
  <c r="P36" i="84" s="1"/>
  <c r="P39" i="84" s="1"/>
  <c r="P43" i="84" s="1"/>
  <c r="M233" i="85"/>
  <c r="T233" i="85" l="1"/>
  <c r="M240" i="85"/>
  <c r="I36" i="84"/>
  <c r="I39" i="84" s="1"/>
  <c r="I43" i="84" s="1"/>
  <c r="T240" i="85" l="1"/>
  <c r="T244" i="85" s="1"/>
  <c r="M244" i="85"/>
</calcChain>
</file>

<file path=xl/comments1.xml><?xml version="1.0" encoding="utf-8"?>
<comments xmlns="http://schemas.openxmlformats.org/spreadsheetml/2006/main">
  <authors>
    <author>Deyci Martina Cabrera Ochoa</author>
    <author>Asus</author>
  </authors>
  <commentList>
    <comment ref="B19" authorId="0" shapeId="0">
      <text>
        <r>
          <rPr>
            <b/>
            <sz val="9"/>
            <color indexed="81"/>
            <rFont val="Tahoma"/>
            <family val="2"/>
          </rPr>
          <t>Deyci Martina Cabrera Ochoa:</t>
        </r>
        <r>
          <rPr>
            <sz val="9"/>
            <color indexed="81"/>
            <rFont val="Tahoma"/>
            <family val="2"/>
          </rPr>
          <t xml:space="preserve">
Avance en un área de ifluenca en los grupos de monitoreo más otra área.
No se pudo hacer en le áre de litigio en 2020, por temas jurídicas, entonces se hizo en Dorado y Peñas Blancas y corredor Oseras, siberia--Ceibas
Para 2021 - Corredor TransAndino Amazónico mas uno del año 2020 que no se reportó</t>
        </r>
      </text>
    </comment>
    <comment ref="B20" authorId="0" shapeId="0">
      <text>
        <r>
          <rPr>
            <b/>
            <sz val="9"/>
            <color indexed="81"/>
            <rFont val="Tahoma"/>
            <family val="2"/>
          </rPr>
          <t>Deyci Martina Cabrera Ochoa:</t>
        </r>
        <r>
          <rPr>
            <sz val="9"/>
            <color indexed="81"/>
            <rFont val="Tahoma"/>
            <family val="2"/>
          </rPr>
          <t xml:space="preserve">
Se contrató fase de aprestamento en 2020 de las 3 áreas y en 2021 la terminación.
Se debe trasladar la Meta 2021 para 2022</t>
        </r>
      </text>
    </comment>
    <comment ref="B21" authorId="0" shapeId="0">
      <text>
        <r>
          <rPr>
            <b/>
            <sz val="9"/>
            <color indexed="81"/>
            <rFont val="Tahoma"/>
            <family val="2"/>
          </rPr>
          <t>Deyci Martina Cabrera Ochoa:</t>
        </r>
        <r>
          <rPr>
            <sz val="9"/>
            <color indexed="81"/>
            <rFont val="Tahoma"/>
            <family val="2"/>
          </rPr>
          <t xml:space="preserve">
2020: L.B. Valoración económica para (4)humedales (Guatipán, Colores, 
          Voltezuela y La Vega) - En Cumplimiento de la Política
2021: Terminación valoración económica
          Zonificación y régimen de uso de páramos (En 2016 se realizó el dcto
          que recoge la información, salió en marzo de 2018 y en mayo salieron
          los lineamientos). Se deben hacer 6 comisiones conjuntas, Ej CVC 
          avanzó en zonificaciones parciales.
2022: PSA
</t>
        </r>
      </text>
    </comment>
    <comment ref="B22" authorId="0" shapeId="0">
      <text>
        <r>
          <rPr>
            <b/>
            <sz val="9"/>
            <color indexed="81"/>
            <rFont val="Tahoma"/>
            <family val="2"/>
          </rPr>
          <t>Deyci Martina Cabrera Ochoa:</t>
        </r>
        <r>
          <rPr>
            <sz val="9"/>
            <color indexed="81"/>
            <rFont val="Tahoma"/>
            <family val="2"/>
          </rPr>
          <t xml:space="preserve">
medios de divulgación, medidas de prevención y control, capacitaciones y educ ambiental (Caracol africano, en áreas protegidas también se trabajan otras especies)</t>
        </r>
      </text>
    </comment>
    <comment ref="B24" authorId="0" shapeId="0">
      <text>
        <r>
          <rPr>
            <b/>
            <sz val="9"/>
            <color indexed="81"/>
            <rFont val="Tahoma"/>
            <family val="2"/>
          </rPr>
          <t>Deyci Martina Cabrera Ochoa:</t>
        </r>
        <r>
          <rPr>
            <sz val="9"/>
            <color indexed="81"/>
            <rFont val="Tahoma"/>
            <family val="2"/>
          </rPr>
          <t xml:space="preserve">
167 Ha. Correspondiente a BST y Humedales</t>
        </r>
      </text>
    </comment>
    <comment ref="B25" authorId="0" shapeId="0">
      <text>
        <r>
          <rPr>
            <b/>
            <sz val="9"/>
            <color indexed="81"/>
            <rFont val="Tahoma"/>
            <family val="2"/>
          </rPr>
          <t>Deyci Martina Cabrera Ochoa:</t>
        </r>
        <r>
          <rPr>
            <sz val="9"/>
            <color indexed="81"/>
            <rFont val="Tahoma"/>
            <family val="2"/>
          </rPr>
          <t xml:space="preserve">
6 especies amenazadas (Oso de anteojos, danta, caimán, Nutria, pataló y roble negro) </t>
        </r>
      </text>
    </comment>
    <comment ref="B41" authorId="1" shapeId="0">
      <text>
        <r>
          <rPr>
            <b/>
            <sz val="9"/>
            <color indexed="81"/>
            <rFont val="Tahoma"/>
            <family val="2"/>
          </rPr>
          <t xml:space="preserve">Actividades: 
Actualización estudio de priorización del Ordenamiento del Recurso Hidrico.
Cuerpos de agua con plan de ordenamiento del recurso hídrico (PORH) adoptados
</t>
        </r>
      </text>
    </comment>
  </commentList>
</comments>
</file>

<file path=xl/comments2.xml><?xml version="1.0" encoding="utf-8"?>
<comments xmlns="http://schemas.openxmlformats.org/spreadsheetml/2006/main">
  <authors>
    <author>Deyci Martina Cabrera Ochoa</author>
  </authors>
  <commentList>
    <comment ref="E9" authorId="0" shapeId="0">
      <text>
        <r>
          <rPr>
            <b/>
            <sz val="9"/>
            <color indexed="81"/>
            <rFont val="Tahoma"/>
            <family val="2"/>
          </rPr>
          <t>Deyci Martina Cabrera Ochoa:</t>
        </r>
        <r>
          <rPr>
            <sz val="9"/>
            <color indexed="81"/>
            <rFont val="Tahoma"/>
            <family val="2"/>
          </rPr>
          <t xml:space="preserve">
INCLUYE VALOR CONVENIO 664/2020 POR: $1.322.391.334</t>
        </r>
      </text>
    </comment>
    <comment ref="C16" authorId="0" shapeId="0">
      <text>
        <r>
          <rPr>
            <b/>
            <sz val="9"/>
            <color indexed="81"/>
            <rFont val="Tahoma"/>
            <family val="2"/>
          </rPr>
          <t>Deyci Martina Cabrera Ochoa:</t>
        </r>
        <r>
          <rPr>
            <sz val="9"/>
            <color indexed="81"/>
            <rFont val="Tahoma"/>
            <family val="2"/>
          </rPr>
          <t xml:space="preserve">
PROYECTO CREADO MEDIANTE ACUERDO 009 DEL 23 DE ABRIL DE 2021</t>
        </r>
      </text>
    </comment>
  </commentList>
</comments>
</file>

<file path=xl/comments3.xml><?xml version="1.0" encoding="utf-8"?>
<comments xmlns="http://schemas.openxmlformats.org/spreadsheetml/2006/main">
  <authors>
    <author>Autor</author>
  </authors>
  <commentList>
    <comment ref="E32" authorId="0" shapeId="0">
      <text>
        <r>
          <rPr>
            <b/>
            <sz val="9"/>
            <color indexed="81"/>
            <rFont val="Tahoma"/>
            <family val="2"/>
          </rPr>
          <t>Autor:</t>
        </r>
        <r>
          <rPr>
            <sz val="9"/>
            <color indexed="81"/>
            <rFont val="Tahoma"/>
            <family val="2"/>
          </rPr>
          <t xml:space="preserve">
Dorado, Peñas Blancas y Oseras-Siberia-Ceibas</t>
        </r>
      </text>
    </comment>
    <comment ref="D88" authorId="0" shapeId="0">
      <text>
        <r>
          <rPr>
            <b/>
            <sz val="9"/>
            <color indexed="81"/>
            <rFont val="Tahoma"/>
            <family val="2"/>
          </rPr>
          <t>Autor:</t>
        </r>
        <r>
          <rPr>
            <sz val="9"/>
            <color indexed="81"/>
            <rFont val="Tahoma"/>
            <family val="2"/>
          </rPr>
          <t xml:space="preserve">
A pesar de tener solo dos indicadores de producto, dentro de estos se desagregan actividades con diferentes códigos de producto</t>
        </r>
      </text>
    </comment>
  </commentList>
</comments>
</file>

<file path=xl/comments4.xml><?xml version="1.0" encoding="utf-8"?>
<comments xmlns="http://schemas.openxmlformats.org/spreadsheetml/2006/main">
  <authors>
    <author>Jose Deyson Velasquez Sanchez</author>
    <author>Deyci Martina Cabrera Ochoa</author>
    <author>Asus</author>
  </authors>
  <commentList>
    <comment ref="U3" authorId="0" shapeId="0">
      <text>
        <r>
          <rPr>
            <b/>
            <sz val="9"/>
            <color indexed="81"/>
            <rFont val="Tahoma"/>
            <family val="2"/>
          </rPr>
          <t>Jose Deyson Velasquez Sanchez:</t>
        </r>
        <r>
          <rPr>
            <sz val="9"/>
            <color indexed="81"/>
            <rFont val="Tahoma"/>
            <family val="2"/>
          </rPr>
          <t xml:space="preserve">
SUMAMOS MULTAS Y LICENCIAS</t>
        </r>
      </text>
    </comment>
    <comment ref="B28" authorId="1" shapeId="0">
      <text>
        <r>
          <rPr>
            <b/>
            <sz val="9"/>
            <color indexed="81"/>
            <rFont val="Tahoma"/>
            <family val="2"/>
          </rPr>
          <t>Deyci Martina Cabrera Ochoa:</t>
        </r>
        <r>
          <rPr>
            <sz val="9"/>
            <color indexed="81"/>
            <rFont val="Tahoma"/>
            <family val="2"/>
          </rPr>
          <t xml:space="preserve">
Avance en un área de ifluenca en los grupos de monitoreo más otra área.
No se pudo hacer en le áre de litigio en 2020, por temas jurídicas, entonces se hizo en Dorado y Peñas Blancas y corredor Oseras, siberia--Ceibas
Para 2021 - Corredor TransAndino Amazónico mas uno del año 2020 que no se reportó</t>
        </r>
      </text>
    </comment>
    <comment ref="B29" authorId="1" shapeId="0">
      <text>
        <r>
          <rPr>
            <b/>
            <sz val="9"/>
            <color indexed="81"/>
            <rFont val="Tahoma"/>
            <family val="2"/>
          </rPr>
          <t>Deyci Martina Cabrera Ochoa:</t>
        </r>
        <r>
          <rPr>
            <sz val="9"/>
            <color indexed="81"/>
            <rFont val="Tahoma"/>
            <family val="2"/>
          </rPr>
          <t xml:space="preserve">
Se contrató fase de aprestamento en 2020 de las 3 áreas y en 2021 la terminación.
Se debe trasladar la Meta 2021 para 2022</t>
        </r>
      </text>
    </comment>
    <comment ref="B31" authorId="1" shapeId="0">
      <text>
        <r>
          <rPr>
            <b/>
            <sz val="9"/>
            <color indexed="81"/>
            <rFont val="Tahoma"/>
            <family val="2"/>
          </rPr>
          <t>Deyci Martina Cabrera Ochoa:</t>
        </r>
        <r>
          <rPr>
            <sz val="9"/>
            <color indexed="81"/>
            <rFont val="Tahoma"/>
            <family val="2"/>
          </rPr>
          <t xml:space="preserve">
2020: L.B. Valoración económica para (4)humedales (Guatipán, Colores, 
          Voltezuela y La Vega) - En Cumplimiento de la Política
2021: Terminación valoración económica
          Zonificación y régimen de uso de páramos (En 2016 se realizó el dcto
          que recoge la información, salió en marzo de 2018 y en mayo salieron
          los lineamientos). Se deben hacer 6 comisiones conjuntas, Ej CVC 
          avanzó en zonificaciones parciales.
2022: PSA
</t>
        </r>
      </text>
    </comment>
    <comment ref="B32" authorId="1" shapeId="0">
      <text>
        <r>
          <rPr>
            <b/>
            <sz val="9"/>
            <color indexed="81"/>
            <rFont val="Tahoma"/>
            <family val="2"/>
          </rPr>
          <t>Deyci Martina Cabrera Ochoa:</t>
        </r>
        <r>
          <rPr>
            <sz val="9"/>
            <color indexed="81"/>
            <rFont val="Tahoma"/>
            <family val="2"/>
          </rPr>
          <t xml:space="preserve">
medios de divulgación, medidas de prevención y control, capacitaciones y educ ambiental (Caracol africano, en áreas protegidas también se trabajan otras especies)</t>
        </r>
      </text>
    </comment>
    <comment ref="B34" authorId="1" shapeId="0">
      <text>
        <r>
          <rPr>
            <b/>
            <sz val="9"/>
            <color indexed="81"/>
            <rFont val="Tahoma"/>
            <family val="2"/>
          </rPr>
          <t>Deyci Martina Cabrera Ochoa:</t>
        </r>
        <r>
          <rPr>
            <sz val="9"/>
            <color indexed="81"/>
            <rFont val="Tahoma"/>
            <family val="2"/>
          </rPr>
          <t xml:space="preserve">
167 Ha. Correspondiente a BST y Humedales</t>
        </r>
      </text>
    </comment>
    <comment ref="B35" authorId="1" shapeId="0">
      <text>
        <r>
          <rPr>
            <b/>
            <sz val="9"/>
            <color indexed="81"/>
            <rFont val="Tahoma"/>
            <family val="2"/>
          </rPr>
          <t>Deyci Martina Cabrera Ochoa:</t>
        </r>
        <r>
          <rPr>
            <sz val="9"/>
            <color indexed="81"/>
            <rFont val="Tahoma"/>
            <family val="2"/>
          </rPr>
          <t xml:space="preserve">
6 especies amenazadas (Oso de anteojos, danta, caimán, Nutria, pataló y roble negro) </t>
        </r>
      </text>
    </comment>
    <comment ref="T55" authorId="0" shapeId="0">
      <text>
        <r>
          <rPr>
            <b/>
            <sz val="9"/>
            <color indexed="81"/>
            <rFont val="Tahoma"/>
            <family val="2"/>
          </rPr>
          <t>Jose Deyson Velasquez Sanchez:</t>
        </r>
        <r>
          <rPr>
            <sz val="9"/>
            <color indexed="81"/>
            <rFont val="Tahoma"/>
            <family val="2"/>
          </rPr>
          <t xml:space="preserve">
incluye vigencias futuras y $2.200.000 del ppto este año</t>
        </r>
      </text>
    </comment>
    <comment ref="B56" authorId="2" shapeId="0">
      <text>
        <r>
          <rPr>
            <b/>
            <sz val="9"/>
            <color indexed="81"/>
            <rFont val="Tahoma"/>
            <family val="2"/>
          </rPr>
          <t xml:space="preserve">Actividades: 
Actualización estudio de priorización del Ordenamiento del Recurso Hidrico.
Cuerpos de agua con plan de ordenamiento del recurso hídrico (PORH) adoptados
</t>
        </r>
      </text>
    </comment>
    <comment ref="T56" authorId="0" shapeId="0">
      <text>
        <r>
          <rPr>
            <b/>
            <sz val="9"/>
            <color indexed="81"/>
            <rFont val="Tahoma"/>
            <family val="2"/>
          </rPr>
          <t>Jose Deyson Velasquez Sanchez:</t>
        </r>
        <r>
          <rPr>
            <sz val="9"/>
            <color indexed="81"/>
            <rFont val="Tahoma"/>
            <family val="2"/>
          </rPr>
          <t xml:space="preserve">
Incluye vigencias futuras y ppto de este año $402.328.071</t>
        </r>
      </text>
    </comment>
  </commentList>
</comments>
</file>

<file path=xl/comments5.xml><?xml version="1.0" encoding="utf-8"?>
<comments xmlns="http://schemas.openxmlformats.org/spreadsheetml/2006/main">
  <authors>
    <author>Leidy Lorena Montes Cabrera</author>
  </authors>
  <commentList>
    <comment ref="G1" authorId="0" shapeId="0">
      <text>
        <r>
          <rPr>
            <b/>
            <sz val="9"/>
            <color indexed="81"/>
            <rFont val="Tahoma"/>
            <family val="2"/>
          </rPr>
          <t xml:space="preserve">se realizó cambio de fuentes
</t>
        </r>
      </text>
    </comment>
  </commentList>
</comments>
</file>

<file path=xl/comments6.xml><?xml version="1.0" encoding="utf-8"?>
<comments xmlns="http://schemas.openxmlformats.org/spreadsheetml/2006/main">
  <authors>
    <author>Leidy Lorena Montes Cabrera</author>
  </authors>
  <commentList>
    <comment ref="H3" authorId="0" shapeId="0">
      <text>
        <r>
          <rPr>
            <b/>
            <sz val="9"/>
            <color indexed="81"/>
            <rFont val="Tahoma"/>
            <family val="2"/>
          </rPr>
          <t>No se incluye regalías por ahora 23/12/2022</t>
        </r>
      </text>
    </comment>
    <comment ref="AG17" authorId="0" shapeId="0">
      <text>
        <r>
          <rPr>
            <b/>
            <sz val="9"/>
            <color indexed="81"/>
            <rFont val="Tahoma"/>
            <family val="2"/>
          </rPr>
          <t>Proyecto Hornillas Gobernación, Rubro Gobernbación</t>
        </r>
        <r>
          <rPr>
            <sz val="9"/>
            <color indexed="81"/>
            <rFont val="Tahoma"/>
            <family val="2"/>
          </rPr>
          <t xml:space="preserve">
</t>
        </r>
      </text>
    </comment>
    <comment ref="S21" authorId="0" shapeId="0">
      <text>
        <r>
          <rPr>
            <b/>
            <sz val="9"/>
            <color indexed="81"/>
            <rFont val="Tahoma"/>
            <family val="2"/>
          </rPr>
          <t>Adición Marzo</t>
        </r>
      </text>
    </comment>
    <comment ref="AG21" authorId="0" shapeId="0">
      <text>
        <r>
          <rPr>
            <sz val="11"/>
            <color indexed="81"/>
            <rFont val="Tahoma"/>
            <family val="2"/>
          </rPr>
          <t xml:space="preserve">Resolución No 3842 de 2022 cierre presupuestal de Regalías. </t>
        </r>
        <r>
          <rPr>
            <sz val="9"/>
            <color indexed="81"/>
            <rFont val="Tahoma"/>
            <family val="2"/>
          </rPr>
          <t xml:space="preserve">
1, </t>
        </r>
        <r>
          <rPr>
            <sz val="12"/>
            <color indexed="81"/>
            <rFont val="Tahoma"/>
            <family val="2"/>
          </rPr>
          <t>Sendicam SGR  2.337.398.069                                                                                                                                          2. Meliponas 320101  y 320102 2.933.603.856</t>
        </r>
      </text>
    </comment>
    <comment ref="AH21" authorId="0" shapeId="0">
      <text>
        <r>
          <rPr>
            <b/>
            <sz val="12"/>
            <color indexed="81"/>
            <rFont val="Tahoma"/>
            <family val="2"/>
          </rPr>
          <t>1. Convenio paramo macizo 1.999089756  proyecto 320201 No62 del 2022                                                        2. 33094998 excedente convenio  no 023 del 202, resolución 057, proyecto 320201</t>
        </r>
      </text>
    </comment>
  </commentList>
</comments>
</file>

<file path=xl/comments7.xml><?xml version="1.0" encoding="utf-8"?>
<comments xmlns="http://schemas.openxmlformats.org/spreadsheetml/2006/main">
  <authors>
    <author>Leidy Lorena Montes Cabrera</author>
  </authors>
  <commentList>
    <comment ref="K52" authorId="0" shapeId="0">
      <text>
        <r>
          <rPr>
            <sz val="9"/>
            <color indexed="81"/>
            <rFont val="Tahoma"/>
            <family val="2"/>
          </rPr>
          <t xml:space="preserve">Se agregan 
</t>
        </r>
      </text>
    </comment>
    <comment ref="K60" authorId="0" shapeId="0">
      <text>
        <r>
          <rPr>
            <b/>
            <sz val="9"/>
            <color indexed="81"/>
            <rFont val="Tahoma"/>
            <family val="2"/>
          </rPr>
          <t>Dinero agregado del cierre presupuestal de regalias, diferencia de lo comprometido en 2022 frente a lo que se pago.
Acredito 65,525,490 de SGR 320102</t>
        </r>
      </text>
    </comment>
  </commentList>
</comments>
</file>

<file path=xl/comments8.xml><?xml version="1.0" encoding="utf-8"?>
<comments xmlns="http://schemas.openxmlformats.org/spreadsheetml/2006/main">
  <authors>
    <author>Leidy Lorena Montes Cabrera</author>
  </authors>
  <commentList>
    <comment ref="A16" authorId="0" shapeId="0">
      <text>
        <r>
          <rPr>
            <b/>
            <sz val="9"/>
            <color indexed="81"/>
            <rFont val="Tahoma"/>
            <family val="2"/>
          </rPr>
          <t>Antes 3299060</t>
        </r>
        <r>
          <rPr>
            <sz val="9"/>
            <color indexed="81"/>
            <rFont val="Tahoma"/>
            <family val="2"/>
          </rPr>
          <t xml:space="preserve">
</t>
        </r>
      </text>
    </comment>
    <comment ref="E21" authorId="0" shapeId="0">
      <text>
        <r>
          <rPr>
            <b/>
            <sz val="9"/>
            <color indexed="81"/>
            <rFont val="Tahoma"/>
            <family val="2"/>
          </rPr>
          <t>191.000.000 DE TRASLADO MARZO</t>
        </r>
        <r>
          <rPr>
            <sz val="9"/>
            <color indexed="81"/>
            <rFont val="Tahoma"/>
            <family val="2"/>
          </rPr>
          <t xml:space="preserve">
</t>
        </r>
      </text>
    </comment>
    <comment ref="F21" authorId="0" shapeId="0">
      <text>
        <r>
          <rPr>
            <b/>
            <sz val="9"/>
            <color indexed="81"/>
            <rFont val="Tahoma"/>
            <family val="2"/>
          </rPr>
          <t>191.000.000 DE TRASLADO MARZO</t>
        </r>
        <r>
          <rPr>
            <sz val="9"/>
            <color indexed="81"/>
            <rFont val="Tahoma"/>
            <family val="2"/>
          </rPr>
          <t xml:space="preserve">
</t>
        </r>
      </text>
    </comment>
    <comment ref="G21" authorId="0" shapeId="0">
      <text>
        <r>
          <rPr>
            <b/>
            <sz val="9"/>
            <color indexed="81"/>
            <rFont val="Tahoma"/>
            <family val="2"/>
          </rPr>
          <t xml:space="preserve">Se contracredito 65520490 para el poryecto 320101 de fuente sgr
</t>
        </r>
        <r>
          <rPr>
            <sz val="9"/>
            <color indexed="81"/>
            <rFont val="Tahoma"/>
            <family val="2"/>
          </rPr>
          <t xml:space="preserve">
</t>
        </r>
      </text>
    </comment>
  </commentList>
</comments>
</file>

<file path=xl/comments9.xml><?xml version="1.0" encoding="utf-8"?>
<comments xmlns="http://schemas.openxmlformats.org/spreadsheetml/2006/main">
  <authors>
    <author>Leidy Lorena Montes Cabrera</author>
  </authors>
  <commentList>
    <comment ref="I62" authorId="0" shapeId="0">
      <text>
        <r>
          <rPr>
            <b/>
            <sz val="9"/>
            <color indexed="81"/>
            <rFont val="Tahoma"/>
            <family val="2"/>
          </rPr>
          <t>191000000 agregados por traslado marzo 2023</t>
        </r>
      </text>
    </comment>
    <comment ref="J62" authorId="0" shapeId="0">
      <text>
        <r>
          <rPr>
            <b/>
            <sz val="9"/>
            <color indexed="81"/>
            <rFont val="Tahoma"/>
            <family val="2"/>
          </rPr>
          <t>191000000 agregados por traslado marzo 2023</t>
        </r>
        <r>
          <rPr>
            <sz val="9"/>
            <color indexed="81"/>
            <rFont val="Tahoma"/>
            <family val="2"/>
          </rPr>
          <t xml:space="preserve">
</t>
        </r>
      </text>
    </comment>
    <comment ref="K62" authorId="0" shapeId="0">
      <text>
        <r>
          <rPr>
            <b/>
            <sz val="9"/>
            <color indexed="81"/>
            <rFont val="Tahoma"/>
            <family val="2"/>
          </rPr>
          <t>Se contracredito 65520490 para el poryecto 320101 de fuente sgr</t>
        </r>
        <r>
          <rPr>
            <sz val="9"/>
            <color indexed="81"/>
            <rFont val="Tahoma"/>
            <family val="2"/>
          </rPr>
          <t xml:space="preserve">
</t>
        </r>
      </text>
    </comment>
  </commentList>
</comments>
</file>

<file path=xl/comments10.xml><?xml version="1.0" encoding="utf-8"?>
<comments xmlns="http://schemas.openxmlformats.org/spreadsheetml/2006/main">
  <authors>
    <author>Leidy Lorena Montes Cabrera</author>
  </authors>
  <commentList>
    <comment ref="F41" authorId="0" shapeId="0">
      <text>
        <r>
          <rPr>
            <b/>
            <sz val="9"/>
            <color indexed="81"/>
            <rFont val="Tahoma"/>
            <family val="2"/>
          </rPr>
          <t>Traslado Marzo 37.409.413</t>
        </r>
      </text>
    </comment>
    <comment ref="I41" authorId="0" shapeId="0">
      <text>
        <r>
          <rPr>
            <b/>
            <sz val="9"/>
            <color indexed="81"/>
            <rFont val="Tahoma"/>
            <family val="2"/>
          </rPr>
          <t>Traslado Marzo 37.409.413</t>
        </r>
      </text>
    </comment>
  </commentList>
</comments>
</file>

<file path=xl/comments11.xml><?xml version="1.0" encoding="utf-8"?>
<comments xmlns="http://schemas.openxmlformats.org/spreadsheetml/2006/main">
  <authors>
    <author>Asus</author>
    <author>Leidy Lorena Montes Cabrera</author>
  </authors>
  <commentList>
    <comment ref="C16" authorId="0" shapeId="0">
      <text>
        <r>
          <rPr>
            <b/>
            <sz val="9"/>
            <color indexed="81"/>
            <rFont val="Tahoma"/>
            <family val="2"/>
          </rPr>
          <t xml:space="preserve">Actividades:
Seguimiento a generadores de RESPEL (medianos y grandes) y una muestra de los grandes.
Seguimiento a generadores aceites usados y aceite de cocina.
Seguimiento a generadores RAEE´s, PCB, Bolsas, entre otros
</t>
        </r>
      </text>
    </comment>
    <comment ref="C20" authorId="0" shapeId="0">
      <text>
        <r>
          <rPr>
            <b/>
            <sz val="9"/>
            <color indexed="81"/>
            <rFont val="Tahoma"/>
            <family val="2"/>
          </rPr>
          <t>70 licencias mineras
6.000 concesiones de aguas superficiales 
222 concesiones de aguas subterráneas</t>
        </r>
      </text>
    </comment>
    <comment ref="C161" authorId="0" shapeId="0">
      <text>
        <r>
          <rPr>
            <b/>
            <sz val="9"/>
            <color indexed="81"/>
            <rFont val="Tahoma"/>
            <family val="2"/>
          </rPr>
          <t>5.368 procesos de otras vigencias 
501 procesos vigentes a 24 feb de 2020
Total de: 5.869 acumulado</t>
        </r>
      </text>
    </comment>
    <comment ref="C224" authorId="0" shapeId="0">
      <text>
        <r>
          <rPr>
            <b/>
            <sz val="9"/>
            <color indexed="81"/>
            <rFont val="Tahoma"/>
            <family val="2"/>
          </rPr>
          <t>100% de los gestores y al 100% de los generadores de la muestra definida por la autoridad ambiental a partir de unos criterios de priorización previamente establecidos.</t>
        </r>
        <r>
          <rPr>
            <sz val="9"/>
            <color indexed="81"/>
            <rFont val="Tahoma"/>
            <family val="2"/>
          </rPr>
          <t xml:space="preserve">
</t>
        </r>
      </text>
    </comment>
    <comment ref="C233" authorId="0" shapeId="0">
      <text>
        <r>
          <rPr>
            <b/>
            <sz val="9"/>
            <color indexed="81"/>
            <rFont val="Tahoma"/>
            <family val="2"/>
          </rPr>
          <t xml:space="preserve">Actividades:
Contratación de servicio de refrigerios y almuerzos.
Contratación de servicio público de transporte especial de pasajeros, requerido por servidores públicos para el ejercicio de funciones de Autoridad Ambiental
</t>
        </r>
      </text>
    </comment>
    <comment ref="J242" authorId="1" shapeId="0">
      <text>
        <r>
          <rPr>
            <b/>
            <sz val="9"/>
            <color indexed="81"/>
            <rFont val="Tahoma"/>
            <family val="2"/>
          </rPr>
          <t>Traslado Marzo 37.409.413</t>
        </r>
      </text>
    </comment>
    <comment ref="M242" authorId="1" shapeId="0">
      <text>
        <r>
          <rPr>
            <b/>
            <sz val="9"/>
            <color indexed="81"/>
            <rFont val="Tahoma"/>
            <family val="2"/>
          </rPr>
          <t>Traslado Marzo 37.409.413</t>
        </r>
      </text>
    </comment>
  </commentList>
</comments>
</file>

<file path=xl/comments12.xml><?xml version="1.0" encoding="utf-8"?>
<comments xmlns="http://schemas.openxmlformats.org/spreadsheetml/2006/main">
  <authors>
    <author>Deyci Martina Cabrera Ochoa</author>
    <author>Diana Marcela Bermeo</author>
    <author>Leidy Lorena Montes Cabrera</author>
  </authors>
  <commentList>
    <comment ref="E14" authorId="0" shapeId="0">
      <text>
        <r>
          <rPr>
            <b/>
            <sz val="9"/>
            <color indexed="81"/>
            <rFont val="Tahoma"/>
            <family val="2"/>
          </rPr>
          <t>Deyci Martina Cabrera Ochoa:</t>
        </r>
        <r>
          <rPr>
            <sz val="9"/>
            <color indexed="81"/>
            <rFont val="Tahoma"/>
            <family val="2"/>
          </rPr>
          <t xml:space="preserve">
Turismo Sirap Macizo y reconvers. Prod.CTAA
</t>
        </r>
      </text>
    </comment>
    <comment ref="D15" authorId="1" shapeId="0">
      <text>
        <r>
          <rPr>
            <b/>
            <sz val="9"/>
            <color indexed="81"/>
            <rFont val="Tahoma"/>
            <family val="2"/>
          </rPr>
          <t>Área Litigio Cauca - Huila; Áreas Influencia G.M. y DRMI La Tatacoa</t>
        </r>
      </text>
    </comment>
    <comment ref="D17" authorId="1" shapeId="0">
      <text>
        <r>
          <rPr>
            <b/>
            <sz val="9"/>
            <color indexed="81"/>
            <rFont val="Tahoma"/>
            <family val="2"/>
          </rPr>
          <t xml:space="preserve">PNR Y DRMI SERRANIA DE MINAS, DRMI CBOB </t>
        </r>
      </text>
    </comment>
    <comment ref="C19" authorId="1" shapeId="0">
      <text>
        <r>
          <rPr>
            <b/>
            <sz val="9"/>
            <color indexed="81"/>
            <rFont val="Tahoma"/>
            <family val="2"/>
          </rPr>
          <t>humedales (valoración económica-acotamiento de ronda), Tipificación de sistemas productivos para PSA en AP (piloto) y Plataforma Digital</t>
        </r>
      </text>
    </comment>
    <comment ref="E39" authorId="2" shapeId="0">
      <text>
        <r>
          <rPr>
            <b/>
            <sz val="12"/>
            <color indexed="81"/>
            <rFont val="Tahoma"/>
            <family val="2"/>
          </rPr>
          <t xml:space="preserve">12/01/2022 Se reduce 97504966 que se cambiaron de fuente por el proyecto 320601 disminuye TSE y aumenta en la fuente de % ambiental.
Traslado Marzo 161,573,358
Traslado presupuestal acuerdo 28 sep de 2023 por -70935818 (Total tse 74.352.513) hacia proyecto 320502 </t>
        </r>
        <r>
          <rPr>
            <sz val="9"/>
            <color indexed="81"/>
            <rFont val="Tahoma"/>
            <family val="2"/>
          </rPr>
          <t xml:space="preserve">
</t>
        </r>
      </text>
    </comment>
    <comment ref="G39" authorId="2" shapeId="0">
      <text>
        <r>
          <rPr>
            <b/>
            <sz val="10"/>
            <color indexed="81"/>
            <rFont val="Tahoma"/>
            <family val="2"/>
          </rPr>
          <t>12/01/2022 Se agregan 97504966 que se cambiaron de fuente por el proyecto 320601 disminuye TSE y aumenta en la fuente de % ambiental.
Traslado Marzo 161,573,358</t>
        </r>
      </text>
    </comment>
    <comment ref="J39" authorId="2" shapeId="0">
      <text>
        <r>
          <rPr>
            <b/>
            <sz val="9"/>
            <color indexed="81"/>
            <rFont val="Tahoma"/>
            <family val="2"/>
          </rPr>
          <t xml:space="preserve">
Traslado presupuestal acuerdo 28 sep de 2023 por -3,416,695 (Total tse 74.352.513) hacia proyecto 320502 
</t>
        </r>
      </text>
    </comment>
    <comment ref="L39" authorId="2" shapeId="0">
      <text>
        <r>
          <rPr>
            <b/>
            <sz val="9"/>
            <color indexed="81"/>
            <rFont val="Tahoma"/>
            <family val="2"/>
          </rPr>
          <t>Proyecto paramo Macizo, convenio Gobernación</t>
        </r>
      </text>
    </comment>
    <comment ref="M39" authorId="2" shapeId="0">
      <text>
        <r>
          <rPr>
            <b/>
            <sz val="9"/>
            <color indexed="81"/>
            <rFont val="Tahoma"/>
            <family val="2"/>
          </rPr>
          <t xml:space="preserve">5381319011 + adición 6668894465
</t>
        </r>
      </text>
    </comment>
  </commentList>
</comments>
</file>

<file path=xl/comments13.xml><?xml version="1.0" encoding="utf-8"?>
<comments xmlns="http://schemas.openxmlformats.org/spreadsheetml/2006/main">
  <authors>
    <author>Diana Marcela Bermeo</author>
    <author>jose</author>
    <author>Leidy Lorena Montes Cabrera</author>
  </authors>
  <commentList>
    <comment ref="C24" authorId="0" shapeId="0">
      <text>
        <r>
          <rPr>
            <b/>
            <sz val="9"/>
            <color indexed="81"/>
            <rFont val="Tahoma"/>
            <family val="2"/>
          </rPr>
          <t>Diana Marcela Bermeo:</t>
        </r>
        <r>
          <rPr>
            <sz val="9"/>
            <color indexed="81"/>
            <rFont val="Tahoma"/>
            <family val="2"/>
          </rPr>
          <t xml:space="preserve">
SIRAP MACIZO, CEERCCO Y CORREDOR TRASANDINO AMAZONICO (CTAA)</t>
        </r>
      </text>
    </comment>
    <comment ref="I36" authorId="0" shapeId="0">
      <text>
        <r>
          <rPr>
            <b/>
            <sz val="9"/>
            <color indexed="81"/>
            <rFont val="Tahoma"/>
            <family val="2"/>
          </rPr>
          <t>VIG. FUTURAS</t>
        </r>
      </text>
    </comment>
    <comment ref="I59" authorId="1" shapeId="0">
      <text>
        <r>
          <rPr>
            <b/>
            <sz val="9"/>
            <color indexed="81"/>
            <rFont val="Tahoma"/>
            <family val="2"/>
          </rPr>
          <t>Se le aumento un peso por los decimales.</t>
        </r>
      </text>
    </comment>
    <comment ref="K68" authorId="2" shapeId="0">
      <text>
        <r>
          <rPr>
            <b/>
            <sz val="9"/>
            <color indexed="81"/>
            <rFont val="Tahoma"/>
            <family val="2"/>
          </rPr>
          <t>Leidy Lorena Montes Cabrera:</t>
        </r>
        <r>
          <rPr>
            <sz val="9"/>
            <color indexed="81"/>
            <rFont val="Tahoma"/>
            <family val="2"/>
          </rPr>
          <t xml:space="preserve">
vigencia futura
</t>
        </r>
      </text>
    </comment>
    <comment ref="P70" authorId="2" shapeId="0">
      <text>
        <r>
          <rPr>
            <b/>
            <sz val="9"/>
            <color indexed="81"/>
            <rFont val="Tahoma"/>
            <family val="2"/>
          </rPr>
          <t>Leidy Lorena Montes Cabrera:</t>
        </r>
        <r>
          <rPr>
            <sz val="9"/>
            <color indexed="81"/>
            <rFont val="Tahoma"/>
            <family val="2"/>
          </rPr>
          <t xml:space="preserve">
ya tienen RP se incluyo el año pasado, falta que Diana esta pendiente 12758923 son del plan de manejo tatacoa</t>
        </r>
      </text>
    </comment>
    <comment ref="C71" authorId="0" shapeId="0">
      <text>
        <r>
          <rPr>
            <b/>
            <sz val="9"/>
            <color indexed="81"/>
            <rFont val="Tahoma"/>
            <family val="2"/>
          </rPr>
          <t>Tipificación de sistemas productivos para PSA en AP (piloto)
zonificación y régimen de usos y, PMA 2 complejos de páramos</t>
        </r>
      </text>
    </comment>
    <comment ref="H141" authorId="0" shapeId="0">
      <text>
        <r>
          <rPr>
            <b/>
            <sz val="9"/>
            <color indexed="81"/>
            <rFont val="Tahoma"/>
            <family val="2"/>
          </rPr>
          <t>traslado</t>
        </r>
      </text>
    </comment>
    <comment ref="I141" authorId="0" shapeId="0">
      <text>
        <r>
          <rPr>
            <b/>
            <sz val="9"/>
            <color indexed="81"/>
            <rFont val="Tahoma"/>
            <family val="2"/>
          </rPr>
          <t>traslado</t>
        </r>
      </text>
    </comment>
    <comment ref="D151" authorId="2" shapeId="0">
      <text>
        <r>
          <rPr>
            <sz val="9"/>
            <color indexed="81"/>
            <rFont val="Tahoma"/>
            <family val="2"/>
          </rPr>
          <t xml:space="preserve">Antes 2.3.2.01.01.001.03.19
</t>
        </r>
      </text>
    </comment>
    <comment ref="I157" authorId="1" shapeId="0">
      <text>
        <r>
          <rPr>
            <b/>
            <sz val="9"/>
            <color indexed="81"/>
            <rFont val="Tahoma"/>
            <family val="2"/>
          </rPr>
          <t>jose, se aumento un peso por decimales, dado que cuando se multiplica el 4 x mil quedan las tres acciones con unas decimas</t>
        </r>
      </text>
    </comment>
    <comment ref="I176" authorId="1" shapeId="0">
      <text>
        <r>
          <rPr>
            <b/>
            <sz val="9"/>
            <color indexed="81"/>
            <rFont val="Tahoma"/>
            <family val="2"/>
          </rPr>
          <t>jose:</t>
        </r>
        <r>
          <rPr>
            <sz val="9"/>
            <color indexed="81"/>
            <rFont val="Tahoma"/>
            <family val="2"/>
          </rPr>
          <t xml:space="preserve">
Aumento un peso por decimales
</t>
        </r>
      </text>
    </comment>
    <comment ref="I191" authorId="2" shapeId="0">
      <text>
        <r>
          <rPr>
            <b/>
            <sz val="12"/>
            <color indexed="81"/>
            <rFont val="Tahoma"/>
            <family val="2"/>
          </rPr>
          <t xml:space="preserve">12/01/2022 Se reduce 97504966 que se cambiaron de fuente por el proyecto 320601 disminuye TSE y aumenta en la fuente de % ambiental.
Traslado Marzo 161,573,358
Traslado presupuestal acuerdo 28 sep de 2023 por -70935818 (Total tse 74.352.513) hacia proyecto 320502 </t>
        </r>
        <r>
          <rPr>
            <sz val="9"/>
            <color indexed="81"/>
            <rFont val="Tahoma"/>
            <family val="2"/>
          </rPr>
          <t xml:space="preserve">
</t>
        </r>
      </text>
    </comment>
    <comment ref="K191" authorId="2" shapeId="0">
      <text>
        <r>
          <rPr>
            <b/>
            <sz val="10"/>
            <color indexed="81"/>
            <rFont val="Tahoma"/>
            <family val="2"/>
          </rPr>
          <t>12/01/2022 Se agregan 97504966 que se cambiaron de fuente por el proyecto 320601 disminuye TSE y aumenta en la fuente de % ambiental.
Traslado Marzo 161,573,358</t>
        </r>
      </text>
    </comment>
    <comment ref="N191" authorId="2" shapeId="0">
      <text>
        <r>
          <rPr>
            <b/>
            <sz val="9"/>
            <color indexed="81"/>
            <rFont val="Tahoma"/>
            <family val="2"/>
          </rPr>
          <t xml:space="preserve">
Traslado presupuestal acuerdo 28 sep de 2023 por -3,416,695 (Total tse 74.352.513) hacia proyecto 320502 
</t>
        </r>
      </text>
    </comment>
    <comment ref="P191" authorId="2" shapeId="0">
      <text>
        <r>
          <rPr>
            <b/>
            <sz val="9"/>
            <color indexed="81"/>
            <rFont val="Tahoma"/>
            <family val="2"/>
          </rPr>
          <t>Proyecto paramo Macizo, convenio Gobernación</t>
        </r>
      </text>
    </comment>
    <comment ref="Q191" authorId="2" shapeId="0">
      <text>
        <r>
          <rPr>
            <b/>
            <sz val="9"/>
            <color indexed="81"/>
            <rFont val="Tahoma"/>
            <family val="2"/>
          </rPr>
          <t xml:space="preserve">5381319011 + adición 6668894465
</t>
        </r>
      </text>
    </comment>
  </commentList>
</comments>
</file>

<file path=xl/comments14.xml><?xml version="1.0" encoding="utf-8"?>
<comments xmlns="http://schemas.openxmlformats.org/spreadsheetml/2006/main">
  <authors>
    <author>Asus</author>
  </authors>
  <commentList>
    <comment ref="C105" authorId="0" shapeId="0">
      <text>
        <r>
          <rPr>
            <b/>
            <sz val="9"/>
            <color indexed="81"/>
            <rFont val="Tahoma"/>
            <family val="2"/>
          </rPr>
          <t>Actividades:
Atención por conflicto de fauna silvestre y comunidades (Tarea compartida con SGA)
Atención, manejo y valoración medica y biológica de la fauna silvestre que ingresa al CAV y hogares de paso y su disposición final.
Realización de campañas de educación y sensibilización para la conservación de la fuana silvestre
Mantenimiento de Hogares de paso y Centro de Atención y Valoración de Fauna</t>
        </r>
      </text>
    </comment>
  </commentList>
</comments>
</file>

<file path=xl/comments15.xml><?xml version="1.0" encoding="utf-8"?>
<comments xmlns="http://schemas.openxmlformats.org/spreadsheetml/2006/main">
  <authors>
    <author>Fredy Anturi</author>
    <author>Leidy Lorena Montes Cabrera</author>
  </authors>
  <commentList>
    <comment ref="C16" authorId="0" shapeId="0">
      <text>
        <r>
          <rPr>
            <b/>
            <sz val="9"/>
            <color indexed="81"/>
            <rFont val="Tahoma"/>
            <family val="2"/>
          </rPr>
          <t>Fredy Anturi:</t>
        </r>
        <r>
          <rPr>
            <sz val="9"/>
            <color indexed="81"/>
            <rFont val="Tahoma"/>
            <family val="2"/>
          </rPr>
          <t xml:space="preserve">
Estos metros lineales protegen más de 500 hectáreas de bosques que conservan el recurso hídrico</t>
        </r>
      </text>
    </comment>
    <comment ref="B21" authorId="1" shapeId="0">
      <text>
        <r>
          <rPr>
            <b/>
            <sz val="9"/>
            <color indexed="81"/>
            <rFont val="Tahoma"/>
            <family val="2"/>
          </rPr>
          <t>Leidy Lorena Montes Cabrera:</t>
        </r>
        <r>
          <rPr>
            <sz val="9"/>
            <color indexed="81"/>
            <rFont val="Tahoma"/>
            <family val="2"/>
          </rPr>
          <t xml:space="preserve">
Los agrergué porque en indicadores de gestión están</t>
        </r>
      </text>
    </comment>
    <comment ref="J26" authorId="1" shapeId="0">
      <text>
        <r>
          <rPr>
            <b/>
            <sz val="9"/>
            <color indexed="81"/>
            <rFont val="Tahoma"/>
            <family val="2"/>
          </rPr>
          <t>MÁS 209186154,88 ADICIÓN PRESUPEUSTAL MARZO</t>
        </r>
        <r>
          <rPr>
            <sz val="9"/>
            <color indexed="81"/>
            <rFont val="Tahoma"/>
            <family val="2"/>
          </rPr>
          <t xml:space="preserve">
</t>
        </r>
      </text>
    </comment>
  </commentList>
</comments>
</file>

<file path=xl/comments16.xml><?xml version="1.0" encoding="utf-8"?>
<comments xmlns="http://schemas.openxmlformats.org/spreadsheetml/2006/main">
  <authors>
    <author>Fredy Anturi</author>
    <author>Leidy Lorena Montes Cabrera</author>
  </authors>
  <commentList>
    <comment ref="F25" authorId="0" shapeId="0">
      <text>
        <r>
          <rPr>
            <b/>
            <sz val="9"/>
            <color indexed="81"/>
            <rFont val="Tahoma"/>
            <family val="2"/>
          </rPr>
          <t>Fredy Anturi:</t>
        </r>
        <r>
          <rPr>
            <sz val="9"/>
            <color indexed="81"/>
            <rFont val="Tahoma"/>
            <family val="2"/>
          </rPr>
          <t xml:space="preserve">
Estos metros lineales protegen más de 500 hectáreas de bosques que conservan el recurso hídrico</t>
        </r>
      </text>
    </comment>
    <comment ref="C36" authorId="1" shapeId="0">
      <text>
        <r>
          <rPr>
            <b/>
            <sz val="9"/>
            <color indexed="81"/>
            <rFont val="Tahoma"/>
            <family val="2"/>
          </rPr>
          <t>Leidy Lorena Montes Cabrera:</t>
        </r>
        <r>
          <rPr>
            <sz val="9"/>
            <color indexed="81"/>
            <rFont val="Tahoma"/>
            <family val="2"/>
          </rPr>
          <t xml:space="preserve">
Los agrergué porque en indicadores de gestión están</t>
        </r>
      </text>
    </comment>
    <comment ref="N40" authorId="1" shapeId="0">
      <text>
        <r>
          <rPr>
            <b/>
            <sz val="9"/>
            <color indexed="81"/>
            <rFont val="Tahoma"/>
            <family val="2"/>
          </rPr>
          <t>MÁS 209186154,88 ADICIÓN PRESUPEUSTAL MARZO</t>
        </r>
        <r>
          <rPr>
            <sz val="9"/>
            <color indexed="81"/>
            <rFont val="Tahoma"/>
            <family val="2"/>
          </rPr>
          <t xml:space="preserve">
</t>
        </r>
      </text>
    </comment>
  </commentList>
</comments>
</file>

<file path=xl/comments17.xml><?xml version="1.0" encoding="utf-8"?>
<comments xmlns="http://schemas.openxmlformats.org/spreadsheetml/2006/main">
  <authors>
    <author>Leidy Lorena Montes Cabrera</author>
  </authors>
  <commentList>
    <comment ref="G20" authorId="0" shapeId="0">
      <text>
        <r>
          <rPr>
            <b/>
            <sz val="9"/>
            <color indexed="81"/>
            <rFont val="Tahoma"/>
            <family val="2"/>
          </rPr>
          <t xml:space="preserve">REDUCCIÓN DE 30862216 POR TRASLADO PRESUPUESTAL, APROBADO ACUERDO xxx 31 DE AGOSTO </t>
        </r>
      </text>
    </comment>
    <comment ref="I20" authorId="0" shapeId="0">
      <text>
        <r>
          <rPr>
            <b/>
            <sz val="9"/>
            <color indexed="81"/>
            <rFont val="Tahoma"/>
            <family val="2"/>
          </rPr>
          <t>Reducido y trasladado 30862216 a 320801</t>
        </r>
        <r>
          <rPr>
            <sz val="9"/>
            <color indexed="81"/>
            <rFont val="Tahoma"/>
            <family val="2"/>
          </rPr>
          <t xml:space="preserve">
</t>
        </r>
      </text>
    </comment>
  </commentList>
</comments>
</file>

<file path=xl/comments18.xml><?xml version="1.0" encoding="utf-8"?>
<comments xmlns="http://schemas.openxmlformats.org/spreadsheetml/2006/main">
  <authors>
    <author>Fredy Anturi</author>
    <author>Leidy Lorena Montes Cabrera</author>
  </authors>
  <commentList>
    <comment ref="C10" authorId="0" shapeId="0">
      <text>
        <r>
          <rPr>
            <b/>
            <sz val="9"/>
            <color indexed="81"/>
            <rFont val="Tahoma"/>
            <family val="2"/>
          </rPr>
          <t>Fredy Anturi:</t>
        </r>
        <r>
          <rPr>
            <sz val="9"/>
            <color indexed="81"/>
            <rFont val="Tahoma"/>
            <family val="2"/>
          </rPr>
          <t xml:space="preserve">
Valor aporte 2022 $1.764.776.745 vigencias futuras $1.155.897.708</t>
        </r>
      </text>
    </comment>
    <comment ref="P21" authorId="0" shapeId="0">
      <text>
        <r>
          <rPr>
            <b/>
            <sz val="10"/>
            <color indexed="81"/>
            <rFont val="Arial"/>
            <family val="2"/>
          </rPr>
          <t>Fredy Anturi:</t>
        </r>
        <r>
          <rPr>
            <sz val="10"/>
            <color indexed="81"/>
            <rFont val="Arial"/>
            <family val="2"/>
          </rPr>
          <t xml:space="preserve">
Se trasnladan recursos de construcción de estaciones, monitoreo del Recurso hídrico y apoto técnico </t>
        </r>
      </text>
    </comment>
    <comment ref="L67" authorId="1" shapeId="0">
      <text>
        <r>
          <rPr>
            <b/>
            <sz val="9"/>
            <color indexed="81"/>
            <rFont val="Tahoma"/>
            <family val="2"/>
          </rPr>
          <t xml:space="preserve">REDUCCIÓN DE 30862216 POR TRASLADO PRESUPUESTAL, APROBADO ACUERDO xxx 31 DE AGOSTO </t>
        </r>
      </text>
    </comment>
  </commentList>
</comments>
</file>

<file path=xl/comments19.xml><?xml version="1.0" encoding="utf-8"?>
<comments xmlns="http://schemas.openxmlformats.org/spreadsheetml/2006/main">
  <authors>
    <author>Leidy Lorena Montes Cabrera</author>
  </authors>
  <commentList>
    <comment ref="A10" authorId="0" shapeId="0">
      <text>
        <r>
          <rPr>
            <b/>
            <sz val="9"/>
            <color indexed="81"/>
            <rFont val="Tahoma"/>
            <family val="2"/>
          </rPr>
          <t>antes 3202033</t>
        </r>
      </text>
    </comment>
    <comment ref="E30" authorId="0" shapeId="0">
      <text>
        <r>
          <rPr>
            <b/>
            <sz val="9"/>
            <color indexed="81"/>
            <rFont val="Tahoma"/>
            <family val="2"/>
          </rPr>
          <t>traslado Marzo 97504965</t>
        </r>
        <r>
          <rPr>
            <sz val="9"/>
            <color indexed="81"/>
            <rFont val="Tahoma"/>
            <family val="2"/>
          </rPr>
          <t xml:space="preserve">
</t>
        </r>
      </text>
    </comment>
    <comment ref="H30" authorId="0" shapeId="0">
      <text>
        <r>
          <rPr>
            <b/>
            <sz val="9"/>
            <color indexed="81"/>
            <rFont val="Tahoma"/>
            <family val="2"/>
          </rPr>
          <t xml:space="preserve">traslado 97504965
</t>
        </r>
      </text>
    </comment>
  </commentList>
</comments>
</file>

<file path=xl/comments20.xml><?xml version="1.0" encoding="utf-8"?>
<comments xmlns="http://schemas.openxmlformats.org/spreadsheetml/2006/main">
  <authors>
    <author>Asus</author>
    <author>Deyci Martina Cabrera Ochoa</author>
    <author>Leidy Lorena Montes Cabrera</author>
  </authors>
  <commentList>
    <comment ref="C21" authorId="0" shapeId="0">
      <text>
        <r>
          <rPr>
            <b/>
            <sz val="9"/>
            <color indexed="81"/>
            <rFont val="Tahoma"/>
            <family val="2"/>
          </rPr>
          <t xml:space="preserve">Actividades: 
Actualización estudio de priorización del Ordenamiento del Recurso Hidrico.
Cuerpos de agua con plan de ordenamiento del recurso hídrico (PORH) adoptados
</t>
        </r>
      </text>
    </comment>
    <comment ref="C24" authorId="0" shapeId="0">
      <text>
        <r>
          <rPr>
            <b/>
            <sz val="9"/>
            <color indexed="81"/>
            <rFont val="Tahoma"/>
            <family val="2"/>
          </rPr>
          <t xml:space="preserve">Actividades de indicador PIRMA:
</t>
        </r>
        <r>
          <rPr>
            <sz val="9"/>
            <color indexed="81"/>
            <rFont val="Tahoma"/>
            <family val="2"/>
          </rPr>
          <t xml:space="preserve">Campañas de monitoreo del recurso hídrico en el río Magdalena y sus principales afluentes
Muestreos y/o contramuestreos - proyecto calidad de aguas
Seguimiento y/o Monitoreo al Recurso Hídrico (Cuencas Abastecedoras y Otras Cuencas Prioritarias)
Estaciones hidrometeorológicas con mantenimiento
</t>
        </r>
        <r>
          <rPr>
            <b/>
            <sz val="9"/>
            <color indexed="81"/>
            <rFont val="Tahoma"/>
            <family val="2"/>
          </rPr>
          <t xml:space="preserve">
</t>
        </r>
      </text>
    </comment>
    <comment ref="C117" authorId="1" shapeId="0">
      <text>
        <r>
          <rPr>
            <b/>
            <sz val="9"/>
            <color indexed="81"/>
            <rFont val="Tahoma"/>
            <family val="2"/>
          </rPr>
          <t>Deyci Martina Cabrera Ochoa:</t>
        </r>
        <r>
          <rPr>
            <sz val="9"/>
            <color indexed="81"/>
            <rFont val="Tahoma"/>
            <family val="2"/>
          </rPr>
          <t xml:space="preserve">
PASA A ADMNISTRACIÓN DEL RECURSO HÍDRICO</t>
        </r>
      </text>
    </comment>
    <comment ref="I126" authorId="2" shapeId="0">
      <text>
        <r>
          <rPr>
            <b/>
            <sz val="9"/>
            <color indexed="81"/>
            <rFont val="Tahoma"/>
            <family val="2"/>
          </rPr>
          <t>traslado Marzo 97504965</t>
        </r>
        <r>
          <rPr>
            <sz val="9"/>
            <color indexed="81"/>
            <rFont val="Tahoma"/>
            <family val="2"/>
          </rPr>
          <t xml:space="preserve">
</t>
        </r>
      </text>
    </comment>
    <comment ref="L126" authorId="2" shapeId="0">
      <text>
        <r>
          <rPr>
            <b/>
            <sz val="9"/>
            <color indexed="81"/>
            <rFont val="Tahoma"/>
            <family val="2"/>
          </rPr>
          <t xml:space="preserve">traslado 97504965
</t>
        </r>
      </text>
    </comment>
  </commentList>
</comments>
</file>

<file path=xl/comments21.xml><?xml version="1.0" encoding="utf-8"?>
<comments xmlns="http://schemas.openxmlformats.org/spreadsheetml/2006/main">
  <authors>
    <author>Leidy Lorena Montes Cabrera</author>
  </authors>
  <commentList>
    <comment ref="A12" authorId="0" shapeId="0">
      <text>
        <r>
          <rPr>
            <b/>
            <sz val="9"/>
            <color indexed="81"/>
            <rFont val="Tahoma"/>
            <family val="2"/>
          </rPr>
          <t>Antes 3202008</t>
        </r>
      </text>
    </comment>
  </commentList>
</comments>
</file>

<file path=xl/comments22.xml><?xml version="1.0" encoding="utf-8"?>
<comments xmlns="http://schemas.openxmlformats.org/spreadsheetml/2006/main">
  <authors>
    <author>Leidy Lorena Montes Cabrera</author>
  </authors>
  <commentList>
    <comment ref="K13" authorId="0" shapeId="0">
      <text>
        <r>
          <rPr>
            <b/>
            <sz val="9"/>
            <color indexed="81"/>
            <rFont val="Tahoma"/>
            <family val="2"/>
          </rPr>
          <t>CDP Generado por 46827576 reducción meses</t>
        </r>
      </text>
    </comment>
    <comment ref="C15" authorId="0" shapeId="0">
      <text>
        <r>
          <rPr>
            <sz val="9"/>
            <color indexed="81"/>
            <rFont val="Tahoma"/>
            <family val="2"/>
          </rPr>
          <t xml:space="preserve">Carlos Mario
</t>
        </r>
      </text>
    </comment>
    <comment ref="N15" authorId="0" shapeId="0">
      <text>
        <r>
          <rPr>
            <b/>
            <sz val="9"/>
            <color indexed="81"/>
            <rFont val="Tahoma"/>
            <family val="2"/>
          </rPr>
          <t>Hay 250.000 en la acción que se dejaron para pago ARL prácticantes. Valor requerido por Silvia. Carlos mario RP 14,625,054</t>
        </r>
      </text>
    </comment>
    <comment ref="K18" authorId="0" shapeId="0">
      <text>
        <r>
          <rPr>
            <b/>
            <sz val="9"/>
            <color indexed="81"/>
            <rFont val="Tahoma"/>
            <family val="2"/>
          </rPr>
          <t>RP esri 11.167.662</t>
        </r>
      </text>
    </comment>
  </commentList>
</comments>
</file>

<file path=xl/comments23.xml><?xml version="1.0" encoding="utf-8"?>
<comments xmlns="http://schemas.openxmlformats.org/spreadsheetml/2006/main">
  <authors>
    <author>Leidy Lorena Montes Cabrera</author>
  </authors>
  <commentList>
    <comment ref="E23" authorId="0" shapeId="0">
      <text>
        <r>
          <rPr>
            <sz val="11"/>
            <color indexed="81"/>
            <rFont val="Tahoma"/>
            <family val="2"/>
          </rPr>
          <t>Disminuye 259078323 por traslado de marzo
Acuerdo número XXX del 23 de junio traslado contracreditado de  208.885.779 
Traslado presupuestal acuerdo 28 sep de 2023 por 189.561.137 proveniente del proyecto 320201 y 320801</t>
        </r>
      </text>
    </comment>
    <comment ref="F23" authorId="0" shapeId="0">
      <text>
        <r>
          <rPr>
            <b/>
            <sz val="9"/>
            <color indexed="81"/>
            <rFont val="Tahoma"/>
            <family val="2"/>
          </rPr>
          <t>Traslado presupuestal acuerdo 28 sep de 2023 por 13.410.580 proveniente del proyecto 320201 y 320801</t>
        </r>
      </text>
    </comment>
    <comment ref="G23" authorId="0" shapeId="0">
      <text>
        <r>
          <rPr>
            <b/>
            <sz val="9"/>
            <color indexed="81"/>
            <rFont val="Tahoma"/>
            <family val="2"/>
          </rPr>
          <t xml:space="preserve">
Acuerdo número XXX del 23 de junio traslado contracreditado de  208.885.779 </t>
        </r>
      </text>
    </comment>
  </commentList>
</comments>
</file>

<file path=xl/comments24.xml><?xml version="1.0" encoding="utf-8"?>
<comments xmlns="http://schemas.openxmlformats.org/spreadsheetml/2006/main">
  <authors>
    <author>Leidy Lorena Montes Cabrera</author>
  </authors>
  <commentList>
    <comment ref="I48" authorId="0" shapeId="0">
      <text>
        <r>
          <rPr>
            <sz val="11"/>
            <color indexed="81"/>
            <rFont val="Tahoma"/>
            <family val="2"/>
          </rPr>
          <t>Disminuye 259078323 por traslado de marzo
Acuerdo número XXX del 23 de junio traslado contracreditado de  208.885.779 
Traslado presupuestal acuerdo 28 sep de 2023 por 189.561.137 proveniente del proyecto 320201 y 320801</t>
        </r>
      </text>
    </comment>
    <comment ref="J48" authorId="0" shapeId="0">
      <text>
        <r>
          <rPr>
            <b/>
            <sz val="9"/>
            <color indexed="81"/>
            <rFont val="Tahoma"/>
            <family val="2"/>
          </rPr>
          <t>Traslado presupuestal acuerdo 28 sep de 2023 por 13.410.580 proveniente del proyecto 320201 y 320801</t>
        </r>
      </text>
    </comment>
    <comment ref="K48" authorId="0" shapeId="0">
      <text>
        <r>
          <rPr>
            <b/>
            <sz val="9"/>
            <color indexed="81"/>
            <rFont val="Tahoma"/>
            <family val="2"/>
          </rPr>
          <t xml:space="preserve">
Acuerdo número XXX del 23 de junio traslado contracreditado de  208.885.779 </t>
        </r>
      </text>
    </comment>
  </commentList>
</comments>
</file>

<file path=xl/comments25.xml><?xml version="1.0" encoding="utf-8"?>
<comments xmlns="http://schemas.openxmlformats.org/spreadsheetml/2006/main">
  <authors>
    <author>Leidy Lorena Montes Cabrera</author>
  </authors>
  <commentList>
    <comment ref="K29" authorId="0" shapeId="0">
      <text>
        <r>
          <rPr>
            <b/>
            <sz val="12"/>
            <color indexed="81"/>
            <rFont val="Tahoma"/>
            <family val="2"/>
          </rPr>
          <t xml:space="preserve">REDUCCIÓN DE 30862216 POR TRASLADO PRESUPUESTAL, APROBADO ACUERDO xxx 31 DE AGOSTO </t>
        </r>
      </text>
    </comment>
  </commentList>
</comments>
</file>

<file path=xl/comments26.xml><?xml version="1.0" encoding="utf-8"?>
<comments xmlns="http://schemas.openxmlformats.org/spreadsheetml/2006/main">
  <authors>
    <author>Deyci Martina Cabrera Ochoa</author>
    <author>Leidy Lorena Montes Cabrera</author>
  </authors>
  <commentList>
    <comment ref="B13" authorId="0" shapeId="0">
      <text>
        <r>
          <rPr>
            <b/>
            <sz val="9"/>
            <color indexed="81"/>
            <rFont val="Tahoma"/>
            <family val="2"/>
          </rPr>
          <t>Deyci Martina Cabrera Ochoa:</t>
        </r>
        <r>
          <rPr>
            <sz val="9"/>
            <color indexed="81"/>
            <rFont val="Tahoma"/>
            <family val="2"/>
          </rPr>
          <t xml:space="preserve">
Adecuación horno ladrillero</t>
        </r>
      </text>
    </comment>
    <comment ref="E17" authorId="1" shapeId="0">
      <text>
        <r>
          <rPr>
            <b/>
            <sz val="9"/>
            <color indexed="81"/>
            <rFont val="Tahoma"/>
            <family val="2"/>
          </rPr>
          <t>12/01/2023 Reduce 97504966 que pasaron para la feunte % ambiental.
Disminución por traslado 595,497,478</t>
        </r>
        <r>
          <rPr>
            <sz val="9"/>
            <color indexed="81"/>
            <rFont val="Tahoma"/>
            <family val="2"/>
          </rPr>
          <t xml:space="preserve">
</t>
        </r>
      </text>
    </comment>
    <comment ref="F17" authorId="1" shapeId="0">
      <text>
        <r>
          <rPr>
            <b/>
            <sz val="9"/>
            <color indexed="81"/>
            <rFont val="Tahoma"/>
            <family val="2"/>
          </rPr>
          <t xml:space="preserve">12/01/2023 Aumenta 97504966 que pasaron para la feunte TSE por cambio por el proyecto 320201
Acuerdo número XXX del 23 de junio traslado acreditado de  208.885.779 </t>
        </r>
      </text>
    </comment>
  </commentList>
</comments>
</file>

<file path=xl/comments27.xml><?xml version="1.0" encoding="utf-8"?>
<comments xmlns="http://schemas.openxmlformats.org/spreadsheetml/2006/main">
  <authors>
    <author>Leidy Lorena Montes Cabrera</author>
  </authors>
  <commentList>
    <comment ref="I30" authorId="0" shapeId="0">
      <text>
        <r>
          <rPr>
            <b/>
            <sz val="9"/>
            <color indexed="81"/>
            <rFont val="Tahoma"/>
            <family val="2"/>
          </rPr>
          <t>12/01/2023 Reduce 97504966 que pasaron para la feunte % ambiental.
Disminución por traslado 595,497,478</t>
        </r>
        <r>
          <rPr>
            <sz val="9"/>
            <color indexed="81"/>
            <rFont val="Tahoma"/>
            <family val="2"/>
          </rPr>
          <t xml:space="preserve">
</t>
        </r>
      </text>
    </comment>
    <comment ref="J30" authorId="0" shapeId="0">
      <text>
        <r>
          <rPr>
            <b/>
            <sz val="9"/>
            <color indexed="81"/>
            <rFont val="Tahoma"/>
            <family val="2"/>
          </rPr>
          <t xml:space="preserve">12/01/2023 Aumenta 97504966 que pasaron para la feunte TSE por cambio por el proyecto 320201
Acuerdo número XXX del 23 de junio traslado acreditado de  208.885.779 </t>
        </r>
      </text>
    </comment>
  </commentList>
</comments>
</file>

<file path=xl/comments28.xml><?xml version="1.0" encoding="utf-8"?>
<comments xmlns="http://schemas.openxmlformats.org/spreadsheetml/2006/main">
  <authors>
    <author>Leidy Lorena Montes Cabrera</author>
  </authors>
  <commentList>
    <comment ref="E22" authorId="0" shapeId="0">
      <text>
        <r>
          <rPr>
            <b/>
            <sz val="11"/>
            <color indexed="81"/>
            <rFont val="Tahoma"/>
            <family val="2"/>
          </rPr>
          <t>Traslado presupuestal acuerdo 28 septiembre por valor de 12.038.478 hacia el proyecto 320502 Gestión del Riego</t>
        </r>
        <r>
          <rPr>
            <sz val="9"/>
            <color indexed="81"/>
            <rFont val="Tahoma"/>
            <family val="2"/>
          </rPr>
          <t xml:space="preserve">
</t>
        </r>
      </text>
    </comment>
    <comment ref="F22" authorId="0" shapeId="0">
      <text>
        <r>
          <rPr>
            <b/>
            <sz val="9"/>
            <color indexed="81"/>
            <rFont val="Tahoma"/>
            <family val="2"/>
          </rPr>
          <t xml:space="preserve">Traslado presupuestal acuerdo 28 septiembre por valor de 12.038.478 hacia el proyecto 320502 Gestión del Riego
</t>
        </r>
      </text>
    </comment>
    <comment ref="G22" authorId="0" shapeId="0">
      <text>
        <r>
          <rPr>
            <b/>
            <sz val="10"/>
            <color indexed="81"/>
            <rFont val="Tahoma"/>
            <family val="2"/>
          </rPr>
          <t>Traslado presupuestal acuerdo 28 septiembre por valor de 1.372.102 hacia el proyecto 320502 Gestión del Riego</t>
        </r>
      </text>
    </comment>
    <comment ref="H22" authorId="0" shapeId="0">
      <text>
        <r>
          <rPr>
            <b/>
            <sz val="9"/>
            <color indexed="81"/>
            <rFont val="Tahoma"/>
            <family val="2"/>
          </rPr>
          <t xml:space="preserve">Traslado presupuestal acuerdo 28 septiembre por valor de 115.208.624 hacia el proyecto 320502 Gestión del Riego
</t>
        </r>
      </text>
    </comment>
  </commentList>
</comments>
</file>

<file path=xl/comments29.xml><?xml version="1.0" encoding="utf-8"?>
<comments xmlns="http://schemas.openxmlformats.org/spreadsheetml/2006/main">
  <authors>
    <author>Adriana Arias Hernandez</author>
    <author>Leidy Lorena Montes Cabrera</author>
  </authors>
  <commentList>
    <comment ref="E29" authorId="0" shapeId="0">
      <text>
        <r>
          <rPr>
            <b/>
            <sz val="9"/>
            <color indexed="81"/>
            <rFont val="Tahoma"/>
            <family val="2"/>
          </rPr>
          <t>Adriana Arias Hernandez:</t>
        </r>
        <r>
          <rPr>
            <sz val="9"/>
            <color indexed="81"/>
            <rFont val="Tahoma"/>
            <family val="2"/>
          </rPr>
          <t xml:space="preserve">
Acuerdo marco</t>
        </r>
      </text>
    </comment>
    <comment ref="E30" authorId="0" shapeId="0">
      <text>
        <r>
          <rPr>
            <b/>
            <sz val="9"/>
            <color indexed="81"/>
            <rFont val="Tahoma"/>
            <family val="2"/>
          </rPr>
          <t>Adriana Arias Hernandez:</t>
        </r>
        <r>
          <rPr>
            <sz val="9"/>
            <color indexed="81"/>
            <rFont val="Tahoma"/>
            <family val="2"/>
          </rPr>
          <t xml:space="preserve">
Subasta</t>
        </r>
      </text>
    </comment>
    <comment ref="E31" authorId="0" shapeId="0">
      <text>
        <r>
          <rPr>
            <b/>
            <sz val="9"/>
            <color indexed="81"/>
            <rFont val="Tahoma"/>
            <family val="2"/>
          </rPr>
          <t>Adriana Arias Hernandez:</t>
        </r>
        <r>
          <rPr>
            <sz val="9"/>
            <color indexed="81"/>
            <rFont val="Tahoma"/>
            <family val="2"/>
          </rPr>
          <t xml:space="preserve">
Subasta</t>
        </r>
      </text>
    </comment>
    <comment ref="E32" authorId="0" shapeId="0">
      <text>
        <r>
          <rPr>
            <b/>
            <sz val="9"/>
            <color indexed="81"/>
            <rFont val="Tahoma"/>
            <family val="2"/>
          </rPr>
          <t>Adriana Arias Hernandez:</t>
        </r>
        <r>
          <rPr>
            <sz val="9"/>
            <color indexed="81"/>
            <rFont val="Tahoma"/>
            <family val="2"/>
          </rPr>
          <t xml:space="preserve">
Subasta
</t>
        </r>
      </text>
    </comment>
    <comment ref="E33" authorId="0" shapeId="0">
      <text>
        <r>
          <rPr>
            <b/>
            <sz val="9"/>
            <color indexed="81"/>
            <rFont val="Tahoma"/>
            <family val="2"/>
          </rPr>
          <t>Adriana Arias Hernandez:</t>
        </r>
        <r>
          <rPr>
            <sz val="9"/>
            <color indexed="81"/>
            <rFont val="Tahoma"/>
            <family val="2"/>
          </rPr>
          <t xml:space="preserve">
Subasta</t>
        </r>
      </text>
    </comment>
    <comment ref="E34" authorId="0" shapeId="0">
      <text>
        <r>
          <rPr>
            <b/>
            <sz val="9"/>
            <color indexed="81"/>
            <rFont val="Tahoma"/>
            <family val="2"/>
          </rPr>
          <t>Adriana Arias Hernandez:</t>
        </r>
        <r>
          <rPr>
            <sz val="9"/>
            <color indexed="81"/>
            <rFont val="Tahoma"/>
            <family val="2"/>
          </rPr>
          <t xml:space="preserve">
Subasta</t>
        </r>
      </text>
    </comment>
    <comment ref="E35" authorId="0" shapeId="0">
      <text>
        <r>
          <rPr>
            <b/>
            <sz val="9"/>
            <color indexed="81"/>
            <rFont val="Tahoma"/>
            <family val="2"/>
          </rPr>
          <t>Adriana Arias Hernandez:</t>
        </r>
        <r>
          <rPr>
            <sz val="9"/>
            <color indexed="81"/>
            <rFont val="Tahoma"/>
            <family val="2"/>
          </rPr>
          <t xml:space="preserve">
subasta</t>
        </r>
      </text>
    </comment>
    <comment ref="E36" authorId="0" shapeId="0">
      <text>
        <r>
          <rPr>
            <b/>
            <sz val="9"/>
            <color indexed="81"/>
            <rFont val="Tahoma"/>
            <family val="2"/>
          </rPr>
          <t>Adriana Arias Hernandez:</t>
        </r>
        <r>
          <rPr>
            <sz val="9"/>
            <color indexed="81"/>
            <rFont val="Tahoma"/>
            <family val="2"/>
          </rPr>
          <t xml:space="preserve">
Subasta</t>
        </r>
      </text>
    </comment>
    <comment ref="E37" authorId="0" shapeId="0">
      <text>
        <r>
          <rPr>
            <b/>
            <sz val="9"/>
            <color indexed="81"/>
            <rFont val="Tahoma"/>
            <family val="2"/>
          </rPr>
          <t>Adriana Arias Hernandez:</t>
        </r>
        <r>
          <rPr>
            <sz val="9"/>
            <color indexed="81"/>
            <rFont val="Tahoma"/>
            <family val="2"/>
          </rPr>
          <t xml:space="preserve">
Subasta</t>
        </r>
      </text>
    </comment>
    <comment ref="E38" authorId="0" shapeId="0">
      <text>
        <r>
          <rPr>
            <b/>
            <sz val="9"/>
            <color indexed="81"/>
            <rFont val="Tahoma"/>
            <family val="2"/>
          </rPr>
          <t>Adriana Arias Hernandez:</t>
        </r>
        <r>
          <rPr>
            <sz val="9"/>
            <color indexed="81"/>
            <rFont val="Tahoma"/>
            <family val="2"/>
          </rPr>
          <t xml:space="preserve">
Subasta</t>
        </r>
      </text>
    </comment>
    <comment ref="E39" authorId="0" shapeId="0">
      <text>
        <r>
          <rPr>
            <b/>
            <sz val="9"/>
            <color indexed="81"/>
            <rFont val="Tahoma"/>
            <family val="2"/>
          </rPr>
          <t>Adriana Arias Hernandez:</t>
        </r>
        <r>
          <rPr>
            <sz val="9"/>
            <color indexed="81"/>
            <rFont val="Tahoma"/>
            <family val="2"/>
          </rPr>
          <t xml:space="preserve">
Subasta</t>
        </r>
      </text>
    </comment>
    <comment ref="E40" authorId="0" shapeId="0">
      <text>
        <r>
          <rPr>
            <b/>
            <sz val="9"/>
            <color indexed="81"/>
            <rFont val="Tahoma"/>
            <family val="2"/>
          </rPr>
          <t>Adriana Arias Hernandez:</t>
        </r>
        <r>
          <rPr>
            <sz val="9"/>
            <color indexed="81"/>
            <rFont val="Tahoma"/>
            <family val="2"/>
          </rPr>
          <t xml:space="preserve">
Subasta</t>
        </r>
      </text>
    </comment>
    <comment ref="E41" authorId="0" shapeId="0">
      <text>
        <r>
          <rPr>
            <b/>
            <sz val="9"/>
            <color indexed="81"/>
            <rFont val="Tahoma"/>
            <family val="2"/>
          </rPr>
          <t>Adriana Arias Hernandez:</t>
        </r>
        <r>
          <rPr>
            <sz val="9"/>
            <color indexed="81"/>
            <rFont val="Tahoma"/>
            <family val="2"/>
          </rPr>
          <t xml:space="preserve">
Subasta</t>
        </r>
      </text>
    </comment>
    <comment ref="E42" authorId="0" shapeId="0">
      <text>
        <r>
          <rPr>
            <b/>
            <sz val="9"/>
            <color indexed="81"/>
            <rFont val="Tahoma"/>
            <family val="2"/>
          </rPr>
          <t>Adriana Arias Hernandez:</t>
        </r>
        <r>
          <rPr>
            <sz val="9"/>
            <color indexed="81"/>
            <rFont val="Tahoma"/>
            <family val="2"/>
          </rPr>
          <t xml:space="preserve">
Acuerdo Marco</t>
        </r>
      </text>
    </comment>
    <comment ref="E43" authorId="0" shapeId="0">
      <text>
        <r>
          <rPr>
            <b/>
            <sz val="9"/>
            <color indexed="81"/>
            <rFont val="Tahoma"/>
            <family val="2"/>
          </rPr>
          <t>Adriana Arias Hernandez:</t>
        </r>
        <r>
          <rPr>
            <sz val="9"/>
            <color indexed="81"/>
            <rFont val="Tahoma"/>
            <family val="2"/>
          </rPr>
          <t xml:space="preserve">
Acuerdo Marco</t>
        </r>
      </text>
    </comment>
    <comment ref="E62" authorId="0" shapeId="0">
      <text>
        <r>
          <rPr>
            <b/>
            <sz val="9"/>
            <color indexed="81"/>
            <rFont val="Tahoma"/>
            <family val="2"/>
          </rPr>
          <t>Adriana Arias Hernandez:</t>
        </r>
        <r>
          <rPr>
            <sz val="9"/>
            <color indexed="81"/>
            <rFont val="Tahoma"/>
            <family val="2"/>
          </rPr>
          <t xml:space="preserve">
Subasta</t>
        </r>
      </text>
    </comment>
    <comment ref="E63" authorId="0" shapeId="0">
      <text>
        <r>
          <rPr>
            <b/>
            <sz val="9"/>
            <color indexed="81"/>
            <rFont val="Tahoma"/>
            <family val="2"/>
          </rPr>
          <t>Adriana Arias Hernandez:</t>
        </r>
        <r>
          <rPr>
            <sz val="9"/>
            <color indexed="81"/>
            <rFont val="Tahoma"/>
            <family val="2"/>
          </rPr>
          <t xml:space="preserve">
Subasta</t>
        </r>
      </text>
    </comment>
    <comment ref="E64" authorId="0" shapeId="0">
      <text>
        <r>
          <rPr>
            <b/>
            <sz val="9"/>
            <color indexed="81"/>
            <rFont val="Tahoma"/>
            <family val="2"/>
          </rPr>
          <t>Adriana Arias Hernandez:</t>
        </r>
        <r>
          <rPr>
            <sz val="9"/>
            <color indexed="81"/>
            <rFont val="Tahoma"/>
            <family val="2"/>
          </rPr>
          <t xml:space="preserve">
Acuerdo Marco</t>
        </r>
      </text>
    </comment>
    <comment ref="I83" authorId="1" shapeId="0">
      <text>
        <r>
          <rPr>
            <b/>
            <sz val="11"/>
            <color indexed="81"/>
            <rFont val="Tahoma"/>
            <family val="2"/>
          </rPr>
          <t>Traslado presupuestal acuerdo 28 septiembre por valor de 12.038.478 hacia el proyecto 320502 Gestión del Riego</t>
        </r>
        <r>
          <rPr>
            <sz val="9"/>
            <color indexed="81"/>
            <rFont val="Tahoma"/>
            <family val="2"/>
          </rPr>
          <t xml:space="preserve">
</t>
        </r>
      </text>
    </comment>
    <comment ref="J83" authorId="1" shapeId="0">
      <text>
        <r>
          <rPr>
            <b/>
            <sz val="9"/>
            <color indexed="81"/>
            <rFont val="Tahoma"/>
            <family val="2"/>
          </rPr>
          <t xml:space="preserve">Traslado presupuestal acuerdo 28 septiembre por valor de 12.038.478 hacia el proyecto 320502 Gestión del Riego
</t>
        </r>
      </text>
    </comment>
    <comment ref="K83" authorId="1" shapeId="0">
      <text>
        <r>
          <rPr>
            <b/>
            <sz val="10"/>
            <color indexed="81"/>
            <rFont val="Tahoma"/>
            <family val="2"/>
          </rPr>
          <t>Traslado presupuestal acuerdo 28 septiembre por valor de 1.372.102 hacia el proyecto 320502 Gestión del Riego</t>
        </r>
      </text>
    </comment>
    <comment ref="L83" authorId="1" shapeId="0">
      <text>
        <r>
          <rPr>
            <b/>
            <sz val="9"/>
            <color indexed="81"/>
            <rFont val="Tahoma"/>
            <family val="2"/>
          </rPr>
          <t xml:space="preserve">Traslado presupuestal acuerdo 28 septiembre por valor de 115.208.624 hacia el proyecto 320502 Gestión del Riego
</t>
        </r>
      </text>
    </comment>
  </commentList>
</comments>
</file>

<file path=xl/comments30.xml><?xml version="1.0" encoding="utf-8"?>
<comments xmlns="http://schemas.openxmlformats.org/spreadsheetml/2006/main">
  <authors>
    <author>Leidy Lorena Montes Cabrera</author>
  </authors>
  <commentList>
    <comment ref="E30" authorId="0" shapeId="0">
      <text>
        <r>
          <rPr>
            <b/>
            <sz val="9"/>
            <color indexed="81"/>
            <rFont val="Tahoma"/>
            <family val="2"/>
          </rPr>
          <t>Traslado Marzo 2023 367088065</t>
        </r>
        <r>
          <rPr>
            <sz val="9"/>
            <color indexed="81"/>
            <rFont val="Tahoma"/>
            <family val="2"/>
          </rPr>
          <t xml:space="preserve">
</t>
        </r>
      </text>
    </comment>
  </commentList>
</comments>
</file>

<file path=xl/comments31.xml><?xml version="1.0" encoding="utf-8"?>
<comments xmlns="http://schemas.openxmlformats.org/spreadsheetml/2006/main">
  <authors>
    <author>Leidy Lorena Montes Cabrera</author>
    <author>Deyci Martina Cabrera Ochoa</author>
  </authors>
  <commentList>
    <comment ref="P31" authorId="0" shapeId="0">
      <text>
        <r>
          <rPr>
            <b/>
            <sz val="9"/>
            <color indexed="81"/>
            <rFont val="Tahoma"/>
            <family val="2"/>
          </rPr>
          <t>CDP dado = 15.053.976</t>
        </r>
      </text>
    </comment>
    <comment ref="N46" authorId="0" shapeId="0">
      <text>
        <r>
          <rPr>
            <b/>
            <sz val="9"/>
            <color indexed="81"/>
            <rFont val="Tahoma"/>
            <family val="2"/>
          </rPr>
          <t>RP 61149263</t>
        </r>
      </text>
    </comment>
    <comment ref="O46" authorId="0" shapeId="0">
      <text>
        <r>
          <rPr>
            <b/>
            <sz val="9"/>
            <color indexed="81"/>
            <rFont val="Tahoma"/>
            <family val="2"/>
          </rPr>
          <t xml:space="preserve">RP 10035
</t>
        </r>
      </text>
    </comment>
    <comment ref="P46" authorId="0" shapeId="0">
      <text>
        <r>
          <rPr>
            <b/>
            <sz val="9"/>
            <color indexed="81"/>
            <rFont val="Tahoma"/>
            <family val="2"/>
          </rPr>
          <t xml:space="preserve">Se dio po 61419738
</t>
        </r>
      </text>
    </comment>
    <comment ref="O48" authorId="1" shapeId="0">
      <text>
        <r>
          <rPr>
            <b/>
            <sz val="9"/>
            <color indexed="81"/>
            <rFont val="Tahoma"/>
            <family val="2"/>
          </rPr>
          <t>Deyci Martina Cabrera Ochoa:</t>
        </r>
        <r>
          <rPr>
            <sz val="9"/>
            <color indexed="81"/>
            <rFont val="Tahoma"/>
            <family val="2"/>
          </rPr>
          <t xml:space="preserve">
Se aumentó en el IPC 2023, considerando que MOVISTAR para el adicional puede requerirlo igual que lo hizo ETB en su momento</t>
        </r>
      </text>
    </comment>
    <comment ref="L56" authorId="0" shapeId="0">
      <text>
        <r>
          <rPr>
            <b/>
            <sz val="11"/>
            <color indexed="81"/>
            <rFont val="Tahoma"/>
            <family val="2"/>
          </rPr>
          <t xml:space="preserve">CTO BLEIDI  SE DIO POR 15-06-2023 = 27,013,670 </t>
        </r>
      </text>
    </comment>
    <comment ref="N57" authorId="0" shapeId="0">
      <text>
        <r>
          <rPr>
            <b/>
            <sz val="9"/>
            <color indexed="81"/>
            <rFont val="Tahoma"/>
            <family val="2"/>
          </rPr>
          <t>Registros por 22821916, excedente de 151,786</t>
        </r>
        <r>
          <rPr>
            <sz val="9"/>
            <color indexed="81"/>
            <rFont val="Tahoma"/>
            <family val="2"/>
          </rPr>
          <t xml:space="preserve">
</t>
        </r>
      </text>
    </comment>
    <comment ref="C60" authorId="0" shapeId="0">
      <text>
        <r>
          <rPr>
            <b/>
            <sz val="9"/>
            <color indexed="81"/>
            <rFont val="Tahoma"/>
            <family val="2"/>
          </rPr>
          <t>Estudios y diseños Sede DTO</t>
        </r>
        <r>
          <rPr>
            <sz val="9"/>
            <color indexed="81"/>
            <rFont val="Tahoma"/>
            <family val="2"/>
          </rPr>
          <t xml:space="preserve">
</t>
        </r>
      </text>
    </comment>
    <comment ref="D63" authorId="0" shapeId="0">
      <text>
        <r>
          <rPr>
            <sz val="9"/>
            <color indexed="81"/>
            <rFont val="Tahoma"/>
            <family val="2"/>
          </rPr>
          <t xml:space="preserve">Antes 2.3.2.01.01.001.03.19
</t>
        </r>
      </text>
    </comment>
    <comment ref="L81" authorId="0" shapeId="0">
      <text>
        <r>
          <rPr>
            <b/>
            <sz val="9"/>
            <color indexed="81"/>
            <rFont val="Tahoma"/>
            <family val="2"/>
          </rPr>
          <t>Traslado Marzo 2023 367088065</t>
        </r>
        <r>
          <rPr>
            <sz val="9"/>
            <color indexed="81"/>
            <rFont val="Tahoma"/>
            <family val="2"/>
          </rPr>
          <t xml:space="preserve">
</t>
        </r>
      </text>
    </comment>
  </commentList>
</comments>
</file>

<file path=xl/sharedStrings.xml><?xml version="1.0" encoding="utf-8"?>
<sst xmlns="http://schemas.openxmlformats.org/spreadsheetml/2006/main" count="4851" uniqueCount="1443">
  <si>
    <t>Apoyo a la Gestión, Operación, Administración y Promoción del Proyecto</t>
  </si>
  <si>
    <t>Porcentaje de municipios asesorados o asistidos en la inclusión del componente ambiental en los procesos de planificación y ordenamiento territorial, con énfasis en la incorporación de las determinantes ambientales para la revisión y ajuste de los POT (IM 24)</t>
  </si>
  <si>
    <t>Porcentaje de entes territoriales asesorados en la incorporación, planificación y ejecución de acciones relacionadas con cambio climático en el marco de los instrumentos de planificación territorial (IM 7)</t>
  </si>
  <si>
    <t>Porcentaje de ejecución de acciones en gestión ambiental urbana (IM 19)</t>
  </si>
  <si>
    <t>Comunidades Indígenas apoyadas en temas de competencia de la Corporación</t>
  </si>
  <si>
    <t xml:space="preserve">Apoyo logístico para la consolidación de las actividades contenidas en el proyecto Negocios verdes </t>
  </si>
  <si>
    <t>Porcentaje de Consolidación y fortalecimiento del Modelo Integrado de Planeación y Gestión - MIPG</t>
  </si>
  <si>
    <t>Porcentaje de la Política de servicio al ciudadano implementada</t>
  </si>
  <si>
    <t>Porcentaje de actualización e implementación del Plan Estratégico Tecnológico de la CAM para el período 2020-2023</t>
  </si>
  <si>
    <t>Porcentaje de sedes Diseñadas y/o construidas y/o adecuadas, como ejemplo de sostenibilidad ambiental y armonía con el ambiente</t>
  </si>
  <si>
    <t>TOTAL</t>
  </si>
  <si>
    <t>Porcentaje de sectores con acompañamiento para la reconversión hacia sistemas sostenibles de producción (IM 18)</t>
  </si>
  <si>
    <t>Identificación, promoción y aplicación de energías alternativas y/o utilización de sistemas ecoeficientes de combustión en sectores productivos y/o para uso doméstico</t>
  </si>
  <si>
    <t>PROGRAMA</t>
  </si>
  <si>
    <t>PROYECTOS</t>
  </si>
  <si>
    <t>1.1</t>
  </si>
  <si>
    <t>1.2</t>
  </si>
  <si>
    <t>CONSERVACIÓN Y USO EFICIENTE DEL RECURSO HÍDRICO</t>
  </si>
  <si>
    <t>2.1</t>
  </si>
  <si>
    <t>DESARROLLO SECTORIAL SOSTENIBLE</t>
  </si>
  <si>
    <t>2.2</t>
  </si>
  <si>
    <t xml:space="preserve">NEGOCIOS VERDES </t>
  </si>
  <si>
    <t>3.1</t>
  </si>
  <si>
    <t>FORTALECIMIENTO DE LOS PROCESOS DE ORDENAMIENTO Y PLANIFICACIÓN TERRITORIAL</t>
  </si>
  <si>
    <t>3.2</t>
  </si>
  <si>
    <t>3.3</t>
  </si>
  <si>
    <t>GESTIÓN AMBIENTAL CON COMUNIDADES ÉTNICAS</t>
  </si>
  <si>
    <t>4.1</t>
  </si>
  <si>
    <t>AUTORIDAD, REGLAMENTACIÓN Y REGULACIÓN AMBIENTAL</t>
  </si>
  <si>
    <t>4.2</t>
  </si>
  <si>
    <t>FORTALECIMIENTO INSTITUCIONAL PARA LA GESTIÓN AMBIENTAL</t>
  </si>
  <si>
    <t>4.3</t>
  </si>
  <si>
    <t>EDUCACIÓN Y CULTURA AMBIENTAL</t>
  </si>
  <si>
    <t>No. ecosistemas compartidos planificados y/o gestionados por la Corporación</t>
  </si>
  <si>
    <t>% de estudios elaborados  en ejecución de la Política Ambiental</t>
  </si>
  <si>
    <t>Porcentaje de especies  invasoras con medidas de prevención, control y manejo en ejecución (IM 14)</t>
  </si>
  <si>
    <t>Porcentaje de áreas de ecosistemas en restauración, rehabilitación y reforestación (IM 15)</t>
  </si>
  <si>
    <t>Porcentaje de especies amenazadas con medidas de conservación y manejo en ejecución (IM 13)</t>
  </si>
  <si>
    <t>Gestión, Operación, Administración y Promoción del Proyecto apoyados</t>
  </si>
  <si>
    <t xml:space="preserve">Porcentaje de avance en la formulación y/o ajustes de los  Planes de Ordenación y Manejo de Cuencas (POMCAS), Planes de Manejo de Acuíferos (PMA) y Planes de Manejo de Microcuencas (PMM). (IM 1) </t>
  </si>
  <si>
    <t>Porcentaje de Planes de Ordenación y Manejo de Cuencas (POMCAS), Planes de Manejo de Acuíferos (PMA) y Planes de Manejo de Microcuencas (PMM) en ejecución (IM 6)</t>
  </si>
  <si>
    <t>Ha. Recuperadas  y/o rehabilitadas, de suelos degradados por erosión y/o afectación de incendios forestales. Incluye asistencia técnica, capacitación, interventoria, apoyo losgistico (Transporte, almuerzos y refrigerios)</t>
  </si>
  <si>
    <t xml:space="preserve">Ha. revegetalizadas naturalmente para la protección de cuencas abastecedoras </t>
  </si>
  <si>
    <t>Porcentaje de áreas revegetalizadas naturalmente para la protección de cuencas abastecedoras con mantenimiento.</t>
  </si>
  <si>
    <t>Ha. adquiridas y administradas para la restauración  y conservación de áreas estratégicas en cuencas hidrográficas abastecedoras de acueductos municipales y/o veredales</t>
  </si>
  <si>
    <t>Porcentaje de Programas de Uso Eficiente y Ahorro del Agua (PUEAA) con seguimiento (IM 5)</t>
  </si>
  <si>
    <t>Porcentaje de Planes de Gestión Integral de Residuos Sólidos (PGIRS) con seguimiento a metas de aprovechamiento (IM 17)</t>
  </si>
  <si>
    <t>Porcentaje de Planes de Saneamiento y Manejo de Vertimientos –PSMV- con seguimiento (IM 3)</t>
  </si>
  <si>
    <t xml:space="preserve">Porcentaje de asistencia técnica, seguimiento y control a generadores de residuos o desechos peligrosos – RESPEL y especiales </t>
  </si>
  <si>
    <t>Porcentaje de autorizaciones ambientales con seguimiento (IM 22)</t>
  </si>
  <si>
    <t>Tiempo promedio de trámite para la resolución de autorizaciones ambientales otorgadas por la Corporación. (IM 21)</t>
  </si>
  <si>
    <t>Porcentaje de solicitudes de licencias y permisos ambientales resueltos.</t>
  </si>
  <si>
    <t>Porcentaje de procesos sancionatorios resueltos (IM 23)</t>
  </si>
  <si>
    <t>Mapas de ruido y planes de descontaminación actualizados</t>
  </si>
  <si>
    <t>Porcentaje de Optimización y seguimiento de los aplicativos en línea de trámites ambientales (CITA, RUIA, SUNL, LOFL, SILAMC - VITAL).</t>
  </si>
  <si>
    <t>Porcentaje de actualización y reporte de la información en el SIAC (IM 26)</t>
  </si>
  <si>
    <t>Porcentaje de cuerpos de agua con reglamentación por uso de las aguas (IM 4)</t>
  </si>
  <si>
    <t>Porcentaje de cuerpos de agua con plan de ordenamiento del recurso hídrico (PORH) adoptados (IM 2)</t>
  </si>
  <si>
    <t>Implementación del Programa Institucional Regional de monitoreo del agua - PIRMA en aguas superficial y subterráneas</t>
  </si>
  <si>
    <t>Estudios Ambientales del recurso hídrico Evaluación Regional del Agua - ERA) elaborados</t>
  </si>
  <si>
    <t>Porcentaje de áreas reforestadas gestionadas y con mantenimiento para la protección de cuencas abastecedoras.</t>
  </si>
  <si>
    <t>Programa 3203: Gestión integral del recurso hídrico.</t>
  </si>
  <si>
    <t>PRODUCTOS / METAS</t>
  </si>
  <si>
    <t xml:space="preserve">INDICADOR DE PRODUCTO </t>
  </si>
  <si>
    <t>Apoyar la  caracterización y/o gestión de predios como Reserva Natural de la Sociedad Civil - RNSC</t>
  </si>
  <si>
    <t>No. predios apoyados para su caracterización y/o gestión como RNSC</t>
  </si>
  <si>
    <t>Planificar y/o gestionar Ecosistemas compartidos : SIRAP MACIZO, CEERCCO Y CORREDOR TRASANDINO AMAZONICO (CTA)</t>
  </si>
  <si>
    <t>Apoyar las áreas estratégicas en el desarrollo de actividades de investigación -monitoreo y estudios de caracterización de la biodiversidad con participación comunitaria</t>
  </si>
  <si>
    <t>Formular y/o actualizar estudios de Planes de manejo ambiental (PMA) de áreas protegidas (PNR Y DRMI SERRANIA DE MINAS, DRMI CBOB, PNR SIBCEI Y DRMI LA TATACOA)</t>
  </si>
  <si>
    <t>No.</t>
  </si>
  <si>
    <t>Elaborar los estudios priorizados en ejecución de la Política Ambiental</t>
  </si>
  <si>
    <t>Implementar medidas de prevención, control y manejo de especies invasoras</t>
  </si>
  <si>
    <t xml:space="preserve">Ejecutar los Planes de Manejo de Áreas Protegidas </t>
  </si>
  <si>
    <t>Porcentaje de áreas protegidas con planes de manejo en ejecución          (IM 12)</t>
  </si>
  <si>
    <t>Restauración, rehabilitación y reforestación de áreas de ecosistemas</t>
  </si>
  <si>
    <t>Ejecutar medidas de conservación y manejo de especies amenazadas</t>
  </si>
  <si>
    <t xml:space="preserve">Avanzar en la formulación y/o ajustes de los Planes de Ordenación y Manejo de Cuencas (POMCAS), Planes de Manejo de Acuíferos (PMA) y Planes de Manejo de Microcuencas (PMM). </t>
  </si>
  <si>
    <t>Continuar con la ejecución de los Planes de Ordenación y Manejo de Cuencas (POMCAS), Planes de Manejo de Acuíferos (PMA) y Planes de Manejo de Microcuencas (PMM)</t>
  </si>
  <si>
    <t>Porcentaje de suelos degradados en recuperación o rehabilitación (IM 8)</t>
  </si>
  <si>
    <t>Gestión y mantenimiento de áreas reforestadas para la protección de cuencas abastecedoras</t>
  </si>
  <si>
    <t>Apoyo a la revegetalización natural para la protección de cuencas abastecedoras</t>
  </si>
  <si>
    <t>Apoyo al mantenimiento de áreas revegetalizadas naturalmente para la protección de cuencas abastecedoras</t>
  </si>
  <si>
    <t>Adquirir y administrar áreas para la  restauración  y conservación de áreas estratégicas en cuencas hidrográficas abastecedoras de acueductos municipales y/o veredales</t>
  </si>
  <si>
    <t>Suscribir convenios de cofinanciación con municipios para la construcción y seguimiento a proyectos de saneamiento ambiental hídrico como: interceptores, emisarios finales, sistemas de tratamiento de aguas residuales domésticas y/o estudios y diseños asociados a estas obras.</t>
  </si>
  <si>
    <t>Acompañar a los sectores  para la reconversión hacia sistemas sostenibles de producción</t>
  </si>
  <si>
    <t>Apoyo logístico para la consolidación de las actividades contenidas en el proyecto desarrollo sectorial sostenible</t>
  </si>
  <si>
    <t>Implementar el Programa Regional de Negocios Verdes por la Autoridad Ambiental - CAM</t>
  </si>
  <si>
    <t>Asesorar o asistir a los municipios en la inclusión del componente ambiental en los procesos de planificación y ordenamiento territorial, con énfasis en la incorporación de las determinantes ambientales para la revisión y ajuste de los POT</t>
  </si>
  <si>
    <t>Asesorar a los entes territoriales en la incorporación, planificación y ejecución de acciones relacionadas con cambio climático en el marco de los instrumentos de planificación territorial</t>
  </si>
  <si>
    <t>Ejecución de acciones en gestión ambiental</t>
  </si>
  <si>
    <t>Gestión del Conocimiento del Riesgo de Desastres</t>
  </si>
  <si>
    <t>Gestión de Reducción del Riesgo de  Desastres</t>
  </si>
  <si>
    <t>Apoyar a las comunidades indígenas del Dpto en los temas de competencia de la Corporación</t>
  </si>
  <si>
    <t xml:space="preserve">Seguimiento a Programas de Uso Eficiente y Ahorro del Agua (PUEAA) </t>
  </si>
  <si>
    <t xml:space="preserve">No. </t>
  </si>
  <si>
    <t xml:space="preserve">Seguimiento a metas de aprovechamiento de los Planes de Gestión Integral de Residuos Sólidos (PGIRS) </t>
  </si>
  <si>
    <t xml:space="preserve">Seguimiento a  Planes de Saneamiento y Manejo de Vertimientos –PSMV- </t>
  </si>
  <si>
    <t xml:space="preserve">Asistencia técnica, seguimiento y control a generadores de residuos o desechos peligrosos – RESPEL y especiales </t>
  </si>
  <si>
    <t xml:space="preserve">Seguimiento a autorizaciones ambientales </t>
  </si>
  <si>
    <t>Resolución de autorizaciones ambientales otorgadas por la Corporación en el Tiempo promedio de trámite</t>
  </si>
  <si>
    <t xml:space="preserve">Resolución de solicitudes de licencias y permisos ambientales </t>
  </si>
  <si>
    <t xml:space="preserve">Resolución de procesos sancionatorios </t>
  </si>
  <si>
    <t>Implementación de Estrategias de control para extracción ilegal de los recursos naturales. RED DE CONTROL AMBIENTAL RECAM</t>
  </si>
  <si>
    <t>Seguimiento, monitoreo y control a fuentes móviles de emisiones atmosféricas (vía publica y empresas transportadoras - Laboratorio de fuentes móviles)</t>
  </si>
  <si>
    <t>Implementación de la Red de vigilancia y monitoreo de la calidad del aire</t>
  </si>
  <si>
    <t>Seguimiento a los generadores y gestores de Residuos de Construcción y Demolición - RCD</t>
  </si>
  <si>
    <t>Seguimiento a Empresas obligadas a conformar el Departamento de Gestión Ambiental.</t>
  </si>
  <si>
    <t>Optimización y seguimiento de los aplicativos en línea de trámites ambientales (CITA, RUIA, SUNL, LOFL, SILAMC - VITAL).</t>
  </si>
  <si>
    <t xml:space="preserve">Actualización y reporte de la información en el SIAC </t>
  </si>
  <si>
    <t xml:space="preserve">Reglamentación de cuerpos de agua por uso de las aguas </t>
  </si>
  <si>
    <t>Cuerpos de agua con plan de ordenamiento del recurso hídrico (PORH) adoptados (IM 2)</t>
  </si>
  <si>
    <t>Elaboración de estudios Ambientales del recurso hídrico Evaluación Regional del Agua - ERA)</t>
  </si>
  <si>
    <t>Consolidación y fortalecimiento del Modelo Integrado de Gestión - MIPG</t>
  </si>
  <si>
    <t>Implementación de la política de servicio al ciudadano</t>
  </si>
  <si>
    <t>Actualización e implementación del Plan Estratégico Tecnológico de la CAM para el período 2020-2023</t>
  </si>
  <si>
    <t>Actualización e implementación del Programa de Gestión Documental</t>
  </si>
  <si>
    <t xml:space="preserve">Porcentaje de actualización e Implementación del programa de gestión documental  </t>
  </si>
  <si>
    <t>Sedes diseñadas y/o construidas y/o adecuadas, como ejemplo de sostenibilidad ambiental y armonía con el ambiente</t>
  </si>
  <si>
    <t>Ejecutar acciones en Educación ambiental</t>
  </si>
  <si>
    <t>Apoyo logístico para la consolidación de las actividades de Educación y Cultura Ambiental</t>
  </si>
  <si>
    <t>Programa 3204 Gestión de la información y el conocimiento ambiental</t>
  </si>
  <si>
    <t>3299 PROGRAMA  Fortalecimiento de la gestión y dirección del Sector Ambiente y Desarrollo Sostenible</t>
  </si>
  <si>
    <t>329901 Proyecto  FORTALECIMIENTO INSTITUCIONAL PARA LA GESTIÓN AMBIENTAL</t>
  </si>
  <si>
    <t>PROGRAMA 3208 EDUCACIÓN AMBIENTAL</t>
  </si>
  <si>
    <t>320801 Proyecto  EDUCACIÓN Y CULTURA AMBIENTAL</t>
  </si>
  <si>
    <t>GESTIÓN INTEGRAL DE LA BIODIVERSIDAD Y SUS SERVICIOS ECOSISTÉMICOS</t>
  </si>
  <si>
    <t>GESTIÓN EN CONOCIMIENTO Y REDUCCIÓN DEL  RIESGO DE DESASTRES</t>
  </si>
  <si>
    <t>PROGRAMAS</t>
  </si>
  <si>
    <t>Proyecto 320301  CONSERVACIÓN Y USO EFICIENTE DEL RECUSO HÍDRICO</t>
  </si>
  <si>
    <t>Proyecto 320302 ADMINISTRACIÓN DEL RECURSO HÍDRICO</t>
  </si>
  <si>
    <t>Proyecto 320101 DESARROLLO SECTORIAL SOSTENIBLE</t>
  </si>
  <si>
    <t>Programa 3201 Fortalecimiento del desempeño ambiental de los sectores productivos.</t>
  </si>
  <si>
    <t>Proyecto 320102  NEGOCIOS VERDES</t>
  </si>
  <si>
    <t>No. de estrategias de control implementadas para extracción ilegal de los recursos naturales. RED DE CONTROL AMBIENTAL RECAM</t>
  </si>
  <si>
    <t>No. de estrategias de control a la deforestación y conservación y uso sostenible de los bosques en el departamento del Huila implementada</t>
  </si>
  <si>
    <t xml:space="preserve">Implementación de una estrategia de control a la deforestación y conservación y uso sostenible de los bosques en el departamento del Huila. </t>
  </si>
  <si>
    <t>Formulación e implementación de una estrategia para la preservación, conservación, rehabilitación y/o reintroducción, control y seguimiento a la fauna silvestre.</t>
  </si>
  <si>
    <t xml:space="preserve"> No. de estrategias para la preservación, conservación, rehabilitación y/o reintroducción, control y seguimiento a la fauna silvestre formulada e implementada</t>
  </si>
  <si>
    <t>META 2020</t>
  </si>
  <si>
    <t>META 2021</t>
  </si>
  <si>
    <t>META 2022</t>
  </si>
  <si>
    <t>META 2023</t>
  </si>
  <si>
    <t>META PAC</t>
  </si>
  <si>
    <t>Número de fuentes móviles de emisiones atmosféricas (vía publica y empresas transportadoras - Laboratorio de fuentes móviles) con seguimiento, monitoreo y control</t>
  </si>
  <si>
    <t>Número de redes de vigilancia y monitoreo de la calidad del aire implementada</t>
  </si>
  <si>
    <t xml:space="preserve">Actualización de mapas de ruido y planes de descontaminación </t>
  </si>
  <si>
    <t>% generadores y gestores de Residuos de Construcción y Demolición - RCD con seguimiento</t>
  </si>
  <si>
    <t>% empresas obligadas a conformar el Departamento de Gestión Ambiental con seguimiento</t>
  </si>
  <si>
    <t>% Implementación del Programa Regional de Negocios Verdes por la autoridad ambiental (IM 20)</t>
  </si>
  <si>
    <t>No. áreas estratégicas con desarrollo de actividades de investigacion-monitoreo y estudios de caracterización de la biodiversidad con participación comunitaria</t>
  </si>
  <si>
    <t xml:space="preserve">No.  estudios formulados  y/o actualizados de planes de manejo ambiental (PMA) de áreas protegidas </t>
  </si>
  <si>
    <t xml:space="preserve">Proyecto 320202  CONTROL, SEGUIMIENTO Y MONITOREO AL USO Y MANEJO DE LOS RECURSOS DE LA OFERTA NATURAL </t>
  </si>
  <si>
    <t>META 20</t>
  </si>
  <si>
    <t>Proyecto 320103 CONTROL Y VIGLANCIA AL DESARROLLO SECTORIAL SOSTENIBLE</t>
  </si>
  <si>
    <t>Suelos degradados en recuperación</t>
  </si>
  <si>
    <t>Proyecto 320201 GESTIÓN DE LA BIODIVERSIDAD Y SUS SERVICIOS ECOSISTÉMICOS</t>
  </si>
  <si>
    <t xml:space="preserve"> Proyecto 320501 FORTALECIMIENTO DE LOS PROCESOS DE ORDENAMIENTO Y PLANIFICACIÓN TERRITORIAL</t>
  </si>
  <si>
    <t>Programa 3205 Ordenamiento ambiental territorial.</t>
  </si>
  <si>
    <t>Programa 3206 Gestión del cambio climático para un desarrollo bajo en carbono y resiliente al clima</t>
  </si>
  <si>
    <t xml:space="preserve">Proyecto 320601 GESTIÓN DEL CAMBIO CLIMÁTICO </t>
  </si>
  <si>
    <t>CONTROL Y VIGILANCIA AL DESARROLLO SECTORIAL SOSTENIBLE</t>
  </si>
  <si>
    <t>CONTROL, SEGUIMIENTO Y MONITOREO AL USO Y MANEJO DE RECURSOS DE LA OFERTA NATURAL</t>
  </si>
  <si>
    <t>RESTAURACIÓN, REFORESTACIÓN Y PROTECCIÓN DE ECOSISTEMAS ESTRATÉGICOS EN CUENCAS HIDROGRÁFICAS</t>
  </si>
  <si>
    <t>Proyecto 320203 Restauración, reforestación y protección de ecosistemas estratégicos en cuencas hidrográficas</t>
  </si>
  <si>
    <t xml:space="preserve">ADMINISTRACIÓN DEL RECURSO HIDRICO </t>
  </si>
  <si>
    <t>INFORMACIÓN Y CONOCIMIENTO AMBIENTAL</t>
  </si>
  <si>
    <t>GESTIÓN DEL CAMBIO CLIMÁTICO</t>
  </si>
  <si>
    <t>Programa 3202 Conservación de la biodiversidad y sus servicios ecosistémicos</t>
  </si>
  <si>
    <t>PRESUPUESTO DE INVERSIÓN</t>
  </si>
  <si>
    <t>GESTIÓN DEL CONOCIMIENTO Y REDUCCIÓN DEL  RIESGO DE DESASTRES</t>
  </si>
  <si>
    <t>Proyecto 320502 GESTIÓN DEL CONOCIMIENTO Y REDUCCIÓN DEL RIESGO DE DESASTRES</t>
  </si>
  <si>
    <t>Energías alternativas y/o utilización de sistemas ecoeficientes de combustión en sectores productivos y/o para uso doméstico Identificadas, promovidas y aplicadas (%)</t>
  </si>
  <si>
    <t>% Ejecución de acciones en Educación Ambiental (IMG)</t>
  </si>
  <si>
    <t>CONOCIMIENTO DEL RIESGO DE DESASTRES GESTIONADO (%)</t>
  </si>
  <si>
    <t>REDUCCIÓN DEL RIESGO DE DESASTRES GESTIONADO (%)</t>
  </si>
  <si>
    <t>PRESUPUESTO DE INVERSIÓN 2021 - NUEVA ESTRUCTURA PLAN DE ACCIÓN</t>
  </si>
  <si>
    <t xml:space="preserve"> Proyecto 320503 GESTIÓN AMBIENTAL CON COMUNIDADES ÉTNICAS </t>
  </si>
  <si>
    <t xml:space="preserve">GESTIÓN AMBIENTAL CON COMUNIDADES ETNICAS </t>
  </si>
  <si>
    <t>PROYECTO 320101:  DESARROLLO SECTORIAL SOSTENIBLE</t>
  </si>
  <si>
    <t xml:space="preserve">PROYECTO 320102: NEGOCIOS VERDES </t>
  </si>
  <si>
    <t>PROYECTO 320103: CONTROL Y VIGLANCIA AL DESARROLLO SECTORIAL SOSTENIBLE</t>
  </si>
  <si>
    <t>PROGRAMA 3202: CONSERVACION DE LA BIODIVERSIDAD Y SUS SERVICIOS ECOSISTEMICOS</t>
  </si>
  <si>
    <t>PROYECTO 320201: GESTIÓN DE LA BIODIVERSIDAD Y SUS SERVICIOS ECOSISTÉMICOS</t>
  </si>
  <si>
    <t xml:space="preserve">PROYECTO 320202:  CONTROL, SEGUIMIENTO Y MONITOREO AL USO Y MANEJO DE LOS RECURSOS DE LA OFERTA NATURAL </t>
  </si>
  <si>
    <t>PROGRAMA 3203: GESTIÓN INTEGRAL DEL RECURSO HÍDRICO.</t>
  </si>
  <si>
    <t>PROYECTO 320302: ADMINISTRACIÓN DEL RECURSO HÍDRICO</t>
  </si>
  <si>
    <t>PROGRAMA 3204 GESTIÓN DE LA INFORMACIÓN Y EL CONOCIMIENTO AMBIENTAL</t>
  </si>
  <si>
    <t>PROYECTO 320401: INFORMACIÓN Y CONOCIMIENTO AMBIENTAL</t>
  </si>
  <si>
    <t>PROGRAMA 3205 ORDENAMIENTO AMBIENTAL TERRITORIAL.</t>
  </si>
  <si>
    <t>PROYECTO 320502: GESTIÓN DEL CONOCIMIENTO Y REDUCCIÓN DEL RIESGO DE DESASTRES</t>
  </si>
  <si>
    <t xml:space="preserve"> PROYECTO 320503: GESTIÓN AMBIENTAL CON COMUNIDADES ÉTNICAS </t>
  </si>
  <si>
    <t>PROGRAMA 3206: GESTIÓN DEL CAMBIO CLIMÁTICO PARA UN DESARROLLO BAJO EN CARBONO Y RESILIENTE AL CLIMA</t>
  </si>
  <si>
    <t xml:space="preserve">PROYECTO 320601: GESTIÓN DEL CAMBIO CLIMÁTICO </t>
  </si>
  <si>
    <t>PROGRAMA: 3208 EDUCACIÓN AMBIENTAL</t>
  </si>
  <si>
    <t>PROYECTO 320801: EDUCACIÓN Y CULTURA AMBIENTAL</t>
  </si>
  <si>
    <t>PROGRAMA  3299: FORTALECIMIENTO DE LA GESTIÓN Y DIRECCIÓN DEL SECTOR AMBIENTE Y DESARROLLO SOSTENIBLE</t>
  </si>
  <si>
    <t>PROYECTO 329901:  FORTALECIMIENTO INSTITUCIONAL PARA LA GESTIÓN AMBIENTAL</t>
  </si>
  <si>
    <t>INDICADOR / ACTIVIDAD</t>
  </si>
  <si>
    <t>FUENTES</t>
  </si>
  <si>
    <t>UNIDAD DE MEDIDA</t>
  </si>
  <si>
    <t>CANTIDAD</t>
  </si>
  <si>
    <t>TSE</t>
  </si>
  <si>
    <t>TUA</t>
  </si>
  <si>
    <t>% AMBIENTAL</t>
  </si>
  <si>
    <t xml:space="preserve">VALOR TOTAL </t>
  </si>
  <si>
    <t>No. predios apoyados para su caracterización y/o gestión como reserva natural de la sociedad civil</t>
  </si>
  <si>
    <t>Apoyo en la gestion e inscripción de RNSC</t>
  </si>
  <si>
    <t>Hombre/mes</t>
  </si>
  <si>
    <t xml:space="preserve">Apoyo a RNSC priorizadas </t>
  </si>
  <si>
    <t>Global</t>
  </si>
  <si>
    <t>Und</t>
  </si>
  <si>
    <t>No.de áreas estratégicas con desarrollo de actividades de investigacion-monitoreo y estudios de caracterización de la biodiversidad con participación comunitaria</t>
  </si>
  <si>
    <t>Elaboración de estudios de caracterización biológica participativa en areas estrategicas</t>
  </si>
  <si>
    <t xml:space="preserve">No. De estudios formulados  y/o actualizados de planes de manejo ambiental (PMA) de áreas protegidas </t>
  </si>
  <si>
    <t>%</t>
  </si>
  <si>
    <t>Elaboración de estudios  en Humedales, PSA y Páramos</t>
  </si>
  <si>
    <t>Implementación de medidas de prevención, control y manejo de especies  invasoras en ejecución</t>
  </si>
  <si>
    <t>Porcentaje de áreas protegidas con planes de manejo en ejecución (IM 12)</t>
  </si>
  <si>
    <t>Asesoría, Asistencia Técnica y capacitación Ambiental para la administración, promoción y gestión de las Áreas Protegidas Registradas</t>
  </si>
  <si>
    <t>Asesoría, Asistencia Técnica y capacitación Ambiental para la administración, promoción y gestión de las Áreas Protegidas</t>
  </si>
  <si>
    <t>Implementación de proyectos y actividades de ejecución de los PMA de las áreas protegidas</t>
  </si>
  <si>
    <t>Asesoría, Asistencia Técnica y capacitación Ambiental para la adminsitración, promoción y gestión en los ecosistemas para restauración, rehabilitación y reforestación</t>
  </si>
  <si>
    <t xml:space="preserve">Implementación de proyectos y actividades en los ecosistemas para restauración, rehabilitación y reforestación y/o ejecución de PMA adoptados de ecosistemas estrategicos de humedales </t>
  </si>
  <si>
    <t>Asesoría y Asistencia Técnica para el manejo de especies amenazadas</t>
  </si>
  <si>
    <t>Implementación de proyectos y actividades para el manejo de especies amenazadas</t>
  </si>
  <si>
    <t>Apoyo logístico(Refrigerios y Almuerzos) para la consolidación de las actividades contenidas en los Planes de Manejo Ambiental de las areas protegidas y ecosistemas estratégicos</t>
  </si>
  <si>
    <t>Apoyo logístico (Transporte de Pasajeros) para la consolidación de las actividades contenidas en los Planes de Manejo Ambiental de las areas protegidas y ecosistemas estratégicos</t>
  </si>
  <si>
    <t>Gastos de personal</t>
  </si>
  <si>
    <t xml:space="preserve">TOTAL </t>
  </si>
  <si>
    <t>CÓDIGO PRESUPUESTAL</t>
  </si>
  <si>
    <t>CÓDIGO CIIU</t>
  </si>
  <si>
    <t>% AMB</t>
  </si>
  <si>
    <t>OTROS RP</t>
  </si>
  <si>
    <t>Implementación del Programa Regional de Negocios Verdes por la autoridad ambiental (IM 20)</t>
  </si>
  <si>
    <t>Apoyo técnico a los empresarios vinculados al proyecto de negocios verdes</t>
  </si>
  <si>
    <t>2.3.2.02.02.008</t>
  </si>
  <si>
    <t>Implementación de una Plataforma apoyo a negocios verdes</t>
  </si>
  <si>
    <t>Participación de integrantes del proyecto en ferias y eventos comerciales</t>
  </si>
  <si>
    <t>Apoyo investigación productos de la biodiversidad, potenciales para Negocios Verdes</t>
  </si>
  <si>
    <t>Apoyo a la  Gestión, Operación, Administración y Promoción del Proyecto</t>
  </si>
  <si>
    <t xml:space="preserve">Apoyo técnico a los sectores productivos </t>
  </si>
  <si>
    <t>Adquisición de material vegetal para las alianzas productivas y los proyectos de reconversión.</t>
  </si>
  <si>
    <t>Ejecución de proyectos piloto para la reconversión en sectores productivos.</t>
  </si>
  <si>
    <t>Implementación y/o fortalecimiento de apiarios.</t>
  </si>
  <si>
    <t>Fortalecimiento de la Estrategia de sensibilización empresarial: OPITA DE CORAZÓN</t>
  </si>
  <si>
    <t>Construcción de hornillas ecoeficientes en sectores productivos y/o para uso doméstico</t>
  </si>
  <si>
    <t>Apoyo técnico al componente ambiental</t>
  </si>
  <si>
    <t xml:space="preserve">Apoyo logístico para la consolidación de las actividades contenidas en el proyecto desarrollo sectorial sostenible </t>
  </si>
  <si>
    <t>FUENTE</t>
  </si>
  <si>
    <t xml:space="preserve">UNIDAD DE MEDIDA </t>
  </si>
  <si>
    <t>TASA RETRIBUTIVA</t>
  </si>
  <si>
    <t>TASA FORESTAL</t>
  </si>
  <si>
    <t xml:space="preserve">Acciones para el seguimiento a metas de aprovechamiento de los Planes de Gestión Integral de Residuos Sólidos (PGIRS) </t>
  </si>
  <si>
    <t>Acciones para el seguimiento, control y asistencia tecnica a generadores de RESPEL y especiales.</t>
  </si>
  <si>
    <t xml:space="preserve">Personal para seguimiento a autorizaciones, permisos y licencias ambientales. </t>
  </si>
  <si>
    <t>Dias</t>
  </si>
  <si>
    <t>Autorizaciones ambientales otorgadas en el tiempo promedio de tramite.</t>
  </si>
  <si>
    <t>Personal de apoyo en licencias y permisos ambientales resueltos</t>
  </si>
  <si>
    <t>No. Fuentes móviles de emisiones atmosféricas (via publica y empresas transportadoras - Laboratorio de fuentes moviles) con seguimiento, monitoreo y control</t>
  </si>
  <si>
    <t>Operativos de seguimiento, monitoreo y control a fuentes moviles</t>
  </si>
  <si>
    <t>Realizar mantenimiento de equipos de monitoreo de fuentes moviles</t>
  </si>
  <si>
    <t>Personal de apoyo en procesos sancionatorios resueltos</t>
  </si>
  <si>
    <t>No. Redes de vigilancia y monitoreo de la calidad del aire implementada</t>
  </si>
  <si>
    <t>Realizar mediciones y monitoreo a la calidad del aire  en la ciudad de Neiva</t>
  </si>
  <si>
    <t xml:space="preserve">Realizar mantenimiento de equipos de la Red de Calidad de Aire. </t>
  </si>
  <si>
    <t>No. Mapas de ruido y planes de descontaminación actualizados</t>
  </si>
  <si>
    <t>Seguimiento, control y asistencia tecnica a generadores de RCD</t>
  </si>
  <si>
    <t>Seguimiento, control y asistencia tecnica a Departamentos de Gestion Ambiental - DGA</t>
  </si>
  <si>
    <t>% de Generadores y gestores de Residuos de Construcción y Demolición - RCD con seguimiento</t>
  </si>
  <si>
    <t>% de Empresas obligadas a conformar el Departamento de Gestión Ambiental con seguimiento</t>
  </si>
  <si>
    <t>TOTALES</t>
  </si>
  <si>
    <t>No. De Estrategias de control implementadas para extracción  ilegal de los recursos naturales. RED DE CONTROL AMBIENTAL RECAM</t>
  </si>
  <si>
    <t xml:space="preserve">Implementar acciones en el marco del control a la extracción ilegal de los recursos naturales - Red de Control Ambiental - RECAM </t>
  </si>
  <si>
    <t>Estrategias de control a la deforestacion y conservacion y uso sostenible de los bosques en el departamento del Huila implementada</t>
  </si>
  <si>
    <t>Implementar acciones en el marco del pacto por la madera legal y la consolidación del proyecto de Gobernanza Forestal en Colombia</t>
  </si>
  <si>
    <t>Realización de campañas de educación y sensibilización para la promoción de la legalidad forestal y el uso sostenible de los bosques</t>
  </si>
  <si>
    <t>Estrategia para la preservación, conservación, rehabilitación y/o reintroducción, control y seguimiento a la fauna silvestre formulada e implementada</t>
  </si>
  <si>
    <t>Personal para la atención, manejo y valoración medica y biológica de la fauna silvestre que ingresa al CAV y hogares de paso y su disposición final.</t>
  </si>
  <si>
    <t xml:space="preserve">Garantizar la manutención de la fauna silvestre  bajo responsabilidad de la CAM en el CAV y Hogares de Paso. </t>
  </si>
  <si>
    <t>Realización de campañas de educación y sensibilización para la conservación de la fuana silvestre</t>
  </si>
  <si>
    <t>Mantenimiento y adecuacion de Hogares de paso y Centro de Atención y Valoración de Fauna</t>
  </si>
  <si>
    <t>ACTIVIDAD</t>
  </si>
  <si>
    <t>PROYECTO</t>
  </si>
  <si>
    <t>Porcentaje de suelos degradados en recuperación o rehabilitacón (IM 8)</t>
  </si>
  <si>
    <t>Ha</t>
  </si>
  <si>
    <t>Ha. con reforestación, producción de material forestal, asistencia técnica, interventoría y supervisión; incluye apoyo logistico (Transporte, almuerzos y refrigerios)</t>
  </si>
  <si>
    <t>Mantenimiento  de reforestación protectora y/o protectora - productora, asistencia técnica, interventoría y supervisión. Incluye Logistica (Transporte, Almuerzos y refrigerios)</t>
  </si>
  <si>
    <t>Ha.</t>
  </si>
  <si>
    <t>Aislamiento de áreas para la protección-conservación-recuperación, asistencia técnica, interventoría, logistica (Transporte, almuerzos y refrigerios) y apoyo a la supervisión en cuencas abastecedoras</t>
  </si>
  <si>
    <t>ML</t>
  </si>
  <si>
    <t>No. De parcelas con monitoreo en diferentes pisos térmicos del Dpto</t>
  </si>
  <si>
    <t>ML con mantenimiento del aislamiento de áreas para la protección-conservación-recuperación de áreas revegetalizadas naturalemente para la protección de cuencas abstecedoras,  asistencia técnica, interventoría, logistica (Transporte, almuerzos y refrigerios) y apoyo a la supervisión en cuencas abastecedoras</t>
  </si>
  <si>
    <t xml:space="preserve">Formulación y/o ajustes de POMCA: Río Yaguará y PMAM: Qda La Yaguilga </t>
  </si>
  <si>
    <t>No. De convenios  para cofinanciar la construcción  y seguimiento a proyectos de saneamiento ambiental hídrico como: interceptores, emisarios finales,  sistemas de tratamiento de aguas residuales domésticas y/o estudios y diseños asociados a estas obras.</t>
  </si>
  <si>
    <t xml:space="preserve">Acciones para el seguimiento a Programas de Uso Eficiente y Ahorro del Agua (PUEAA) </t>
  </si>
  <si>
    <t xml:space="preserve">Acciones para el seguimiento a  Planes de Saneamiento y Manejo de Vertimientos –PSMV- </t>
  </si>
  <si>
    <t>Realizar la reglamentacion de Cuerpos de agua</t>
  </si>
  <si>
    <t xml:space="preserve">Formular y adoptar los PORH </t>
  </si>
  <si>
    <t>Realizar campañas de monitoreo del recurso hídrico en el río Magdalena y sus principales afluentes</t>
  </si>
  <si>
    <t>Realizar Muestreos y/o contramuestreos  de  calidad de aguas</t>
  </si>
  <si>
    <t xml:space="preserve">Realizar seguimiento y/o Monitoreo al Recurso Hídrico  de aguas superficiales y subterraneas. </t>
  </si>
  <si>
    <t>Realizar  la Evaluación Regional del Agua - ERA</t>
  </si>
  <si>
    <t xml:space="preserve">Restauración de zonas urbanas (rondas hídricas, humedales) </t>
  </si>
  <si>
    <t>Implementación de estrategias urbanas para adaptación y mitigación de  los efectos del cambio climático</t>
  </si>
  <si>
    <t xml:space="preserve">Consolidacion, cargue y validacion de informacion en los aplicativos en linea. </t>
  </si>
  <si>
    <t xml:space="preserve">Consolidacion, revision, cargue y validacion de informacion en el SIAC </t>
  </si>
  <si>
    <t>Apoyo técnico a los municipios a través de un equipo de Profesionales POT</t>
  </si>
  <si>
    <t>Apoyo logístico para la consolidación de las actividades contenidas en el proyecto de Ordenamiento (Refrigerios y Transporte)</t>
  </si>
  <si>
    <t>CONOCIMIENTO DEL RIESGO DE DESASTRES GESTIONADO</t>
  </si>
  <si>
    <t>Estudios de Amenaza, Vulnerabilidad y Riesgo  (AVR)   en la vigencia del plan de acción</t>
  </si>
  <si>
    <t>Asesoría y asistencia técnica especializada a entes territoriales y/o consejos territoriales de gestión del riesgo de desastres, en identificación, caracterización y análisis de escenarios de riesgo por amenaza natural, actualización e implementación de planes de gestión de riesgo de desastres municipales, incluido incendios por cobertura vegetal</t>
  </si>
  <si>
    <t xml:space="preserve">Comunicación del riesgo de desastres a través de eventos sobre Gestión del Riesgo de Desastres </t>
  </si>
  <si>
    <t xml:space="preserve">kits divulgativos y didácticos sobre Gestión del Riesgo de Desastres </t>
  </si>
  <si>
    <t>Transporte de servidores publicos</t>
  </si>
  <si>
    <t>REDUCCIÓN DEL RIESGO DE DESASTRES GESTIONADO</t>
  </si>
  <si>
    <t>Implementación de  obras y/o actividades de reducción de riesgo por amenaza natural.</t>
  </si>
  <si>
    <t xml:space="preserve">Entrega de dotación a entes territoriales, consejos territoriales de desastres y/o cuerpos de bomberos para fortalecer la capacidad local en prevención y atención de incendios de la cobertura vegetal </t>
  </si>
  <si>
    <t>Gl</t>
  </si>
  <si>
    <t>Apoyo a Comunidades Indígenas - Convenios CRIHU - Consultas Previas.</t>
  </si>
  <si>
    <t>Apoyo a los entes territoriales con asesoría en Cambio Climatico</t>
  </si>
  <si>
    <t>Ejecución de acciones en Educación Ambiental (IM 27)</t>
  </si>
  <si>
    <t>Apoyo técnico para la implementación del proyecto</t>
  </si>
  <si>
    <t>Actividades de educación ambiental</t>
  </si>
  <si>
    <t>Senderos interpretativos para la educación ambiental Construidos y/o dotados y/o mantenidos e implementados</t>
  </si>
  <si>
    <t>Estrategia de comunicación y divulgación</t>
  </si>
  <si>
    <t>SOBRETASA AMBIENTAL - PREDIAL</t>
  </si>
  <si>
    <t>Gestión para la modernización de la planta de personal de la Corporación</t>
  </si>
  <si>
    <t>Apoyo técnico para la Consolidación y fortalecimiento del Modelo Integrado de Planeación y Gestión - MIPG</t>
  </si>
  <si>
    <t>Acciones para el sostenimiento de la acreditación en las normas internacionales ISO 9001:2015 y 14001:2015</t>
  </si>
  <si>
    <t>Ejecución de las acciones contenidas en la política de servicio al ciudadno</t>
  </si>
  <si>
    <t>Prestación del servicio de soporte de TIC´s mediante outsourcing</t>
  </si>
  <si>
    <t xml:space="preserve">Porcentaje de actualización e Implementacion del programa de gestión documental  </t>
  </si>
  <si>
    <t>Apoyo técnico para la actualización e implementación del programa de gestión documental</t>
  </si>
  <si>
    <t>Estudios y diseños de detalle para la construcción y/o adecuación de las Sedes territoriales</t>
  </si>
  <si>
    <t>Adecuaciones locativas sede central</t>
  </si>
  <si>
    <t>Sedes territoriales Construidas y/o adecuadas</t>
  </si>
  <si>
    <t>Apoyo logístico para la consolidación de las actividades de Fortalecimiento de los Procesos de Planeación estratégica</t>
  </si>
  <si>
    <t>Construcción de sistemas de descontaminación de fuentes hídricas.</t>
  </si>
  <si>
    <t>Proyecto 320401 INFORMACIÓN Y CONOCIMIENTO AMBIENTAL</t>
  </si>
  <si>
    <t>Apoyo a la gestión del proyecto</t>
  </si>
  <si>
    <t>ADICION PRESUPUESTAL</t>
  </si>
  <si>
    <t>VALOR</t>
  </si>
  <si>
    <t xml:space="preserve">Fortalecimiento del desempeño ambiental de los sectores productivos </t>
  </si>
  <si>
    <t>Conservación de la biodiversidad y sus servicios ecosistémicos.</t>
  </si>
  <si>
    <t>Gestión integral del recurso hídrico.</t>
  </si>
  <si>
    <t>Gestión de la información y el conocimiento ambiental.</t>
  </si>
  <si>
    <t>Ordenamiento ambiental territorial.</t>
  </si>
  <si>
    <t>Gestión del cambio climático para un desarrollo bajo en carbono y resiliente al clima</t>
  </si>
  <si>
    <t xml:space="preserve">Educación Ambiental </t>
  </si>
  <si>
    <t>Fortalecimiento de la gestión y dirección del Sector Ambiente y Desarrollo Sostenible.</t>
  </si>
  <si>
    <t>CÓDIGO</t>
  </si>
  <si>
    <t>NUEVA ESTRUCTURA DE PROGRAMAS Y PROYECTOS PAI</t>
  </si>
  <si>
    <t>Desarrollo sectorial sostenible</t>
  </si>
  <si>
    <t xml:space="preserve">Negocios verdes </t>
  </si>
  <si>
    <t>Control y vigilancia al desarrollo sectorial sostenible</t>
  </si>
  <si>
    <t>Gestión integral de la biodiversidad y sus servicios ecosistémicos</t>
  </si>
  <si>
    <t>Control, seguimiento y monitoreo al uso y manejo de recursos de la oferta natural</t>
  </si>
  <si>
    <t>Restauración, reforestación y protección de ecosistemas estratégicos en cuencas hidrográficas</t>
  </si>
  <si>
    <t>Conservación y uso eficiente del recurso hídrico</t>
  </si>
  <si>
    <t xml:space="preserve">Administración del recurso hidrico </t>
  </si>
  <si>
    <t>Información y conocimiento ambiental</t>
  </si>
  <si>
    <t>Fortalecimiento de los procesos de ordenamiento y planificación territorial</t>
  </si>
  <si>
    <t>Gestión del conocimiento y reducción del  riesgo de desastres</t>
  </si>
  <si>
    <t>Gestión ambiental con comunidades étnicas</t>
  </si>
  <si>
    <t>Gestión del cambio climático</t>
  </si>
  <si>
    <t>Educación y cultura ambiental</t>
  </si>
  <si>
    <t>Fortalecimiento institucional para la gestión ambiental</t>
  </si>
  <si>
    <t>CANT.</t>
  </si>
  <si>
    <t xml:space="preserve">GESTIÓN Y CONSERVACION DE LA RIQUEZA NATURAL </t>
  </si>
  <si>
    <t>CONSERVACIÓN DE LOS RECURSOS NATURALES EN EL DESARROLLO SECTORIAL PRODUCTIVO</t>
  </si>
  <si>
    <t xml:space="preserve"> DESARROLLO TERRITORIAL SOSTENIBLE Y ADAPTACIÓN AL CAMBIO CLIMÁTICO</t>
  </si>
  <si>
    <t>INSTITUCIÓN AMBIENTAL MODERNA Y GENERACIÓN DE CAPACIDADES</t>
  </si>
  <si>
    <t>INDIC.</t>
  </si>
  <si>
    <t>PROYECTO 320203: RESTAURACIÓN, REFORESTACIÓN Y PROTECCIÓN DE ECOSISTEMAS ESTRATÉGICOS EN CUENCAS HIDROGRÁFICAS</t>
  </si>
  <si>
    <t>TR</t>
  </si>
  <si>
    <t>Realizar la actualizacion de los mapas y planes de decontaminacion por rudio de Nieva y Pitalito</t>
  </si>
  <si>
    <t xml:space="preserve">VALOR INICIAL </t>
  </si>
  <si>
    <t>“CONSTRUCCIÓN DE OBRAS DE CONTROL Y MITIGACIÓN POR INUNDACIÓN Y AVENIDA TORRENCIAL DE RÍO TIMANÁ EN EL MUNICIPIO DE TIMANÁ, HUILA”</t>
  </si>
  <si>
    <t>PROYECTO 320504: Gestión del conocimiento y Reducción del Riesgo de desastres-pasivo exigible vigencias expiradas</t>
  </si>
  <si>
    <t>Número</t>
  </si>
  <si>
    <t>REDUCCIÓN DEL RIESGO DE DESASTRES - Pasivos exigibles vigencias expiradas</t>
  </si>
  <si>
    <t>CÓDIGO DE PRODUCTO: 3205021: Obras de Infraestructura para mitigación y atención de desastres</t>
  </si>
  <si>
    <t>GESTIÓN DEL CONOCIMIENTO Y REDUCCIÓN DEL RIESGO DE DESASTRES-PASIVO EXIGIBLE VIGENCIAS EXPIRADAS</t>
  </si>
  <si>
    <t>CODIGO DE PRODUCTO</t>
  </si>
  <si>
    <t>AREA RESPONSABLE</t>
  </si>
  <si>
    <t>SGA</t>
  </si>
  <si>
    <t>SRCA</t>
  </si>
  <si>
    <t>SPOT</t>
  </si>
  <si>
    <t>Fortalecimiento de la infraestrcutura tecnológica dela Corporación</t>
  </si>
  <si>
    <t>PROFESIONAL RESPONSABLE</t>
  </si>
  <si>
    <t>Laura González</t>
  </si>
  <si>
    <t>Albeiro Cortés</t>
  </si>
  <si>
    <t>Freddy Anturi</t>
  </si>
  <si>
    <t>Jhon Freddy Estupiñán</t>
  </si>
  <si>
    <t>Freddy Angarita</t>
  </si>
  <si>
    <t>Adriana Arias - John F. Estupiñán</t>
  </si>
  <si>
    <t>John Freddy Estupiñán</t>
  </si>
  <si>
    <t xml:space="preserve">Adriana Arias  </t>
  </si>
  <si>
    <t>Deyci Martina Cabrera / Martha Viviana Díaz</t>
  </si>
  <si>
    <t>Diana Bermeo</t>
  </si>
  <si>
    <t>Osiris Peralta</t>
  </si>
  <si>
    <t>César Barreiro</t>
  </si>
  <si>
    <t>Javier Collazos</t>
  </si>
  <si>
    <t xml:space="preserve">Edisney Silva </t>
  </si>
  <si>
    <t>RUIDP</t>
  </si>
  <si>
    <t>PROGRAMA 3201: FORTALECIMIENTO DEL DESEMPEÑO AMBIENTAL DE LOS SECTORES PRODUCTIVOS</t>
  </si>
  <si>
    <t>PROYECTO 320101: DESARROLLO SECTORIAL SOSTENIBLE</t>
  </si>
  <si>
    <t>PROYECTO 320102: NEGOCIOS VERDES</t>
  </si>
  <si>
    <t>PROYECTO 320103: CONTROL Y VIGILANCIA DEL DESARROLLO SECTORIAL SOSTENIBLE</t>
  </si>
  <si>
    <t>Fuentes móviles de emisiones atmosféricas (via publica y empresas transportadoras - Laboratorio de fuentes moviles) con seguimiento, monitoreo y control</t>
  </si>
  <si>
    <t>No. Red de vigilancia y monitoreo de la calidad del aire implementada</t>
  </si>
  <si>
    <t>Porcentaje de Generadores y gestores de Residuos de Construcción y Demolición - RCD con seguimiento</t>
  </si>
  <si>
    <t>Porcentaje de Empresas obligadas a conformar el Departamento de Gestión Ambiental con seguimiento</t>
  </si>
  <si>
    <t>Apoyo logístico para la consolidación de las actividades contenidas en el proyecto</t>
  </si>
  <si>
    <t>PROGRAMA 3202: CONSERVACION DE LA BIODIVERSIDAD Y SUS SERVICIOS ECOSISTÉMICOS</t>
  </si>
  <si>
    <t>PROYECTO 320202: CONTROL, SEGUIMIENTO Y MONITOREO AL USO Y MANEJO DE RECURSOS DE LA OFERTA NATURAL</t>
  </si>
  <si>
    <t>No. De Estrategias de control a la deforestacion y conservacion y uso sostenible de los bosques en el departamento del Huila implementada</t>
  </si>
  <si>
    <t>No. Estrategia para la preservación, conservación, rehabilitación y/o reintroducción, control y seguimiento a la fauna silvestre formulada e implementada</t>
  </si>
  <si>
    <t>Porcetaje de áreas reforestadas gestionadas y con mantenimiento para la protección de cuencas abastecedoras.</t>
  </si>
  <si>
    <t>PROGRAMA 3203: GESTIÓN INTEGRAL DEL RECURSO HÍDRICO</t>
  </si>
  <si>
    <t>PROYECTO 320301: CONSERVACIÓN Y USO EFICIENTE DEL RECURSO HÍDRICO</t>
  </si>
  <si>
    <t>PROGRAMA 3204: GESTIÓN DE LA INFORMACIÓN Y DEL CONOCIMIENTO</t>
  </si>
  <si>
    <t>PROGRAMA 3205: ORDENAMIENTO AMBIENTAL TERRITORIAL</t>
  </si>
  <si>
    <t>PROYECTO 320501: FORTALECIMIENTO DE LOS PROCESOS DE ORENAMIENTO Y PLANIFICACIÓN TERRITORIAL</t>
  </si>
  <si>
    <t>PROYECTO 320502: GESTIÓN DEL CONOCIMIENTO Y GESTIÓN DEL RIESGO DE DESASTRES</t>
  </si>
  <si>
    <t>Conocimiento del Riesgo de Desastres gestionado</t>
  </si>
  <si>
    <t>Reducción del Riesgo de Desastres gestionado</t>
  </si>
  <si>
    <t>PROYECTO 320503: GESTIÓN AMBIENTAL CON COMUNIDADES ÉTNICAS</t>
  </si>
  <si>
    <t xml:space="preserve">Und </t>
  </si>
  <si>
    <t>PROYECTO 320601: GESTIÓN DEL CAMBIO CLIMÁTICO</t>
  </si>
  <si>
    <t>PROGRAMA 3208: EDUCACIÓN AMBIENTAL</t>
  </si>
  <si>
    <t>PROGRAMA 3299: FORTALECIMIENTO DE LA GESTIÓN Y DIRECCIÓN DEL SECTOR AMBIENTE Y DESARROLLO SOSTENIBLE</t>
  </si>
  <si>
    <t>PROYECTO 329901: FORTALECIMIENTO INSTITUCIONAL PARA LA GESTIÓN AMBIENTAL</t>
  </si>
  <si>
    <t>CODIGO PRODUCTO</t>
  </si>
  <si>
    <t xml:space="preserve">INDICADOR / ACTIVIDAD </t>
  </si>
  <si>
    <t>INDICADOR / ACTIVIDAD / ACCIONES</t>
  </si>
  <si>
    <t>CODIGO PRESUPUESTAL</t>
  </si>
  <si>
    <t>UNIDAD</t>
  </si>
  <si>
    <t>Acción 1</t>
  </si>
  <si>
    <t xml:space="preserve"> Ha. adquiridas y administradas duante el cuatrienio a través de convenios con los municipios, con trabajos de restauración pasiva y activa</t>
  </si>
  <si>
    <t>Avance de ejecución de los POMCAS, PMA, PMM de los Rios Las Ceibas, Guarapas, Suaza, y Quebradas Garzón y Barbillas, conforme al cronograma de implementación.</t>
  </si>
  <si>
    <t>Estudios formulados y/o actualizados de planes de manejo ambiental (PMA) de áreas protegidas.</t>
  </si>
  <si>
    <t>TF</t>
  </si>
  <si>
    <t>%AMB</t>
  </si>
  <si>
    <t>SPOT / SG</t>
  </si>
  <si>
    <t>Transporte</t>
  </si>
  <si>
    <t xml:space="preserve">Implementación actividades en áreas de ecosistemas compartidos </t>
  </si>
  <si>
    <t>DETALLE</t>
  </si>
  <si>
    <t xml:space="preserve"> </t>
  </si>
  <si>
    <t>Personal de apoyo en licencias y permisos ambientales resueltos - Mensajeria</t>
  </si>
  <si>
    <t>Personal de apoyo en Sancionatorios resueltos - Mensajeria</t>
  </si>
  <si>
    <t>Logística para el funcionamiento de la RECAM  - Combustible</t>
  </si>
  <si>
    <t>Logística para el funcionamiento de la RECAM  Transporte decomisos</t>
  </si>
  <si>
    <t>VALOR TOTAL</t>
  </si>
  <si>
    <t>Transferencia FIA- PDA</t>
  </si>
  <si>
    <t>Actualizar el estudio de Evaluación Regional del Agua - ERA</t>
  </si>
  <si>
    <t>PROYECTO 320501: FORTALECIMIENTO DE LSO PROCESOS DE ORDENAMENTO Y PLANIFICACION TERRITORIAL</t>
  </si>
  <si>
    <t>VR UNITARIO</t>
  </si>
  <si>
    <t>1.Apoyo técnico para la implementación del proyecto</t>
  </si>
  <si>
    <t>2.Actividades de educación ambiental</t>
  </si>
  <si>
    <t>3.Senderos interpretativos para la educación ambiental Construidos y/o dotados y/o mantenidos e implementados</t>
  </si>
  <si>
    <t>4.Estrategia de comunicación y divulgación</t>
  </si>
  <si>
    <t>CUANDO</t>
  </si>
  <si>
    <t>Meta cumplida</t>
  </si>
  <si>
    <t>Alimentación</t>
  </si>
  <si>
    <t>INDICADOR / ACTIVIDAD / ACCION</t>
  </si>
  <si>
    <t>OTROS RECURSOS PROPIOS</t>
  </si>
  <si>
    <t>DIF %</t>
  </si>
  <si>
    <t>TOTAL PRESUPUESTO DE INVERSION</t>
  </si>
  <si>
    <t>COMPARATIVO INDICADORES</t>
  </si>
  <si>
    <t>PRESUPUESTO INICIAL</t>
  </si>
  <si>
    <t>PRESUPUESTO FINAL</t>
  </si>
  <si>
    <t>PRESUPUESTO CON ADICION</t>
  </si>
  <si>
    <t>EJECUTADO</t>
  </si>
  <si>
    <t>A 31 de octubre</t>
  </si>
  <si>
    <t>saldos</t>
  </si>
  <si>
    <t>% Incremento</t>
  </si>
  <si>
    <t>% participación</t>
  </si>
  <si>
    <t>Vigencia</t>
  </si>
  <si>
    <t>NORMATIVIDAD APLICABLE</t>
  </si>
  <si>
    <t>Artículo 211 de la Ley 1450 de 2011: adiciona parágrafos al artículo 42 de la Ley 99 de 1993</t>
  </si>
  <si>
    <t xml:space="preserve">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t>
  </si>
  <si>
    <t>VR POR FUENTE</t>
  </si>
  <si>
    <t>Ley 1450 de 2011, artículo 216: Adiciónese los siguientes parágrafos al artículo 43 de la Ley 99 de 1993</t>
  </si>
  <si>
    <t xml:space="preserve">Se destinarán de la siguiente manera: a) En las cuencas con POM adoptado, se destinarán exclusivamente a las actividades de protección, recuperación y monitoreo del recurso hídrico definidas en el mismo; b) En las cuencas declaradas en ordenación, se destinarán a la elaboración del POM Cuenca; c) En ausencia de las condiciones establecidas en los literales a) y b), se destinarán a actividades de protección y recuperación del recurso hídrico definidos en los instrumentos de planificación de la autoridad ambiental competente y teniendo en cuenta las directrices del MADS. Para cubrir gastos de implementación, monitoreo y seguimiento, la autoridad ambiental podrá utilizar hasta el (10%) de los recaudos. </t>
  </si>
  <si>
    <t>Se ejecutarán conforme a los planes ambientales regionales y municipales; se destinarán los recursos a la ejecución de programas y proyectos de protección o restauración del medio ambiente y los recursos naturales renovables, de acuerdo con los planes de desarrollo de los municipios del área de su jurisdicción. Para la ejecución de las inversiones que afecten estos recursos se seguirán las reglas especiales sobre planificación ambiental que la presente ley establece”.</t>
  </si>
  <si>
    <t>Ley 1930 de 2018 artículo 24, Decreto 1933 de 1994 Decreto 1729 de 2002 Decreto 1933 de 1994, Artículo 5</t>
  </si>
  <si>
    <t>Se destinarán a la financiación de los planes de ordenación de las cuencas hidrográficas, a la protección del medio ambiente y a la defensa de la cuenca hidrográfica y del área de influencia del proyecto. De los recursos de que habla este artículo sólo se podrá destinar hasta el 10% para gastos de funcionamiento”.</t>
  </si>
  <si>
    <r>
      <t>MULTAS:</t>
    </r>
    <r>
      <rPr>
        <sz val="11"/>
        <color rgb="FF000000"/>
        <rFont val="Arial"/>
        <family val="2"/>
      </rPr>
      <t>. No existe norma que defina su destinación por lo tanto su porcentaje para inversión o funcionamiento lo define la Corporación</t>
    </r>
  </si>
  <si>
    <t xml:space="preserve"> Art. 46 Ley 99 de 1993</t>
  </si>
  <si>
    <t>Art.44 Ley 99 de 1994</t>
  </si>
  <si>
    <t>Ley 99 de 1993</t>
  </si>
  <si>
    <t>% AMB (sobretasa y predial)</t>
  </si>
  <si>
    <t>% PARTIC</t>
  </si>
  <si>
    <t>% PARTICP</t>
  </si>
  <si>
    <t>VALOR CONTRATO (sin 4/1000)</t>
  </si>
  <si>
    <t>VALOR (Incl 4/1000)</t>
  </si>
  <si>
    <t>CÓDIGO CPC - DANE</t>
  </si>
  <si>
    <t>CODIGO CPC</t>
  </si>
  <si>
    <t>7490</t>
  </si>
  <si>
    <t>PROGRAMA 3205 ORDENAMIENTO AMBIENTAL TERRITORIAL</t>
  </si>
  <si>
    <t>CÓDIGO CPC- DANE</t>
  </si>
  <si>
    <t>% AMB.</t>
  </si>
  <si>
    <t>T.FORESTAL</t>
  </si>
  <si>
    <t>PROYECTO 320301:  CONSERVACIÓN Y USO EFICIENTE DEL RECURSO HÍDRICO</t>
  </si>
  <si>
    <t>SGR</t>
  </si>
  <si>
    <t>Ejecución de las acciones contenidas en la política de servicio al ciudadano</t>
  </si>
  <si>
    <t>Proyecto SGR Polinización con Meliponas</t>
  </si>
  <si>
    <t>No Estrategias de control a la deforestacion y conservacion y uso sostenible de los bosques en el departamento del Huila implementada</t>
  </si>
  <si>
    <t xml:space="preserve">OTROS RP </t>
  </si>
  <si>
    <t xml:space="preserve">TSE </t>
  </si>
  <si>
    <t>CONV. 023 - GOBERNACIÓN</t>
  </si>
  <si>
    <t xml:space="preserve"> Proyecto  320504: Gestión del conocimiento y Reducción del Riesgo de desastres-pasivo exigible vigencias expiradas</t>
  </si>
  <si>
    <t>REDUCCIÓN DEL RIESGO DE DESASTRES - Pasivos exigibles vigencias expiradas Gestionado %</t>
  </si>
  <si>
    <t>VALOR  2022</t>
  </si>
  <si>
    <t>ACCIONES VIGENCIAS FUTURAS</t>
  </si>
  <si>
    <t>ACCIONES PTES DIRECCIÓN</t>
  </si>
  <si>
    <t>PRESUPUESTO TOTAL</t>
  </si>
  <si>
    <t>FUENTES DE FINANCIACIÓN</t>
  </si>
  <si>
    <t>RENDIMIENTOS FINANCIEROS</t>
  </si>
  <si>
    <t>Fortalecimiento Paisajes Cafeteros y Cacaoteros</t>
  </si>
  <si>
    <t xml:space="preserve">DRMI Tatacoa </t>
  </si>
  <si>
    <t>Interventoria DRMI Tatacoa</t>
  </si>
  <si>
    <t>Equipo AP</t>
  </si>
  <si>
    <t>Eventos ONG</t>
  </si>
  <si>
    <t>Formulación POMCAS Rio Yaguará</t>
  </si>
  <si>
    <t>Formulación del PORH Y Reglamentación Agua rio Aipe</t>
  </si>
  <si>
    <t>Drones OT</t>
  </si>
  <si>
    <t xml:space="preserve">AVR </t>
  </si>
  <si>
    <t>Obra Timaná</t>
  </si>
  <si>
    <t>Indígenas</t>
  </si>
  <si>
    <t>Hornillas ecoeficientes</t>
  </si>
  <si>
    <t>PGAR</t>
  </si>
  <si>
    <t>Outsourcing TICS</t>
  </si>
  <si>
    <t>Construcción Sede Pitalito</t>
  </si>
  <si>
    <t>PRESUPUESTO REQUERIDO</t>
  </si>
  <si>
    <t>SALDO</t>
  </si>
  <si>
    <t>PRESUPUESTO INICIAL PROYECCIÓN 2023</t>
  </si>
  <si>
    <t>Profesional de apoyo  seguimiento a las actividades comunidades indígenas</t>
  </si>
  <si>
    <r>
      <t xml:space="preserve">Código: </t>
    </r>
    <r>
      <rPr>
        <sz val="10"/>
        <rFont val="Arial"/>
        <family val="2"/>
      </rPr>
      <t xml:space="preserve">T-CAM-029 </t>
    </r>
  </si>
  <si>
    <t>Versión: 4</t>
  </si>
  <si>
    <t>Fecha: 28-02-2020</t>
  </si>
  <si>
    <t>PLAN OPERATIVO ANUAL DE INVERSIOENS</t>
  </si>
  <si>
    <t>No INDICADOR</t>
  </si>
  <si>
    <t>No ACTIVIDAD</t>
  </si>
  <si>
    <t xml:space="preserve"> PROYECTO 320503: GESTIÓN AMBIENTAL CON COMUNIDADES ÉTNICAS</t>
  </si>
  <si>
    <t>Profesional Educación DTN</t>
  </si>
  <si>
    <t>Mes</t>
  </si>
  <si>
    <t>Profesional Educación DTS</t>
  </si>
  <si>
    <t>Profesional Educación DTO</t>
  </si>
  <si>
    <t>Profesional Educación DTC</t>
  </si>
  <si>
    <t>Profesional acompañamiento SENDICAM-Neiva</t>
  </si>
  <si>
    <t>Profesional  acompañamiento  SENDICAM-Pitalito 1</t>
  </si>
  <si>
    <t>Profesional Plan Departamental de Educación Ambiental</t>
  </si>
  <si>
    <t>Profesional apoyo educación ambiental ejecución de acciones establecidos en el indicador mínimo de gestión IM27.</t>
  </si>
  <si>
    <t>Apoyo educación ambiental con la música</t>
  </si>
  <si>
    <t>Suministro de material vegetal para Educación Ambiental</t>
  </si>
  <si>
    <t>2.3.2.02.01.000</t>
  </si>
  <si>
    <t>Promoción y participación en eventos de educación ambiental (Encuentro ONGs, encuentro docentes, encuentro Jóvenes de ambiente, Ferias, Festivales).</t>
  </si>
  <si>
    <t>Adquisición de equipos educación Ambiental    (Concursos, olimpiadas, encuentros, reconocimientos)</t>
  </si>
  <si>
    <t>Apoyo e implementación de PRAE y PROCEDAS</t>
  </si>
  <si>
    <t>Suministro de papelería y material para actividades de educación ambiental</t>
  </si>
  <si>
    <t>Mantenimiento general de las estaciones de los Senderos ( Neiva, Pitalito, Garzón)</t>
  </si>
  <si>
    <t>Diseñador Gráfico</t>
  </si>
  <si>
    <t>Apoyo técnico audiovisual</t>
  </si>
  <si>
    <t>Profesional apoyo comunicaciones</t>
  </si>
  <si>
    <t>Pautas comunicativas-Plan de medios</t>
  </si>
  <si>
    <t>Apoyo logístico para la consolidación de las actividades contenidas en el proyecto de Educación y Cultura Ambiental -  Transporte</t>
  </si>
  <si>
    <t>2.3.2.02.02.006</t>
  </si>
  <si>
    <t>2,3,1</t>
  </si>
  <si>
    <t>CÓDIGO DANE</t>
  </si>
  <si>
    <t>Profesional apoyo contable, financiero y comercial</t>
  </si>
  <si>
    <t>Profesional apoyo ambiental DTN y DTO</t>
  </si>
  <si>
    <t>Profesional apoyo ambiental DTS y DTC</t>
  </si>
  <si>
    <t>Profesional Fortalecimiento Imagen y Marketing Empresas NV</t>
  </si>
  <si>
    <t>mes</t>
  </si>
  <si>
    <t>COSTO UNITARIO</t>
  </si>
  <si>
    <t xml:space="preserve">Reconocimiento empresas de negocios verdes innovadoras </t>
  </si>
  <si>
    <t>47811
32153</t>
  </si>
  <si>
    <t>Apoyo a empresarios en participación de ferias y eventos nacionales y regionales</t>
  </si>
  <si>
    <t>Profesional apoyo turismo sostenible</t>
  </si>
  <si>
    <t xml:space="preserve">Profesional apoyo flora silvestre </t>
  </si>
  <si>
    <t>Profesional negocios verdes</t>
  </si>
  <si>
    <t>Apoyo logístico para la consolidación de las actividades contenidas en el proyecto Negocios verdes - Refrigerios y Almuerzos</t>
  </si>
  <si>
    <t>Apoyo logístico para la consolidación de las actividades contenidas en el proyecto Negocios verdes - Transporte</t>
  </si>
  <si>
    <t>2.3.2.02.02.005</t>
  </si>
  <si>
    <t>64221
64222
64223
64224</t>
  </si>
  <si>
    <t>Actividad Apoyo a la Gestión, Operación, Administración y Promoción del Proyecto</t>
  </si>
  <si>
    <t>Profesional apoyo seguimiento inversiones sectores productivos</t>
  </si>
  <si>
    <t xml:space="preserve">Segumiento componente ambiental </t>
  </si>
  <si>
    <t>MES/PERSONA</t>
  </si>
  <si>
    <t>2.3.2.02.02.009</t>
  </si>
  <si>
    <t>Material Vegetal para sectores productivos y alianzas productivos</t>
  </si>
  <si>
    <t>2.3.2.01.01.005.01.02.06</t>
  </si>
  <si>
    <t>0196104, 196106</t>
  </si>
  <si>
    <t>Puntos ecologicos</t>
  </si>
  <si>
    <t>Silvopastoril</t>
  </si>
  <si>
    <t>Construcción Biodigestores</t>
  </si>
  <si>
    <t>2.3.2.01.01.001.03.19</t>
  </si>
  <si>
    <t>Profesional de asistencia técnica apicultura</t>
  </si>
  <si>
    <t xml:space="preserve">
2.3.2.02.02.008</t>
  </si>
  <si>
    <t>Profesional apoyo estrategia opita de corazon</t>
  </si>
  <si>
    <t>64221, 64222, 64223, 64224</t>
  </si>
  <si>
    <t>2.3.1</t>
  </si>
  <si>
    <t>No Actividad</t>
  </si>
  <si>
    <t>Asesor Cambio Climatico</t>
  </si>
  <si>
    <t>mes/persona</t>
  </si>
  <si>
    <t>Construcción de hornillas ecoeficientes</t>
  </si>
  <si>
    <t>Interventoria Hornillas</t>
  </si>
  <si>
    <t>Proyecto hornillas - conv Gobernación</t>
  </si>
  <si>
    <t>2.3.2.01.01.003.01.04</t>
  </si>
  <si>
    <t>Unidad</t>
  </si>
  <si>
    <t>Segumiento componente ambiental hornillas</t>
  </si>
  <si>
    <t>No Indicador</t>
  </si>
  <si>
    <t>Actividad REDUCCIÓN DEL RIESGO DE DESASTRES - Pasivos exigibles vigencias expiradas</t>
  </si>
  <si>
    <t>Profesional 1 - Apoyo para la gestion de registro y apoyo a RNSC</t>
  </si>
  <si>
    <t>Profesional SIG</t>
  </si>
  <si>
    <t>2.3.2.02.01.000
2.3.2.02.01.002
2.3.2.02.01.003
2.3.2.02.01.004
2.3.2.01.01.003.04.06</t>
  </si>
  <si>
    <t>01121,01260,23996,27320,34231,34240,34632,34659,34661,34662,36320,36490,37450,42921,42942,42944,42946,42999,43220,46212,2354001,3417099,3417099,3899310,4653101,4733004,2823127,31700,4219096</t>
  </si>
  <si>
    <t>Aislamiento de zonas de conservación</t>
  </si>
  <si>
    <t>Pozos Sépticos</t>
  </si>
  <si>
    <t>Interventoria Pozos sépticos</t>
  </si>
  <si>
    <t>Apoyo a Sistemas Pilotos de Reconverión Productiva - KFW</t>
  </si>
  <si>
    <t>Apoyo a Sistemas Pilotos de Reconverión Productiva en CTAA</t>
  </si>
  <si>
    <t>Profesional Herpetologia - Monitoreo participativo en Áreas Estratégicas</t>
  </si>
  <si>
    <t>Profesional Ornitologia - Monitoreo participativo en Áreas Estratégicas</t>
  </si>
  <si>
    <t>Consultoría Consulta Previa DRMI Cerro Banderas Ojo Blanco (Consulta)</t>
  </si>
  <si>
    <t>Consultoría Plan de Manejo Ambiental del DRMI La Tatacoa</t>
  </si>
  <si>
    <t>Interventoría PMA DRMI La Tatacoa</t>
  </si>
  <si>
    <t>Plan de Ordenamiento Territorial y Turístico del DRMI La Tatacoa</t>
  </si>
  <si>
    <t>Interventoría Plan Ordenamiento DRMI La Tatacoa</t>
  </si>
  <si>
    <t>Convenio</t>
  </si>
  <si>
    <t>Profesional de Apoyo para atención y control de invasoras</t>
  </si>
  <si>
    <t>Profesional PNR Páramo de las Oseras</t>
  </si>
  <si>
    <t>Profesional DRMI La Tatacoa</t>
  </si>
  <si>
    <t>Profesional PNR Cerro Páramo Miraflores</t>
  </si>
  <si>
    <t>Profesional PNR CBGP</t>
  </si>
  <si>
    <t>Profesional DRMI Peñas Blancas</t>
  </si>
  <si>
    <t>Profesional PNR El Dorado - PNR Serranía de Minas</t>
  </si>
  <si>
    <t>Profesional DRMI Serranía de Minas</t>
  </si>
  <si>
    <t>Profesional DRMI Cerro Banderas Ojo Blanco</t>
  </si>
  <si>
    <t>Profesional PNR Siberia Ceibas</t>
  </si>
  <si>
    <t>Consultoría Equipo Apoyo Técnico AP</t>
  </si>
  <si>
    <t>Profesional Apoyo SIDAP</t>
  </si>
  <si>
    <t>Profesional Seguimiento Sist.- Productivos</t>
  </si>
  <si>
    <t>Material vegetal Reforestacion y/o Sistemas Productivos</t>
  </si>
  <si>
    <t>Logística Celebración Fechas Ambientales</t>
  </si>
  <si>
    <t>Replanteo y alinderación de área protegida</t>
  </si>
  <si>
    <t>Profesional bosque seco tropical</t>
  </si>
  <si>
    <t>Profesional Implementacion de PMA Humedales</t>
  </si>
  <si>
    <t>Convenio Limpieza Humedal - Guapotón</t>
  </si>
  <si>
    <t>Profesional 1 Implementacion de Plan de conservacion de especies amenazadas Fauna</t>
  </si>
  <si>
    <t>Profesional 2 Implementacion de Plan de conservacion de especies amenazadas fauna</t>
  </si>
  <si>
    <t>Profesional 3 Implementacion de Plan de conservacion de especies amenazadas flora</t>
  </si>
  <si>
    <t>Profesional Medición Indicadores de Biodiversidad</t>
  </si>
  <si>
    <t>Apoyo grupos de Monitoreo - Curso Primeros Auxilios</t>
  </si>
  <si>
    <t>Logistica intercambios y fortalecimiento de redes de monitoreo y conservacion</t>
  </si>
  <si>
    <t>Servicio de Refrigerios y Almuerzos</t>
  </si>
  <si>
    <t>Servicio de Transporte</t>
  </si>
  <si>
    <t>Actividad Gastos de Personal</t>
  </si>
  <si>
    <t>Actividad Gastos de personal</t>
  </si>
  <si>
    <t xml:space="preserve">Actividad Gastos de Personal </t>
  </si>
  <si>
    <t>COSTO UNNITARIO</t>
  </si>
  <si>
    <t>PLAN OPERATIVO ANUAL DE INVERSIONES</t>
  </si>
  <si>
    <t>COSTO UNITARIIO</t>
  </si>
  <si>
    <t>Apoyo Control Interno</t>
  </si>
  <si>
    <t xml:space="preserve">enero </t>
  </si>
  <si>
    <t>Profesional de Apoyo autoridad ambiental-indicadores</t>
  </si>
  <si>
    <t>Jesus Octavio Vargas</t>
  </si>
  <si>
    <t>Apoyo SIG</t>
  </si>
  <si>
    <t>Elisa Sandoval</t>
  </si>
  <si>
    <t>Apoyo Sistema Integrado de Gestión - MIPG</t>
  </si>
  <si>
    <t>Maritza Hernandez</t>
  </si>
  <si>
    <t>enero</t>
  </si>
  <si>
    <t>Apoyo proyectos SGR</t>
  </si>
  <si>
    <t>Catalina Villarreal</t>
  </si>
  <si>
    <t>Febrero-Noviembre</t>
  </si>
  <si>
    <t>Apoyo seguimiento financiero Plan de Acción Institucional</t>
  </si>
  <si>
    <t>Leidy Montes</t>
  </si>
  <si>
    <t>Apoyo gestión de proyectos</t>
  </si>
  <si>
    <t>Marisol Cuenca</t>
  </si>
  <si>
    <t>Apoyo formulación y gestión de proyectos</t>
  </si>
  <si>
    <t>Apoyo informes y gestión dirección</t>
  </si>
  <si>
    <t>Indira Burbano</t>
  </si>
  <si>
    <t>Apoyo inventario infracciones, licencias y permisos</t>
  </si>
  <si>
    <t xml:space="preserve">Andrés </t>
  </si>
  <si>
    <t>Control y seguimiento automatizado de la Gestión- Renovación suscripción anual  - PENSEMOS</t>
  </si>
  <si>
    <t>septiembre</t>
  </si>
  <si>
    <t>unidad</t>
  </si>
  <si>
    <t>Apoyo administrativo / revisión secop</t>
  </si>
  <si>
    <t>Paula</t>
  </si>
  <si>
    <t>Curso formación de nuevos auditores internos ISO 9001 e ISO 14001</t>
  </si>
  <si>
    <t>agosto</t>
  </si>
  <si>
    <t>curso por auditor</t>
  </si>
  <si>
    <t>Auditoría de seguimiento a ISO</t>
  </si>
  <si>
    <t>octubre</t>
  </si>
  <si>
    <t>Apoyo atención al ciudadano</t>
  </si>
  <si>
    <t>Contrato Outsourcing sistemas LP</t>
  </si>
  <si>
    <t>2.3.2.01.01.003.03.02</t>
  </si>
  <si>
    <t>Repuestos equipos de cómputo</t>
  </si>
  <si>
    <t>febrero</t>
  </si>
  <si>
    <t>Actualización Arc GIS</t>
  </si>
  <si>
    <t>2.3.2.01.01.005.02.03.01.01</t>
  </si>
  <si>
    <t>84342</t>
  </si>
  <si>
    <t>junio</t>
  </si>
  <si>
    <t>Servicio de Internet y datos</t>
  </si>
  <si>
    <t>julio</t>
  </si>
  <si>
    <t>Licencia ORACLE</t>
  </si>
  <si>
    <t>marzo</t>
  </si>
  <si>
    <t>Servicio de Nube Privada (Hosting)</t>
  </si>
  <si>
    <t>Licencias Google</t>
  </si>
  <si>
    <t>Octubre</t>
  </si>
  <si>
    <t>83143-84341</t>
  </si>
  <si>
    <t>Actualización de tablas de retención documental</t>
  </si>
  <si>
    <t>Apoyo Gestión documental DT</t>
  </si>
  <si>
    <t>N/A</t>
  </si>
  <si>
    <t>Apoyo Gestión documental</t>
  </si>
  <si>
    <t>Pasante Ing civil</t>
  </si>
  <si>
    <t>Miguel felipe Villarreal</t>
  </si>
  <si>
    <t>Apoyo en Ingenieria Civil</t>
  </si>
  <si>
    <t>Valores ok 20/12/2022</t>
  </si>
  <si>
    <t>Verificar</t>
  </si>
  <si>
    <t>Valores ok</t>
  </si>
  <si>
    <t>Valores no definidos 20-12-2022</t>
  </si>
  <si>
    <t>VALORES ACTUALIZADOS 20-12-2022</t>
  </si>
  <si>
    <t>Actividad gastos de personal</t>
  </si>
  <si>
    <t>Apoyo logistico SENDICAM-Neiva</t>
  </si>
  <si>
    <t xml:space="preserve">Apoyo  herramientas pedagogicas y lúdicas SENDICAM </t>
  </si>
  <si>
    <t>Apoyo educación ambiental- artistica -muralista</t>
  </si>
  <si>
    <t>2.3.2.02.01.003</t>
  </si>
  <si>
    <t>AmobLamineto Garzón</t>
  </si>
  <si>
    <t xml:space="preserve">Convenio Comunidad Tatacoa </t>
  </si>
  <si>
    <t>Glob</t>
  </si>
  <si>
    <t>Reforestacion 10 Has</t>
  </si>
  <si>
    <t>Interrventoria Reforestación</t>
  </si>
  <si>
    <t xml:space="preserve">Material vegetal </t>
  </si>
  <si>
    <t>0196104</t>
  </si>
  <si>
    <t>Apoyo logístico para la consolidación de las actividades contenidas en el proyecto Cuencca Hidrográficas - Transporte</t>
  </si>
  <si>
    <t>Apoyo logístico para la consolidación de las actividades contenidas en el proyecto Cuencas Hidrográficas - Almuerzos y Refrigerios</t>
  </si>
  <si>
    <t>Técnico para levantamiento de predios para reforestación</t>
  </si>
  <si>
    <t>Mtto reforestación 60 Hectáreas</t>
  </si>
  <si>
    <t>Interventoria</t>
  </si>
  <si>
    <t>2.3.2.01.01.001.03.19 2.3.2.02.02.009</t>
  </si>
  <si>
    <t>Formulador de Proyectos</t>
  </si>
  <si>
    <t>Aislamento de 50.000 metros lineales</t>
  </si>
  <si>
    <t>M.L.</t>
  </si>
  <si>
    <t>Técnico para levantamiento de predios para aislamientos</t>
  </si>
  <si>
    <t>Convenio Universidad Análisis datos Monitoreo</t>
  </si>
  <si>
    <t>Mtto aislamientos vigencias anteriores</t>
  </si>
  <si>
    <t>Convenios Mpios Adquisición de Predios</t>
  </si>
  <si>
    <t>2.3.4.02.02</t>
  </si>
  <si>
    <t>72122</t>
  </si>
  <si>
    <t>PLAN DE ORDENACIÓN DE LA CUENCA DEL RÍO YAGUARA</t>
  </si>
  <si>
    <t>Interventoria formulación POMCA Yaguará</t>
  </si>
  <si>
    <t>Apoyo técnico a Supervisión, Reemplazo Ingeniera Gina Gallo</t>
  </si>
  <si>
    <t>Mes/Hombre</t>
  </si>
  <si>
    <t>PROYECTO CEIBAS</t>
  </si>
  <si>
    <t>2599 4290
7490</t>
  </si>
  <si>
    <t>Estación</t>
  </si>
  <si>
    <t>Muestreo</t>
  </si>
  <si>
    <t>Caracterización de Calidad de agua atravéz de monitoreos en puntos estratégicos de la Microcuenca Quebrada Garzón (Incluye caracterización hidrobiológica)</t>
  </si>
  <si>
    <t>Caracterización de Calidad de agua atravéz de monitoreos en puntos estratégicos de la Cuenca Río Guarapas (Incluye caracterización hidrobiológica)</t>
  </si>
  <si>
    <t xml:space="preserve">Construcción SMTA Microcuenca Barbillas </t>
  </si>
  <si>
    <t>2599 4290</t>
  </si>
  <si>
    <t>Sistemas agroalimentarios</t>
  </si>
  <si>
    <t>Apoyo técnico a Supervisión, Ingeniero Dairo Castro</t>
  </si>
  <si>
    <t>Equipo para cada POMCA Y PMAM</t>
  </si>
  <si>
    <t>Apoyo técnico a Supervisión Wilman Rivera</t>
  </si>
  <si>
    <t>Apoyo Técnico capacitación sobre uso de obras</t>
  </si>
  <si>
    <t>Profesionales SMTA</t>
  </si>
  <si>
    <t>Actividad Transferencia FIA- PDA</t>
  </si>
  <si>
    <t>2.3.2.01.01.001.03.16</t>
  </si>
  <si>
    <t>gobal</t>
  </si>
  <si>
    <t>INDICADOR/ACTIVIDAD</t>
  </si>
  <si>
    <t>PRESUPUESTO DE INVERSIÓN 2023</t>
  </si>
  <si>
    <t>Profesional seguimiento PGIRs, DGA, Fuentes Moviles, Emisiones SRCA</t>
  </si>
  <si>
    <t>83990</t>
  </si>
  <si>
    <t>Profesional seguimiento Planes Ambientales DTN</t>
  </si>
  <si>
    <t>Profesional seguimiento Planes Ambientales DTS</t>
  </si>
  <si>
    <t>Profesional seguimiento Respel y RCD 1</t>
  </si>
  <si>
    <t>Profesional seguimiento Respel y RCD 2</t>
  </si>
  <si>
    <t>Forestales</t>
  </si>
  <si>
    <t>Profesional forestal DTN 1</t>
  </si>
  <si>
    <t>Técnico forestal DTN 1</t>
  </si>
  <si>
    <t>Técnico forestal DTN 2</t>
  </si>
  <si>
    <t>Profesional forestal DTC 1</t>
  </si>
  <si>
    <t>Profesional forestal DTC 2</t>
  </si>
  <si>
    <t xml:space="preserve">2.3.2.02.02.008 </t>
  </si>
  <si>
    <t>Profesional Seguimiento RH - DTC 3</t>
  </si>
  <si>
    <t>Profesional forestal DTO 1</t>
  </si>
  <si>
    <t>Profesional forestal DTO 2</t>
  </si>
  <si>
    <t>Profesional RECAM - DTO 2</t>
  </si>
  <si>
    <t>Profesional forestal DTS 1</t>
  </si>
  <si>
    <t>Profesional forestal DTS 2</t>
  </si>
  <si>
    <t>Profesional forestal DTS 3</t>
  </si>
  <si>
    <t>Profesional Seguimiento RH Subterráneas - SRCA - Geólogo 1</t>
  </si>
  <si>
    <t>Profesional forestal SRCA - Proyectos Alto Impacto</t>
  </si>
  <si>
    <t>Técnico forestal SRCA</t>
  </si>
  <si>
    <t>Profesional Recurso Hidrico DTC</t>
  </si>
  <si>
    <t>Porfesional Seguimiento RH - DTN 4</t>
  </si>
  <si>
    <t>Profesional Recurso Hidrico DTS</t>
  </si>
  <si>
    <t>Licencias</t>
  </si>
  <si>
    <t xml:space="preserve">Profesional Geólogo Seguimiento Licencias, Mineria- SRCA </t>
  </si>
  <si>
    <t>Profesional Ambiental</t>
  </si>
  <si>
    <t>Profesional Forestal</t>
  </si>
  <si>
    <t>Profesional Social</t>
  </si>
  <si>
    <t>Profesional de Seguimiento RCD, Emisiones y Vertimiento - DTN</t>
  </si>
  <si>
    <t>Pasantes (Geologia,Civil, Ambiental,Forestal)</t>
  </si>
  <si>
    <t>Profesional Vertimientos y emisiones DTN</t>
  </si>
  <si>
    <t>Abogados - Judicantes de cobro por seguimiento ambiental</t>
  </si>
  <si>
    <t xml:space="preserve">Abogado DTN </t>
  </si>
  <si>
    <t>Judicante DTN</t>
  </si>
  <si>
    <t>Judicante DTC</t>
  </si>
  <si>
    <t>Judicante DTO</t>
  </si>
  <si>
    <t>Judicante DTS</t>
  </si>
  <si>
    <t>Abogado(a) de apoyo Esp. SRCA 1</t>
  </si>
  <si>
    <t>Abogado(a) de apoyo SRCA 1</t>
  </si>
  <si>
    <t>Apoyo técnico seguimiento documental SIG permisos, concesiones y licencias SPOT</t>
  </si>
  <si>
    <t>Pasante Ambiental seguimiento permisos DTN</t>
  </si>
  <si>
    <t>Evaluación y Seguimiento concesión CAV - ANLA</t>
  </si>
  <si>
    <t xml:space="preserve">Profesional forestal DTN </t>
  </si>
  <si>
    <t xml:space="preserve">Técnico forestal DTN </t>
  </si>
  <si>
    <t>Profesional forestal DTC1</t>
  </si>
  <si>
    <t>Tecnólogo FORESTAL SRCA</t>
  </si>
  <si>
    <t>GEOLOGA, EVALUACIÓN LICENCIAS - SRCA Y APOYO CONTRAVENCIONES MINERAS DTs Y GESTION DEL RIESGO</t>
  </si>
  <si>
    <t>GEOLOGO, EVALUACIÓN Y SEGUIMIENTO ( RH SUBTERRÁNEAS)-  Y EVALUACION LICENCIAS SRCA Y GESTION DEL RIESGO</t>
  </si>
  <si>
    <t>GEOLOGO, EVALUACIÓN Y SEGUIMIENTO, RH SUBTERRÁNEAS - SRCA Y GESTION DEL RIESGO</t>
  </si>
  <si>
    <t>GEOLOGA,  GESTION DEL RIESGO - APOYO CONTRAVENCIONES MINERAS DTs Y EVALUACION SEGUIMIETO RH SUBTERRANEO</t>
  </si>
  <si>
    <t>GEÓLOGO - GESTION DEL RIESGO  - LICENCIAS AMBIENTALES Y RH SUBTERRANEO SRCA</t>
  </si>
  <si>
    <t>PROFESIONAL AMBIENTAL, EVALUACIÓN LICENCIAS - SRCA Y APOYO CONTRAVENCIONES MINERAS DTs</t>
  </si>
  <si>
    <t>PROFESIONAL AMBIENTAL, EVALUACIÓN Y SEGUIMIENTO, RH SUBTERRÁNEAS - SRCA</t>
  </si>
  <si>
    <t>Profesional Evaluación y Seguimiento Recurso Hidrico DTN 1</t>
  </si>
  <si>
    <t>Profesional Evaluación y Seguimiento Recurso Hidrico DTN 2</t>
  </si>
  <si>
    <t>Profesional Seguimiento RH Subterráneas - SRCA - Geólogo 2</t>
  </si>
  <si>
    <t>Abogado(a) de apoyo esp a DTN 1</t>
  </si>
  <si>
    <t>82120</t>
  </si>
  <si>
    <t>Abogado(a) de apoyo esp a DTN 2</t>
  </si>
  <si>
    <t>Abogado(a) de apoyo esp a DTN 3</t>
  </si>
  <si>
    <t>Abogado(a) de apoyo esp a DTN 4</t>
  </si>
  <si>
    <t>Abogado(a) de apoyo esp a DTN 5</t>
  </si>
  <si>
    <t>Abogado(a) de apoyo a DTN 1</t>
  </si>
  <si>
    <t>Abogado(a) de apoyo Atención Ciudadano</t>
  </si>
  <si>
    <t xml:space="preserve">Abogado(a) de apoyo esp a DTS </t>
  </si>
  <si>
    <t>Abogado(a) de apoyo a DTC 1</t>
  </si>
  <si>
    <t>Abogado(a) de apoyo a DTC 2</t>
  </si>
  <si>
    <t>ABOGADO(A) DE APOYO A DTS</t>
  </si>
  <si>
    <t xml:space="preserve">ABOGADO(A) DE APOYO A DTS </t>
  </si>
  <si>
    <t xml:space="preserve">ABOGADO(A) DE APOYO ESP A DTS </t>
  </si>
  <si>
    <t>Operario DTC 1</t>
  </si>
  <si>
    <t>68130</t>
  </si>
  <si>
    <t>Operario DTC 2</t>
  </si>
  <si>
    <t>Operario DTN 1</t>
  </si>
  <si>
    <t>Operario DTN 2</t>
  </si>
  <si>
    <t>Operario DTO 1</t>
  </si>
  <si>
    <t>Operario DTO 2</t>
  </si>
  <si>
    <t>Operario DTS 1</t>
  </si>
  <si>
    <t>Operario DTS 2</t>
  </si>
  <si>
    <t>Abogado(a) de apoyo a DTN 2</t>
  </si>
  <si>
    <t>Abogado(a) de apoyo a DTN 3</t>
  </si>
  <si>
    <t>Abogado(a) de apoyo a DTO 1</t>
  </si>
  <si>
    <t>Abogado(a) de apoyo a DTO 2</t>
  </si>
  <si>
    <t>Abogado(a) de apoyo a DTS 3</t>
  </si>
  <si>
    <t>Abogado(a) de apoyo a DTS 4</t>
  </si>
  <si>
    <t>Abogado(a) de apoyo a DTS 5</t>
  </si>
  <si>
    <t>Abogado(a) de apoyo a DTS 6</t>
  </si>
  <si>
    <t>Judicantes</t>
  </si>
  <si>
    <t>Judicante DTN 1</t>
  </si>
  <si>
    <t>Judicante DTN2</t>
  </si>
  <si>
    <t>Mantenimiento de equipos de medición fuentes moviles</t>
  </si>
  <si>
    <t>Insumos equipos fuentes moviles</t>
  </si>
  <si>
    <t>D</t>
  </si>
  <si>
    <t>Mantenimiento de equipos de medición</t>
  </si>
  <si>
    <t>Insumos</t>
  </si>
  <si>
    <t>Mapa de ruido y reformulacion de plan de descontamincaicón - Pitalito</t>
  </si>
  <si>
    <t>Viaticos funcionarios</t>
  </si>
  <si>
    <t>66019</t>
  </si>
  <si>
    <t xml:space="preserve">Gastos de Personal </t>
  </si>
  <si>
    <t>Personal</t>
  </si>
  <si>
    <t>Coordinador RECAM - SRCA</t>
  </si>
  <si>
    <t>Profesional RECAM - Fauna</t>
  </si>
  <si>
    <t>Profesional RECAM - DTC 1</t>
  </si>
  <si>
    <t>Profesional RECAM - DTC 2</t>
  </si>
  <si>
    <t>Profesional Seguimiento RH - DTC 1</t>
  </si>
  <si>
    <t>Profesional Seguimiento RH - DTC 2</t>
  </si>
  <si>
    <t>Apoyo técnico seguimiento documental - Sancionatorios DTC</t>
  </si>
  <si>
    <t>Profesional RECAM - DTN 1</t>
  </si>
  <si>
    <t>Profesional RECAM - DTN 2</t>
  </si>
  <si>
    <t>Tecnólogo RECAM - DTN 3</t>
  </si>
  <si>
    <t>Tecnólogo RECAM - DTN 4</t>
  </si>
  <si>
    <t>Porfesional Seguimiento RH - DTN 2</t>
  </si>
  <si>
    <t>Porfesional Seguimiento RH - DTN 3</t>
  </si>
  <si>
    <t>Técnico o tecnologo Seguimiento RH - DTN 1</t>
  </si>
  <si>
    <t>Profesional seguimiento RH</t>
  </si>
  <si>
    <t>Profesional de seguimiento</t>
  </si>
  <si>
    <t xml:space="preserve">Profesional planes ambientales </t>
  </si>
  <si>
    <t>Profesional RECAM - DTO 1</t>
  </si>
  <si>
    <t>Profesional FORESTAL - DTO 2</t>
  </si>
  <si>
    <t>Tecnólogo RECAM - DTS 1</t>
  </si>
  <si>
    <t>Profesional RECAM - DTS 2</t>
  </si>
  <si>
    <t>Profesional RECAM - DTS 3</t>
  </si>
  <si>
    <t>Profesional RECAM - DTS 4</t>
  </si>
  <si>
    <t>Profesional RECAM - DTS 5</t>
  </si>
  <si>
    <t>Suministro Combustible DTO</t>
  </si>
  <si>
    <t>2.1.2.02.01.003</t>
  </si>
  <si>
    <t>3331101, 3336001</t>
  </si>
  <si>
    <t>Suministro De Combustibles  DTC</t>
  </si>
  <si>
    <t>Suministro De Combustibles DTS</t>
  </si>
  <si>
    <t>Suministro De Combustibles Para SRCA y DTN</t>
  </si>
  <si>
    <t>Transporte Red De Control Ambiental</t>
  </si>
  <si>
    <t>Adición Transporte de servidores publicos</t>
  </si>
  <si>
    <t>Elementos para control y vigilancia de la RECAM</t>
  </si>
  <si>
    <t>Adecuación de CAV Flora Maderable</t>
  </si>
  <si>
    <t>Profesional seguimiento PIML - Gobernanza 1</t>
  </si>
  <si>
    <t>Profesional seguimiento PIML - Gobernanza 2</t>
  </si>
  <si>
    <t>Profesional seguimiento PIML - Gobernanza 3</t>
  </si>
  <si>
    <t>Profesional FORESTAL DTC</t>
  </si>
  <si>
    <t>Técnico FORESTAL DTN</t>
  </si>
  <si>
    <t>Profesional FORESTAL DTN</t>
  </si>
  <si>
    <t>Técnico FORESTAL DTN 2</t>
  </si>
  <si>
    <t xml:space="preserve">Profesional FORESTAL DTO </t>
  </si>
  <si>
    <t>Profesional FORESTAL DTS 1</t>
  </si>
  <si>
    <t>Profesional FORESTAL DTS 2</t>
  </si>
  <si>
    <t>Profesional Forestal, Proyectos alto Impacto SRCA</t>
  </si>
  <si>
    <t>Adquisición Papel seguridad - SUNL</t>
  </si>
  <si>
    <t>Veterinario hogar de paso DTS</t>
  </si>
  <si>
    <t>83590</t>
  </si>
  <si>
    <t>Biologo y/o Veteriniario hogar de paso DTS</t>
  </si>
  <si>
    <t>Profesional - apoyo técnico a la operación y gestión del CAV-Hogares de Paso</t>
  </si>
  <si>
    <t>Biologo SRCA</t>
  </si>
  <si>
    <t>Veterinario hogar de paso Neiva 1</t>
  </si>
  <si>
    <t>Pasante Veterinaria DTC - Semestre 2</t>
  </si>
  <si>
    <t>Pasante Veterinaria DTO - Semestre 2</t>
  </si>
  <si>
    <t>Pasante Veterinaria DTS - Semestre 1</t>
  </si>
  <si>
    <t>Pasante Veterinaria DTS - Semestre 2</t>
  </si>
  <si>
    <t>2.3.2.02.01.002</t>
  </si>
  <si>
    <t>0231001, 0411901, 2122201, 0112201, 0119501, 0121201, 0121301, 0121302, 0121401, 0121501, 0121901, 0121904, 0122101, 0122901, 0123102, 0123201, 0123401, 0123502, 0125101, 0125402, 0125901, 0129006, 0131101, 0131201, 0131301, 0131601, 0131701, 0131801, 0131901, 0131902, 0131903, 0131911, 0131912, 0131913, 0131916, 0131917, 0131918, 0131922, 0132301, 0133001, 0134201, 0134301, 0134401, 0135101, 0135201, 0135601, 0135901, 0135902, 0142201, 0144501, 0146001, 0159201, 0170401, 0180201, 0232101, 0412403, 2111101, 2112101, 2116001, 2149905, 2211004, 2221101, 2314003, 2342001, 2355001, 2399105</t>
  </si>
  <si>
    <t>Concentrados, medicamentos y otros</t>
  </si>
  <si>
    <t>Limpieza y aseo CAV</t>
  </si>
  <si>
    <t>87290</t>
  </si>
  <si>
    <t>Recolección y Disposición Final RESPEL Hogares de paso y CAV.</t>
  </si>
  <si>
    <t>Mantenimiento y adecuación CAV</t>
  </si>
  <si>
    <t>Interventoría Adecuación CAV</t>
  </si>
  <si>
    <t>Campañas De Monitoreo - IDEAM</t>
  </si>
  <si>
    <t>Campañas</t>
  </si>
  <si>
    <t xml:space="preserve">Muestreos Y/O Contramuestreos </t>
  </si>
  <si>
    <t>Reglamentadas</t>
  </si>
  <si>
    <t>PROFESIONAL SEGUIMIENTO RH REGLAMENTADAS - SRCA</t>
  </si>
  <si>
    <t>Porfesional Seguimiento RH Reglamentadas - SRCA 2</t>
  </si>
  <si>
    <t>Porfesional Seguimiento RH Reglamentadas - SRCA 3</t>
  </si>
  <si>
    <t>Porfesional Seguimiento RH Reglamentadas - SRCA 5</t>
  </si>
  <si>
    <t>Profesional Seguimiento RH Reglamentadas - SRCA 6</t>
  </si>
  <si>
    <t>Porfesional Seguimiento RH Reclamaciones</t>
  </si>
  <si>
    <t>Profesional Seguimiento Reglamentadas y PUEAA</t>
  </si>
  <si>
    <t xml:space="preserve">PROFESIONAL SOCIAL -SEG. LICENCIAS -  SEGUIMIENTO Y RH </t>
  </si>
  <si>
    <t>Calidad</t>
  </si>
  <si>
    <t>Porfesional Seguimiento RH Calidad - SRCA 1</t>
  </si>
  <si>
    <t>Porfesional Seguimiento RH Calidad - SRCA 2</t>
  </si>
  <si>
    <t>Porfesional Seguimiento RH Calidad - SRCA 3</t>
  </si>
  <si>
    <t>Subterráneas</t>
  </si>
  <si>
    <t>Profesional Ambiental Evalu. y Segui. RH Subterráneas - SRCA</t>
  </si>
  <si>
    <t>GEÓLOGO - GESTION DEL RIESGO  - EVALUACION Y SEGUIMIENTO RH SUBTERRANEA-SRCA</t>
  </si>
  <si>
    <t>Profesional seguimiento documental concesiones supeficiales y subterráneas</t>
  </si>
  <si>
    <t>Piscicola</t>
  </si>
  <si>
    <t>Profesional Seguimiento Piscícola Betania y Reglamentadas</t>
  </si>
  <si>
    <t>Profesional Asesor RH Piscicola - SRCA</t>
  </si>
  <si>
    <t>Seguimientos DT´s</t>
  </si>
  <si>
    <t xml:space="preserve">Porfesional Seguimiento RH, Evaluación Obras DTN </t>
  </si>
  <si>
    <t>Profesional Seguimiento Planes y RH - DTN</t>
  </si>
  <si>
    <t>Tecnólogo Seguimiento RH - DTO 2</t>
  </si>
  <si>
    <t>Profesional Seguimiento RH - DTO 1</t>
  </si>
  <si>
    <t>Profesional Seguimiento RH - DTO 2</t>
  </si>
  <si>
    <t>Tecnologo Seguimiento RH - DTC 1</t>
  </si>
  <si>
    <t>Profesional Seguimiento RH - DTC 4</t>
  </si>
  <si>
    <t>Porfesional Seguimiento RH - DTS 1</t>
  </si>
  <si>
    <t>Profesional Seguimiento Planes y RH - DTS</t>
  </si>
  <si>
    <t>Porfesional Seguimiento RH - DTS 2</t>
  </si>
  <si>
    <t>Calibración de equipos de medición de caudal</t>
  </si>
  <si>
    <t xml:space="preserve">Evaluación y Seguimiento concesión CAV – ANLA </t>
  </si>
  <si>
    <t xml:space="preserve">Realizar mantenimiento a las Estaciones hidrometeorológicas de la CAM. </t>
  </si>
  <si>
    <t xml:space="preserve">Mantenimiento preventivo y o correctivo a estaciones y Ceibas </t>
  </si>
  <si>
    <t>Oferta - Hidrologo</t>
  </si>
  <si>
    <t>Demanda</t>
  </si>
  <si>
    <t>Hidrobiológico</t>
  </si>
  <si>
    <t xml:space="preserve">Calidad </t>
  </si>
  <si>
    <t>Riesgo</t>
  </si>
  <si>
    <t>SIG</t>
  </si>
  <si>
    <t>Técnico Administrativo DTN Permisos</t>
  </si>
  <si>
    <t>Técnico Administrativo DTN Infracciones</t>
  </si>
  <si>
    <t>Profesional Administrativo DTO</t>
  </si>
  <si>
    <t>Técnico Administrativo DTO</t>
  </si>
  <si>
    <t>Técnico Administrativo Seguimiento Infracciones DTS</t>
  </si>
  <si>
    <t>Profesional Administrativo DTS</t>
  </si>
  <si>
    <t>Técnico Administrativo DTS</t>
  </si>
  <si>
    <t>Técnico Administrativo Seguimiento Dctal DTS</t>
  </si>
  <si>
    <t xml:space="preserve">Profesional Administrativo SRCA </t>
  </si>
  <si>
    <t>Apoyo Técnco seguimiento documental SIG Permisos, Concesiones y Licencias SPOT</t>
  </si>
  <si>
    <t>Profesional Administrativo SIAC</t>
  </si>
  <si>
    <t>Profesional Administrativo SRCA</t>
  </si>
  <si>
    <t>Estudios AVR</t>
  </si>
  <si>
    <t>AVR</t>
  </si>
  <si>
    <t>GEÓLOGO - GESTION DEL RIESGO  - SRCA</t>
  </si>
  <si>
    <t>GEÓLOGA - GESTION DEL RIESGO  - SRCA</t>
  </si>
  <si>
    <t>ING CIVIL - GESTION DEL RIESGO  - SRCA</t>
  </si>
  <si>
    <t>Profesional Ambiental - apoyo gestión del riesgo por incendios forestales</t>
  </si>
  <si>
    <t xml:space="preserve">Mantenimiento estaciones hidrometeorologicas  </t>
  </si>
  <si>
    <t>Kit apoyo gestión de riesgo</t>
  </si>
  <si>
    <t>KIT</t>
  </si>
  <si>
    <t xml:space="preserve">Apoyo Logístico (Transporte de Pasajeros) </t>
  </si>
  <si>
    <t>Obra gestión de riesgo</t>
  </si>
  <si>
    <t>53290</t>
  </si>
  <si>
    <t>Obra</t>
  </si>
  <si>
    <t>001</t>
  </si>
  <si>
    <t>002</t>
  </si>
  <si>
    <t>003</t>
  </si>
  <si>
    <t>004</t>
  </si>
  <si>
    <t>005</t>
  </si>
  <si>
    <t>006</t>
  </si>
  <si>
    <t>007</t>
  </si>
  <si>
    <t>008</t>
  </si>
  <si>
    <t>009</t>
  </si>
  <si>
    <t>010</t>
  </si>
  <si>
    <t>040</t>
  </si>
  <si>
    <t>011</t>
  </si>
  <si>
    <t>044</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</si>
  <si>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</si>
  <si>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</si>
  <si>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</si>
  <si>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</si>
  <si>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</si>
  <si>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</si>
  <si>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</si>
  <si>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</si>
  <si>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</si>
  <si>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</si>
  <si>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</si>
  <si>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</si>
  <si>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</si>
  <si>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</si>
  <si>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</si>
  <si>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</si>
  <si>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</si>
  <si>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</si>
  <si>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</si>
  <si>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</si>
  <si>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</si>
  <si>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</si>
  <si>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</si>
  <si>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</si>
  <si>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</si>
  <si>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</si>
  <si>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</si>
  <si>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</si>
  <si>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041</t>
  </si>
  <si>
    <t>042</t>
  </si>
  <si>
    <t>043</t>
  </si>
  <si>
    <t>045</t>
  </si>
  <si>
    <t>046</t>
  </si>
  <si>
    <t>047</t>
  </si>
  <si>
    <t>048</t>
  </si>
  <si>
    <t>049</t>
  </si>
  <si>
    <t>050</t>
  </si>
  <si>
    <t>051</t>
  </si>
  <si>
    <t>052</t>
  </si>
  <si>
    <t>053</t>
  </si>
  <si>
    <t>054</t>
  </si>
  <si>
    <t>055</t>
  </si>
  <si>
    <t>056</t>
  </si>
  <si>
    <t>057</t>
  </si>
  <si>
    <t>058</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</si>
  <si>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</si>
  <si>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</si>
  <si>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</si>
  <si>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</si>
  <si>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</si>
  <si>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</si>
  <si>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</si>
  <si>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</si>
  <si>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</si>
  <si>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</si>
  <si>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</si>
  <si>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</si>
  <si>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</si>
  <si>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</si>
  <si>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</si>
  <si>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</si>
  <si>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</si>
  <si>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</si>
  <si>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</si>
  <si>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</si>
  <si>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</si>
  <si>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</si>
  <si>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</si>
  <si>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</si>
  <si>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</si>
  <si>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</si>
  <si>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</si>
  <si>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</si>
  <si>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</si>
  <si>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</si>
  <si>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</si>
  <si>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</si>
  <si>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</si>
  <si>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Arquietecto de apoyo OT</t>
  </si>
  <si>
    <t>Profesional de Apoyo Ordenamiento 1</t>
  </si>
  <si>
    <t>Profesional de Apoyo Ordenamiento 2</t>
  </si>
  <si>
    <t>Judicante de apoyo</t>
  </si>
  <si>
    <t>Adquisición de herramientas tecnológicas para apoyo a procesos de Ordenamiento Territorial</t>
  </si>
  <si>
    <t>Refrigerios y Almuerzos</t>
  </si>
  <si>
    <t>099</t>
  </si>
  <si>
    <t>100</t>
  </si>
  <si>
    <t>101</t>
  </si>
  <si>
    <t>102</t>
  </si>
  <si>
    <t>103</t>
  </si>
  <si>
    <t>Interventoría Hornillas - conv Gobernación</t>
  </si>
  <si>
    <t>2.3.2.01.01.004.01.01.02</t>
  </si>
  <si>
    <t>2.3.2.01.01.004.01.01.04</t>
  </si>
  <si>
    <t>2.3.2.02.02.010</t>
  </si>
  <si>
    <t>Geologa,  gestión del riesgo - apoyo contravenciones mineras dts y evaluacion seguimiento rh subterraneo</t>
  </si>
  <si>
    <t>Geólogo - gestión del riesgo  - licencias ambientales y rh subterráneo srca</t>
  </si>
  <si>
    <t>Profesional Geólogo 1</t>
  </si>
  <si>
    <t>Profesional Geólogo 2</t>
  </si>
  <si>
    <t>Hom/mes</t>
  </si>
  <si>
    <t>059</t>
  </si>
  <si>
    <t>060</t>
  </si>
  <si>
    <t>061</t>
  </si>
  <si>
    <t>062</t>
  </si>
  <si>
    <t>063</t>
  </si>
  <si>
    <t>064</t>
  </si>
  <si>
    <t>065</t>
  </si>
  <si>
    <t>Convenios Municipios</t>
  </si>
  <si>
    <t>Adquisición de sistemas operativos</t>
  </si>
  <si>
    <t>Proyecto Páramos Macizo</t>
  </si>
  <si>
    <t>CONVENIO GOBERNACIÓN</t>
  </si>
  <si>
    <t>Profesional para el desarrollo de la educación ambiental a través de la educación física.</t>
  </si>
  <si>
    <t>Fortalecimiento tecnológico de la red de monitoreo hidrometeoro lógico de la Cam</t>
  </si>
  <si>
    <t>Febrero-Diciembre</t>
  </si>
  <si>
    <t>Saldo</t>
  </si>
  <si>
    <t>Apoyo logístico para la consolidación de las actividades contenidas en el proyecto Educación y Cultura Ambiental - Refrigerios y Almuerzos</t>
  </si>
  <si>
    <t>Remodelación  mantenimiento técnico preventivo y correctivo y/o dotación estaciones de los Senderos</t>
  </si>
  <si>
    <t>Abogado Areas protegidas</t>
  </si>
  <si>
    <t>Adicion- profesional gobernanza</t>
  </si>
  <si>
    <t>Pasante Veterinaria - Hogar de paso Neiva</t>
  </si>
  <si>
    <t>CONCEPTO</t>
  </si>
  <si>
    <t xml:space="preserve">INDICADOR </t>
  </si>
  <si>
    <t>ACCIÓN</t>
  </si>
  <si>
    <t>RUBRO</t>
  </si>
  <si>
    <t xml:space="preserve">APORTE CONVENIO </t>
  </si>
  <si>
    <t>APORTE CAM</t>
  </si>
  <si>
    <t>Aumenta</t>
  </si>
  <si>
    <t>VALOR ADICION EXCDENTE CONVENIO No. 023-22 GOBERNACION DEL HUILA, SEGUN RESOLUCION CAM NO. 057-13-01-22</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</si>
  <si>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</si>
  <si>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 xml:space="preserve">Global </t>
  </si>
  <si>
    <t>G</t>
  </si>
  <si>
    <t>5. Proyecto SGR- Implementación del centro de ciencia SENDICAM.</t>
  </si>
  <si>
    <t>Adecuar la infraestructura: Construcción Sendero Interpretativo Pitalito</t>
  </si>
  <si>
    <t>Adecuar la infraestructura: Construcción Sendero Interpretativo Garzón</t>
  </si>
  <si>
    <t>Coordinador técnico, administrativo y financiero</t>
  </si>
  <si>
    <t>Elementos pedagógicos instalados en las estaciones de los senderos(Animales en fibra de vidrio como el oso de anteojos (Tremarctos ornatus)  y la danta de montaña (Tapirus pinchaque)el águila real de montaña (Spizaetus isidori), la nutria de río (Lontra longicaudis), puma (Puma concolor), mariposa anartia (Anartia amathea)</t>
  </si>
  <si>
    <t>Equipos y Software (Equipos de cómputo portátiles 15,Gafas de Realidad Virtual 15, Totem publicitario o monolito 4, Pantalla Gigante para proyección 2, Árbol parlante1)</t>
  </si>
  <si>
    <t>Publicación de 1 artículo científico en revista indexada</t>
  </si>
  <si>
    <t>Publicación de 1 libro resultado de investigación</t>
  </si>
  <si>
    <t>Investigadores</t>
  </si>
  <si>
    <t>116</t>
  </si>
  <si>
    <t>Proyecto hornillas - macizo</t>
  </si>
  <si>
    <t>Interventoria proyecto hornillas - macizo</t>
  </si>
  <si>
    <t>Profesional Evaluación y Seguimiento Recurso Hídrico DTN 3</t>
  </si>
  <si>
    <t>Pasantes Civil</t>
  </si>
  <si>
    <t>Pasantes Geologia</t>
  </si>
  <si>
    <t>Pasante Ing. Civil Obras Hidráulicas - Riesgo</t>
  </si>
  <si>
    <t xml:space="preserve"> cx</t>
  </si>
  <si>
    <t>Profesional Evaluación y Seguimiento Recurso Hidrico DTN 3</t>
  </si>
  <si>
    <t>Técnico Administrativo DTN Seguimiento documental</t>
  </si>
  <si>
    <t>117</t>
  </si>
  <si>
    <t>-</t>
  </si>
  <si>
    <t>PASANTE GEOLOGIA</t>
  </si>
  <si>
    <t>Nota: Financiera requirio 500.000 para ARL pasantes 24/02/2023</t>
  </si>
  <si>
    <t>Alix</t>
  </si>
  <si>
    <t>FUENTE SGR</t>
  </si>
  <si>
    <t>Personal de Apoyo administrativo con conocimiento en SGR</t>
  </si>
  <si>
    <t>Servicios de interventoría integral a la ejecución física, financiera, jurídica y administrativa del proyecto</t>
  </si>
  <si>
    <t>Apoyo implementación de proyectos  comunidades indígenas- Educación ambiental</t>
  </si>
  <si>
    <t>Planes ambientales indígenas</t>
  </si>
  <si>
    <t>Adicional CTO 400 Adecuaciones Locativas sede central y CAV Teruel</t>
  </si>
  <si>
    <t>Adicional CTO 365 Interventoría adecuaciones locativas sede central</t>
  </si>
  <si>
    <t>TALENTO HUMANO</t>
  </si>
  <si>
    <t>MATERIALES, INSUMOS Y EQUIPOS</t>
  </si>
  <si>
    <t>0196199</t>
  </si>
  <si>
    <t>GASTOS DE VIAJE</t>
  </si>
  <si>
    <t xml:space="preserve">SERVICIOS TECNOLOGICOS Y DE PRUEBA </t>
  </si>
  <si>
    <t>CAPACITACIONE SY EVENTOS</t>
  </si>
  <si>
    <t>PROTECCION DEL CONOCIMIENTO Y DIVULGACION</t>
  </si>
  <si>
    <t xml:space="preserve">2.3.2.02.02.008
</t>
  </si>
  <si>
    <t>CAPACITACIONES Y EVENTOS</t>
  </si>
  <si>
    <t>ADMINISTRATIVOS</t>
  </si>
  <si>
    <t>2.3.2.02.02.007</t>
  </si>
  <si>
    <t>Pasante Ing. Ambiental DTN</t>
  </si>
  <si>
    <t>Técnico Administrativo - Arhivo DTN</t>
  </si>
  <si>
    <t xml:space="preserve">2.3.2.02.01.003
</t>
  </si>
  <si>
    <t xml:space="preserve">2.3.2.02.02.006
</t>
  </si>
  <si>
    <t>2.3.2.02.01.001</t>
  </si>
  <si>
    <t>2.3.2.01.01.002</t>
  </si>
  <si>
    <t>2.3.2.01.01.004</t>
  </si>
  <si>
    <t>Proyecto Páramos Macizo - Hornillas ecoeficientes</t>
  </si>
  <si>
    <t>Proyecto Páramos Macizo - Restauración</t>
  </si>
  <si>
    <t>CONVENIO GOBERNACIÓN 14001</t>
  </si>
  <si>
    <t>Profesional Ictiología</t>
  </si>
  <si>
    <t>Profesional Invasoras Ícticas</t>
  </si>
  <si>
    <t>2.3.2.02..02.005</t>
  </si>
  <si>
    <t>Adición  Adecuaciones Cabaña Tatacoa cto 400</t>
  </si>
  <si>
    <t>Adición   Interventoría Cabaña Tatacoa cto 365</t>
  </si>
  <si>
    <t>Profesional RH - DTO</t>
  </si>
  <si>
    <t>Profesional 2 - Apoyo para la gestion de registro y apoyo a RNSC</t>
  </si>
  <si>
    <t xml:space="preserve">VALOR </t>
  </si>
  <si>
    <t>FUENTES ADICIÓN</t>
  </si>
  <si>
    <t xml:space="preserve">Ferretería Proyecto Páramos Macizo </t>
  </si>
  <si>
    <t>Material vegetal Proyecto Páramos Macizo</t>
  </si>
  <si>
    <t>2.3.2.02.01.000
2.3.2.02.01.002
2.3.2.02.01.003</t>
  </si>
  <si>
    <t>Interventoria Aislamiento de zonas de conservación(Restauración humedales -paramos macizo)</t>
  </si>
  <si>
    <t>Adición presupuestal marzo 2023</t>
  </si>
  <si>
    <t>SUMINISTRO DE INSUMOS PARA MONITOREO PARTICIPATIVO intsitu( Elementos monitoreo, compromisos holandeses)</t>
  </si>
  <si>
    <t>LICENCIAS</t>
  </si>
  <si>
    <t xml:space="preserve">PROFESIONAL SEGUIMIENTO RH - DTN </t>
  </si>
  <si>
    <t xml:space="preserve">PROFESIONAL EVALUACION Y SEGUIMIENTO VERTIMIENTOS, </t>
  </si>
  <si>
    <t>PROFESIONAL FORESTAL, AMBIENTAL O BIOLOGO (veda)</t>
  </si>
  <si>
    <t>Abogado(a) de apoyo SRCA 2</t>
  </si>
  <si>
    <t>JUDICANTE DTO</t>
  </si>
  <si>
    <t>JUDICANTE DTS</t>
  </si>
  <si>
    <t>Operario CITADOR - DTC 1</t>
  </si>
  <si>
    <t>Operario CITADOR - DTS 2</t>
  </si>
  <si>
    <t>PROFESIONAL SEGUIMIENTO PGIRS Y RCD DTS</t>
  </si>
  <si>
    <t xml:space="preserve">Veterinario hogar de paso Neiva </t>
  </si>
  <si>
    <t>Alimentos perecederos</t>
  </si>
  <si>
    <t>Alimentos perecederos CAV y Hogares de paso FAUNA</t>
  </si>
  <si>
    <t>EXAMENES Y CIRUGIAS FAUNA</t>
  </si>
  <si>
    <t>FUENTE ADICIÓN</t>
  </si>
  <si>
    <t>Porfesional Seguimiento RH Calidad - SRCA 4</t>
  </si>
  <si>
    <t>Administrativo DTC Permisos e infracciones</t>
  </si>
  <si>
    <t xml:space="preserve">Técnico Administrativo DTC </t>
  </si>
  <si>
    <t>FORTALECIMIENTO CUERPO DE BOMBEROS</t>
  </si>
  <si>
    <t>Yenifer Vargas</t>
  </si>
  <si>
    <t>Adicional por dos (2) meses - servicio de Outsourcing (Ene y Feb 2024)</t>
  </si>
  <si>
    <t>Adicional 2 meses Internet (Ene y Feb 2024)</t>
  </si>
  <si>
    <t>Software de Gestión documental - INTEGRASOFT</t>
  </si>
  <si>
    <t>Profesional Seguimiento RH - DTO 3</t>
  </si>
  <si>
    <t>Porfesional Seguimiento RH - DTS 3</t>
  </si>
  <si>
    <t>Porfesional Seguimiento RH - DTS 4</t>
  </si>
  <si>
    <t>Apoyo a Sistemas Pilotos de Reconversión Productiva(Ejecucion PMA SPS-) SISTEMAS PRODUCCIÓN SOSTENIBLE</t>
  </si>
  <si>
    <t xml:space="preserve">Interventoria Aislamiento de zonas de conservación </t>
  </si>
  <si>
    <t xml:space="preserve">VALOR  </t>
  </si>
  <si>
    <t>VR TOTAL PPTO 2023</t>
  </si>
  <si>
    <t>PPTO TOTAL 2023</t>
  </si>
  <si>
    <t xml:space="preserve"> PPTO INICAL </t>
  </si>
  <si>
    <t>PPTO ADICIÓN</t>
  </si>
  <si>
    <t>TOTAL FUENTES 2023</t>
  </si>
  <si>
    <t>abril</t>
  </si>
  <si>
    <t>APOYO TÉCNICO DRONES</t>
  </si>
  <si>
    <t>Hornos Paneleros -CRIHU</t>
  </si>
  <si>
    <t xml:space="preserve">Proyecto  Educación Ambiental convenio CAM - Gobernación </t>
  </si>
  <si>
    <t>Profesional de asistencia técnica apicultura centro -occidente</t>
  </si>
  <si>
    <t xml:space="preserve">Apoyo a Sistemas Pilotos de Reconverión Productiva - SIRAP MACIZO </t>
  </si>
  <si>
    <t>Proyecto Páramos Macizo - Interventoria Hornillas ecoeficientes</t>
  </si>
  <si>
    <t>Proyecto Páramos Macizo - Interventoria Restauración</t>
  </si>
  <si>
    <t>Proyecto Páramos Macizo - Asistencia Técnica Restauración</t>
  </si>
  <si>
    <t>Proyecto Páramos Macizo - Asistencia Técnica Sist. Product.</t>
  </si>
  <si>
    <t>Ferretería Proyecto Páramos Macizo</t>
  </si>
  <si>
    <t>Cofinanciación investigación aplicada a humedales con PMA - USCO</t>
  </si>
  <si>
    <t>Cofinanciación investigación aplicada a humedales con PMA - UniMinuto</t>
  </si>
  <si>
    <t>Técnico Acompañamiento Apicultura S-O</t>
  </si>
  <si>
    <t>Técnico Acompañamiento Apicultura N-C</t>
  </si>
  <si>
    <t xml:space="preserve">ADICIONAL No 1 orden de compra 94290 Servicio de Internet y Datos </t>
  </si>
  <si>
    <t>Profesional Seguimiento DTN</t>
  </si>
  <si>
    <t>83991</t>
  </si>
  <si>
    <t>Profesional de apoyo Atención Ciudadano</t>
  </si>
  <si>
    <t>Profesional Seguimiento RH - DTN</t>
  </si>
  <si>
    <t>ING CIVIL - Obras Hidraulicas SRCA</t>
  </si>
  <si>
    <t>Técnico Administrativo - Archivo DTN</t>
  </si>
  <si>
    <t>Profesional de asistencia técnica apicultura sur</t>
  </si>
  <si>
    <t>Secretaria Técnica SIRAP MACIZO</t>
  </si>
  <si>
    <t>Profesional Productivo PNR CBGP</t>
  </si>
  <si>
    <t>Gestor Local PNR CBGP (San Agustín 1)</t>
  </si>
  <si>
    <t>Gestor Local PNR CBGP (Palestina-Acevedo)</t>
  </si>
  <si>
    <t>Gestor Local PNR CBGP (Pitalito-San Agustin)</t>
  </si>
  <si>
    <t>Profesional Productivo DRMI Peñas Blancas (Pitalito, Timaná)</t>
  </si>
  <si>
    <t>Profesional Productivo DRMI Peñas Blancas (Acevedo - Suaza)</t>
  </si>
  <si>
    <t>Profesional Productivo DRMI Peñas Blancas (Palestina)</t>
  </si>
  <si>
    <t xml:space="preserve">Gestor Local DRMI Peñas Blancas </t>
  </si>
  <si>
    <t>Profesional Productivo PNR El Dorado - Serranía de Minas</t>
  </si>
  <si>
    <t>Gestor PNR El Dorado - Serranía de Minas (Oporapa-Saladoblanco)</t>
  </si>
  <si>
    <t>Gestor PNR EL Dorado (Isnos-Saladoblanco)</t>
  </si>
  <si>
    <t>Gestor PNR EL Dorado (La Argentina-La Plata)</t>
  </si>
  <si>
    <t>Profesional Productivo DRMI Minas (Oporapa - La Argentina)</t>
  </si>
  <si>
    <t>Profesional Apoyo DRMI Minas (Tarqui)</t>
  </si>
  <si>
    <t>Profesional Apoyo DRMI Minas (La Plata - Pital)</t>
  </si>
  <si>
    <t>Gestor DRMI Serranía de Minas</t>
  </si>
  <si>
    <t>Profesional Productivo Oseras</t>
  </si>
  <si>
    <t>Gestor Local Páramo Las Oseras 1 (Insp. Santa Ana - Colombia)</t>
  </si>
  <si>
    <t>Gestor Local Páramo Las Oseras 2 (Cuenca Ambicá - Colombia)</t>
  </si>
  <si>
    <t xml:space="preserve">Profesional Productivo DRMI CBOB </t>
  </si>
  <si>
    <t>Gestor Local DRMI CBOB (Teruel - Iquira)</t>
  </si>
  <si>
    <t>Gestor Local DRMI CBOB (Santa Maria - Palermo)</t>
  </si>
  <si>
    <t xml:space="preserve">Profesional Productivo DRMI La Tatacoa </t>
  </si>
  <si>
    <t>Gestor Local DRMI La Tatacoa - Turismo</t>
  </si>
  <si>
    <t>Gestor Local DRMI La Tatacoa - Turismo 2</t>
  </si>
  <si>
    <t xml:space="preserve">Profesional Productivo Siberia Ceibas </t>
  </si>
  <si>
    <t>Gestor Local Siberia Ceibas (Campoalegre - Rivera - Algeciras)</t>
  </si>
  <si>
    <t>Gestor Local Siberia Ceibas (Neiva - Tello - Baraya)</t>
  </si>
  <si>
    <t>Profesional Productivo Miraflores</t>
  </si>
  <si>
    <t>Gestor Local Miraflores (Garzon - Gigante)</t>
  </si>
  <si>
    <t>Gestor Local Miraflores (Algeciras)</t>
  </si>
  <si>
    <t>Profesional de asistencia técnica apicultura centro occidente</t>
  </si>
  <si>
    <t>Profesional Articulación Operativa AP</t>
  </si>
  <si>
    <t>Pasante Humedales Centro - Norte</t>
  </si>
  <si>
    <t>Profesional Implementacion de Plan de conservacion Roble Negro</t>
  </si>
  <si>
    <t xml:space="preserve">ADICIONAL No 2  orden de compra 94290 Servicio de Internet y Datos  - DTO PARA TRASLADO SERVICIO </t>
  </si>
  <si>
    <t>sobrando 6 pesos para  ajsute</t>
  </si>
  <si>
    <t>Profesional Forestal, Ambiental o Biólogo (Veda)</t>
  </si>
  <si>
    <t>Abogado(a) de apoyo a DTO 3</t>
  </si>
  <si>
    <t>Profesional RECAM - DTC 3</t>
  </si>
  <si>
    <t xml:space="preserve">PROFESIONAL SEGUIMIENTO RH </t>
  </si>
  <si>
    <t>Convenio Páramos Macizo, suscrito entre la CAM y la Gobernación del Huila No 62 del 2022</t>
  </si>
  <si>
    <t xml:space="preserve"> Pasante Veterinario CAV</t>
  </si>
  <si>
    <t>N°</t>
  </si>
  <si>
    <t>PPTO INICIAL ACUERDO DE CONSEJO DIRECTIVO No. 020 (25 DE NOVIEMBRE 2022)</t>
  </si>
  <si>
    <t>RECURSOS SGR MELIPONAS/ SENDICAM RESOLUCIÓN N° 3842 de 30 de diciembre de 2022</t>
  </si>
  <si>
    <t>TRASLADO RESOLUCIÓN N° 820 de 27 de marzo de 2023</t>
  </si>
  <si>
    <t xml:space="preserve">EXCEDENTE Convenio Interadministrativo No. 023 de 2022 DRMI RESOLUCIÓN
( 057 del 13 de enero de 2023) </t>
  </si>
  <si>
    <t xml:space="preserve">PROYECTO  MACIZO RESOLUCIÓN
( 058 del 13 de enero de 2023) </t>
  </si>
  <si>
    <t>ADICIÓN PRESUPUESTAL RESOLUCIÓN N° 816 de 27 de marzo de 2023</t>
  </si>
  <si>
    <t>63391 – 64114</t>
  </si>
  <si>
    <t>Apoyo administrativo Sistema Integrado de Gestión</t>
  </si>
  <si>
    <t>Paula Gonzales</t>
  </si>
  <si>
    <t>Fortalecimiento de la infraestructura tecnológica de la Corporación</t>
  </si>
  <si>
    <t>Suninistro, Instalación, configuración y puesta en marcha de estaciones Meteorologicas PMAM Quebrada Garzón, Barbillas y Río Guarapas</t>
  </si>
  <si>
    <t>2.3.2.01.01.003.04.06</t>
  </si>
  <si>
    <t>Caracterización de Calidad de agua atravéz de monitoreos en puntos estratégicos de la Microcuencas Quebradas Barbillas, Garzón y Río Guarapas (Incluye caracterización hidrobiológica)</t>
  </si>
  <si>
    <t>2.3.2.02.01.004</t>
  </si>
  <si>
    <t>Mantenimiento aislamientos cuencas con POMCA-PMAM</t>
  </si>
  <si>
    <t>Ml</t>
  </si>
  <si>
    <t>Interventoria Mtto Aislamientos</t>
  </si>
  <si>
    <t>Equipos para el monitoreo de la Biodiversidad en territorios indigenas</t>
  </si>
  <si>
    <t>Alquiler stand ferias comerciales</t>
  </si>
  <si>
    <t>Apoyo implementación de proyectos productivos  comunidades indígenas 2</t>
  </si>
  <si>
    <t>Apoyo implementación de proyectos productivos  comunidades indígenas 1</t>
  </si>
  <si>
    <t>Apoyo Administrativo Seguimiento Dctal DT0</t>
  </si>
  <si>
    <t>Profesional Evaluación y Seguimiento Vertimientos</t>
  </si>
  <si>
    <t>Profesional Apoyo Seguimiento Hidrocarburos</t>
  </si>
  <si>
    <t>Pasantes (Agricola, Geologia, Ambiental,Forestal)</t>
  </si>
  <si>
    <t>Apoyo Administrativo Seguimiento Dctal DTO</t>
  </si>
  <si>
    <t>Profesional Seguimiento DT</t>
  </si>
  <si>
    <t>Apoyo Formulación PGAR 1</t>
  </si>
  <si>
    <t>Apoyo Formulación PGAR 2</t>
  </si>
  <si>
    <t>Lina Sofía Parra</t>
  </si>
  <si>
    <t>Libres - disminución registro de Moises</t>
  </si>
  <si>
    <t>Nuevo cto-cdp sin 4 x mil $ 39.421.337</t>
  </si>
  <si>
    <t>hasnet</t>
  </si>
  <si>
    <t>Actual total</t>
  </si>
  <si>
    <t xml:space="preserve">CAM </t>
  </si>
  <si>
    <t>GOBERNACIÓN</t>
  </si>
  <si>
    <t>Nuevo TOTAL439 H</t>
  </si>
  <si>
    <t>Traslado</t>
  </si>
  <si>
    <t>Tello se dio por:</t>
  </si>
  <si>
    <t>Argentina</t>
  </si>
  <si>
    <t>Pasante Ing. Aricola Ambiental</t>
  </si>
  <si>
    <t>Abogado(a) de apoyo a DTO 4</t>
  </si>
  <si>
    <t>Hornillas Convenio Guadalupe</t>
  </si>
  <si>
    <t>saldo</t>
  </si>
  <si>
    <t>Luna bolaños y  Caldron Luna rubiela</t>
  </si>
  <si>
    <t>BLEIDY ardila</t>
  </si>
  <si>
    <t>Javela cano</t>
  </si>
  <si>
    <t>? Jesus</t>
  </si>
  <si>
    <t>Apoyo educación ambiental- artistica -muralista 2</t>
  </si>
  <si>
    <t>Apoyo a Sistemas Pilotos de Reconverión Productiva - SIRAP MACIZO, CEERCCO (Oseras), KFW (Peñas blancas) y FFEM (Páramos)</t>
  </si>
  <si>
    <r>
      <rPr>
        <b/>
        <sz val="10"/>
        <rFont val="Arial"/>
        <family val="2"/>
      </rPr>
      <t>Experto</t>
    </r>
    <r>
      <rPr>
        <sz val="10"/>
        <rFont val="Arial"/>
        <family val="2"/>
      </rPr>
      <t xml:space="preserve"> Local DRMI La Tatacoa - Turismo</t>
    </r>
  </si>
  <si>
    <t>Gestor Local DRMI La Tatacoa - Turismo 3</t>
  </si>
  <si>
    <t>Gestor Local DRMI La Tatacoa - Turismo / Productivo</t>
  </si>
  <si>
    <t>REGALÍAS</t>
  </si>
  <si>
    <t>Profesional de apoyo- Convenio Gobernación</t>
  </si>
  <si>
    <t>Limpieza Humedal Colores</t>
  </si>
  <si>
    <t>ABOGADO DE APOYO POT</t>
  </si>
  <si>
    <t>Apoyo seguimiento consumo de energía en sedes CAM</t>
  </si>
  <si>
    <t xml:space="preserve">Actividad </t>
  </si>
  <si>
    <t>Nombre</t>
  </si>
  <si>
    <t>Proyecto SGR Polinización con Meliponas Inversión</t>
  </si>
  <si>
    <t>Actividad</t>
  </si>
  <si>
    <t>SGR Construcción de hornillas ecoeficientes 320601</t>
  </si>
  <si>
    <t>3632005, 34659</t>
  </si>
  <si>
    <t>42999, 42946, 4419802, 46212, 42946, 42944</t>
  </si>
  <si>
    <t>01121,01260,01919</t>
  </si>
  <si>
    <t>23996,27320,2354001</t>
  </si>
  <si>
    <t>2.3.2.02.01.0003</t>
  </si>
  <si>
    <t>34632,34659,34661,34662,36210,36320,62146,3465401,3632005,3633022,3417099,34231,34240,36490,3699060,37450</t>
  </si>
  <si>
    <t>41241,42946,42999,43220,4294301,4419401,4419802,4112198,41251,42942,42944,46212</t>
  </si>
  <si>
    <t>Ferretería piloto</t>
  </si>
  <si>
    <t>Apoyo a Sistemas Pilotos de Reconverión Productiva</t>
  </si>
  <si>
    <t>34632,34659,34661,34662,36210,3632005,3633022,3417099,34231,34240,36490,37450</t>
  </si>
  <si>
    <t>43220,4294301,4419401,41251</t>
  </si>
  <si>
    <t>Adición Transporte</t>
  </si>
  <si>
    <t>Ferreteria</t>
  </si>
  <si>
    <t>Pasantes (Geologia - Ambiental)</t>
  </si>
  <si>
    <t>Transporte funcionarios</t>
  </si>
  <si>
    <t>Tecnólogo de apoyo obra civil</t>
  </si>
  <si>
    <t>Saldo (ARL PASANTES)</t>
  </si>
  <si>
    <t>RESOLUCIÓN 1718 DEL 4 DE JULIO DE 2023 (HORNILLAS GOBERNACIÓN)</t>
  </si>
  <si>
    <t xml:space="preserve"> RESOLUCION 1662 DEL 26-06-23 JUNIO (traslado presupuestal)</t>
  </si>
  <si>
    <t>Gobernación del Huila Convenio 061 de 2023</t>
  </si>
  <si>
    <t>6. Proyecto SGR- Municipio de La Plata - Educación Ambiental Huila Biodiverso</t>
  </si>
  <si>
    <t>Desarrollo de campañas en gestión de la información y el conocimiento ambiental en el municipio de La Plata.</t>
  </si>
  <si>
    <t>120</t>
  </si>
  <si>
    <t>Material Vegetal - Apoyo a Sistemas Pilotos de Reconverión Productiva - SIRAP MACIZO, CEERCCO (Oseras), KFW (Peñas blancas) y FFEM (Páramos)</t>
  </si>
  <si>
    <t>0196106</t>
  </si>
  <si>
    <t>Material vegetal - Apoyo a Sistemas Pilotos de Reconverión Productiva</t>
  </si>
  <si>
    <t>Equipos de Red</t>
  </si>
  <si>
    <t>Pozo séptico pre fabricado comunitario</t>
  </si>
  <si>
    <t>Auxiliar Juridico DTC</t>
  </si>
  <si>
    <t>Auxiliar Juridico DTN</t>
  </si>
  <si>
    <t xml:space="preserve">Profesional apoyo RECAM y Gobernanza contra la deforestación. </t>
  </si>
  <si>
    <t>Construcción PTAR CAV - Teruel</t>
  </si>
  <si>
    <t>Apoyo Seguimiento DTN</t>
  </si>
  <si>
    <t>PROFESIONAL SEGUIMIENTO RH  DT</t>
  </si>
  <si>
    <t>Apoyo seguimiento DTN</t>
  </si>
  <si>
    <t>Construcción PTAR CAV de Teruel</t>
  </si>
  <si>
    <t>Adquisición de Equipos para el seguimiento y monitoreo del recusro hídrico de aguas superficiales</t>
  </si>
  <si>
    <t>Convenio Gobernación</t>
  </si>
  <si>
    <t>Adicional CTO 282 ABOGADO DE APOYO POT</t>
  </si>
  <si>
    <t>2.3.2.01.01.003.02.08</t>
  </si>
  <si>
    <t>Profesional Seguimiento Sist.- Productivos N</t>
  </si>
  <si>
    <t>Profesional Seguimiento Sist.- Productivos S</t>
  </si>
  <si>
    <t>Profesional Seguimiento Sist.- Productivos C-O</t>
  </si>
  <si>
    <t>Convenio USCO - RNSC Santa María</t>
  </si>
  <si>
    <t>Profesional Articulación Operativa Ecosistemas Compartidos</t>
  </si>
  <si>
    <t>Excedentes Equipo Apoyo Técnico AP</t>
  </si>
  <si>
    <t>Técnico Mantenimiento SMTA</t>
  </si>
  <si>
    <t>Piloto de Demarcación y Amojonamiento del PNR CBGP</t>
  </si>
  <si>
    <t>Traslado (Acuerdo xxx del 28 de septiembre de 2023)</t>
  </si>
  <si>
    <t>RESOLUCIÓN 2190 DEL 11/08/2023(Incorporación de procesos educativos Educativos)</t>
  </si>
  <si>
    <t>RESOLUCIÓN 2208 DEL 11 AGOSTO DE 2023 (PROCESOS EDUCATIVOS LA PLATA)</t>
  </si>
  <si>
    <t>RESOLUCIÓN  2499 31/08/2323 (Traslado  PRESUPUESTAL) Acuerdo 013 del 31 de agosto de 2023</t>
  </si>
  <si>
    <t>Profesional forestal - Ambiental</t>
  </si>
  <si>
    <t>SERVICIOS DE APOYO, SEGUIMIENTO LICENCIAS, PERMISOS Y GESTION DE RIESGO - SRCA</t>
  </si>
  <si>
    <t>Profesional Seguimiento Licencias, Permisos, Concesiones Subterraneas y Superficiales</t>
  </si>
  <si>
    <t>Profesional forestal</t>
  </si>
  <si>
    <t xml:space="preserve">Arl </t>
  </si>
  <si>
    <t>Consultoria Apoyo Talleres Consultas Previas DRMI Cerro Banderas Ojo Blanco y DRMI Serrania de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</si>
</sst>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 #,##0.00_);_(* \(#,##0.00\);_(* &quot;-&quot;??_);_(@_)"/>
    <numFmt numFmtId="166" formatCode="&quot;$&quot;\ #,##0"/>
    <numFmt numFmtId="167" formatCode="_-* #,##0_-;\-* #,##0_-;_-* &quot;-&quot;??_-;_-@_-"/>
    <numFmt numFmtId="168" formatCode="_(* #,##0_);_(* \(#,##0\);_(* &quot;-&quot;??_);_(@_)"/>
    <numFmt numFmtId="169" formatCode="0.0%"/>
    <numFmt numFmtId="170" formatCode="_-&quot;$&quot;\ * #,##0_-;\-&quot;$&quot;\ * #,##0_-;_-&quot;$&quot;\ * &quot;-&quot;??_-;_-@_-"/>
    <numFmt numFmtId="171" formatCode="&quot;$&quot;\ #,##0.00"/>
    <numFmt numFmtId="172" formatCode="&quot;$&quot;#,##0.00"/>
    <numFmt numFmtId="173" formatCode="_-* #,##0.0_-;\-* #,##0.0_-;_-* &quot;-&quot;??_-;_-@_-"/>
    <numFmt numFmtId="174" formatCode="_-&quot;$&quot;\ * #,##0_-;\-&quot;$&quot;\ * #,##0_-;_-&quot;$&quot;\ * &quot;-&quot;_-;_-@"/>
    <numFmt numFmtId="175" formatCode="&quot;$&quot;#,##0"/>
    <numFmt numFmtId="176" formatCode="#,##0.000"/>
    <numFmt numFmtId="177" formatCode="0.000"/>
    <numFmt numFmtId="178" formatCode="[$$-240A]\ #,##0;\-[$$-240A]\ #,##0;[$$-240A]\ #,##0;@"/>
  </numFmts>
  <fonts count="58">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9"/>
      <color indexed="81"/>
      <name val="Tahoma"/>
      <family val="2"/>
    </font>
    <font>
      <sz val="9"/>
      <color indexed="81"/>
      <name val="Tahoma"/>
      <family val="2"/>
    </font>
    <font>
      <sz val="10"/>
      <color rgb="FF000000"/>
      <name val="Arial"/>
      <family val="2"/>
    </font>
    <font>
      <b/>
      <sz val="11"/>
      <color theme="1"/>
      <name val="Arial"/>
      <family val="2"/>
    </font>
    <font>
      <b/>
      <sz val="10"/>
      <color rgb="FF000000"/>
      <name val="Arial"/>
      <family val="2"/>
    </font>
    <font>
      <sz val="11"/>
      <color rgb="FF000000"/>
      <name val="Arial"/>
      <family val="2"/>
    </font>
    <font>
      <b/>
      <sz val="10"/>
      <color theme="0"/>
      <name val="Arial"/>
      <family val="2"/>
    </font>
    <font>
      <b/>
      <sz val="11"/>
      <color theme="0"/>
      <name val="Arial"/>
      <family val="2"/>
    </font>
    <font>
      <b/>
      <sz val="12"/>
      <color theme="0"/>
      <name val="Arial"/>
      <family val="2"/>
    </font>
    <font>
      <sz val="11"/>
      <color theme="1"/>
      <name val="Arial"/>
      <family val="2"/>
    </font>
    <font>
      <b/>
      <sz val="11"/>
      <color rgb="FF000000"/>
      <name val="Arial"/>
      <family val="2"/>
    </font>
    <font>
      <sz val="10"/>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0"/>
      <name val="Arial"/>
      <family val="2"/>
    </font>
    <font>
      <sz val="10"/>
      <color theme="1"/>
      <name val="Arial "/>
    </font>
    <font>
      <sz val="10"/>
      <name val="Arial "/>
    </font>
    <font>
      <sz val="9"/>
      <color theme="1"/>
      <name val="Arial"/>
      <family val="2"/>
    </font>
    <font>
      <sz val="9"/>
      <name val="Arial"/>
      <family val="2"/>
    </font>
    <font>
      <sz val="12"/>
      <color theme="1"/>
      <name val="Calibri"/>
      <family val="2"/>
      <scheme val="minor"/>
    </font>
    <font>
      <b/>
      <sz val="12"/>
      <color theme="1"/>
      <name val="Arial"/>
      <family val="2"/>
    </font>
    <font>
      <sz val="11"/>
      <name val="Arial"/>
      <family val="2"/>
    </font>
    <font>
      <sz val="9"/>
      <color theme="1"/>
      <name val="Calibri"/>
      <family val="2"/>
      <scheme val="minor"/>
    </font>
    <font>
      <b/>
      <sz val="9"/>
      <color theme="1"/>
      <name val="Arial"/>
      <family val="2"/>
    </font>
    <font>
      <b/>
      <sz val="10"/>
      <color theme="1"/>
      <name val="Calibri"/>
      <family val="2"/>
      <scheme val="minor"/>
    </font>
    <font>
      <b/>
      <sz val="16"/>
      <color theme="1"/>
      <name val="Arial"/>
      <family val="2"/>
    </font>
    <font>
      <sz val="12"/>
      <color theme="1"/>
      <name val="Arial"/>
      <family val="2"/>
    </font>
    <font>
      <sz val="12"/>
      <color rgb="FF000000"/>
      <name val="Arial"/>
      <family val="2"/>
    </font>
    <font>
      <sz val="11"/>
      <name val="Calibri"/>
      <family val="2"/>
      <scheme val="minor"/>
    </font>
    <font>
      <sz val="11"/>
      <color rgb="FF000000"/>
      <name val="Calibri"/>
      <family val="2"/>
      <scheme val="minor"/>
    </font>
    <font>
      <sz val="12"/>
      <name val="Arial"/>
      <family val="2"/>
    </font>
    <font>
      <sz val="10"/>
      <color rgb="FFFF0000"/>
      <name val="Arial"/>
      <family val="2"/>
    </font>
    <font>
      <b/>
      <sz val="11"/>
      <name val="Arial Narrow"/>
      <family val="2"/>
    </font>
    <font>
      <b/>
      <sz val="11"/>
      <name val="Arial"/>
      <family val="2"/>
    </font>
    <font>
      <b/>
      <sz val="10"/>
      <color rgb="FFFF0000"/>
      <name val="Arial"/>
      <family val="2"/>
    </font>
    <font>
      <sz val="8"/>
      <name val="Calibri"/>
      <family val="2"/>
      <scheme val="minor"/>
    </font>
    <font>
      <sz val="10"/>
      <color theme="1"/>
      <name val="Arial Narrow"/>
      <family val="2"/>
    </font>
    <font>
      <sz val="11"/>
      <color rgb="FFFF0000"/>
      <name val="Calibri"/>
      <family val="2"/>
      <scheme val="minor"/>
    </font>
    <font>
      <sz val="11"/>
      <color theme="1"/>
      <name val="Calibri"/>
      <family val="2"/>
    </font>
    <font>
      <b/>
      <sz val="11"/>
      <name val="Calibri"/>
      <family val="2"/>
      <scheme val="minor"/>
    </font>
    <font>
      <b/>
      <sz val="16"/>
      <color theme="1"/>
      <name val="Calibri"/>
      <family val="2"/>
      <scheme val="minor"/>
    </font>
    <font>
      <b/>
      <sz val="12"/>
      <color indexed="81"/>
      <name val="Tahoma"/>
      <family val="2"/>
    </font>
    <font>
      <sz val="12"/>
      <color indexed="81"/>
      <name val="Tahoma"/>
      <family val="2"/>
    </font>
    <font>
      <sz val="11"/>
      <color indexed="81"/>
      <name val="Tahoma"/>
      <family val="2"/>
    </font>
    <font>
      <b/>
      <sz val="9"/>
      <name val="Arial"/>
      <family val="2"/>
    </font>
    <font>
      <b/>
      <sz val="10"/>
      <color indexed="81"/>
      <name val="Tahoma"/>
      <family val="2"/>
    </font>
    <font>
      <b/>
      <sz val="10"/>
      <color indexed="81"/>
      <name val="Arial"/>
      <family val="2"/>
    </font>
    <font>
      <sz val="10"/>
      <color indexed="81"/>
      <name val="Arial"/>
      <family val="2"/>
    </font>
    <font>
      <sz val="8"/>
      <name val="Arial"/>
      <family val="2"/>
    </font>
    <font>
      <b/>
      <sz val="11"/>
      <color indexed="81"/>
      <name val="Tahoma"/>
      <family val="2"/>
    </font>
    <font>
      <i/>
      <sz val="10"/>
      <color theme="1"/>
      <name val="Arial"/>
      <family val="2"/>
    </font>
    <font>
      <i/>
      <sz val="10"/>
      <name val="Arial"/>
      <family val="2"/>
    </font>
  </fonts>
  <fills count="4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rgb="FF000000"/>
      </patternFill>
    </fill>
    <fill>
      <patternFill patternType="solid">
        <fgColor theme="4" tint="0.39997558519241921"/>
        <bgColor indexed="64"/>
      </patternFill>
    </fill>
    <fill>
      <patternFill patternType="solid">
        <fgColor rgb="FF7030A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C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39997558519241921"/>
        <bgColor rgb="FF000000"/>
      </patternFill>
    </fill>
    <fill>
      <patternFill patternType="solid">
        <fgColor theme="8" tint="0.79998168889431442"/>
        <bgColor rgb="FF000000"/>
      </patternFill>
    </fill>
    <fill>
      <patternFill patternType="solid">
        <fgColor theme="8" tint="0.79998168889431442"/>
        <bgColor indexed="64"/>
      </patternFill>
    </fill>
    <fill>
      <patternFill patternType="solid">
        <fgColor rgb="FFFFFFFF"/>
        <bgColor rgb="FF000000"/>
      </patternFill>
    </fill>
    <fill>
      <patternFill patternType="solid">
        <fgColor rgb="FFFFD966"/>
        <bgColor rgb="FF000000"/>
      </patternFill>
    </fill>
    <fill>
      <patternFill patternType="solid">
        <fgColor theme="7" tint="0.59999389629810485"/>
        <bgColor rgb="FF000000"/>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rgb="FF000000"/>
      </patternFill>
    </fill>
    <fill>
      <patternFill patternType="solid">
        <fgColor theme="5" tint="0.79998168889431442"/>
        <bgColor indexed="64"/>
      </patternFill>
    </fill>
    <fill>
      <patternFill patternType="solid">
        <fgColor rgb="FFFEFAF8"/>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rgb="FF000000"/>
      </patternFill>
    </fill>
    <fill>
      <patternFill patternType="solid">
        <fgColor theme="6" tint="0.59999389629810485"/>
        <bgColor indexed="64"/>
      </patternFill>
    </fill>
    <fill>
      <patternFill patternType="solid">
        <fgColor rgb="FFFFFFCC"/>
        <bgColor rgb="FFFFFFCC"/>
      </patternFill>
    </fill>
    <fill>
      <patternFill patternType="solid">
        <fgColor theme="0" tint="-0.14999847407452621"/>
        <bgColor indexed="64"/>
      </patternFill>
    </fill>
    <fill>
      <patternFill patternType="solid">
        <fgColor rgb="FF00B050"/>
        <bgColor indexed="64"/>
      </patternFill>
    </fill>
    <fill>
      <patternFill patternType="solid">
        <fgColor rgb="FFFF7C80"/>
        <bgColor indexed="64"/>
      </patternFill>
    </fill>
    <fill>
      <patternFill patternType="solid">
        <fgColor rgb="FFFFFFFF"/>
        <bgColor indexed="64"/>
      </patternFill>
    </fill>
  </fills>
  <borders count="1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theme="0" tint="-0.499984740745262"/>
      </left>
      <right style="thin">
        <color indexed="64"/>
      </right>
      <top style="medium">
        <color indexed="64"/>
      </top>
      <bottom style="medium">
        <color indexed="64"/>
      </bottom>
      <diagonal/>
    </border>
    <border>
      <left style="medium">
        <color theme="0" tint="-0.499984740745262"/>
      </left>
      <right style="thin">
        <color indexed="64"/>
      </right>
      <top/>
      <bottom style="thin">
        <color indexed="64"/>
      </bottom>
      <diagonal/>
    </border>
    <border>
      <left style="medium">
        <color theme="0" tint="-0.499984740745262"/>
      </left>
      <right style="thin">
        <color indexed="64"/>
      </right>
      <top style="thin">
        <color indexed="64"/>
      </top>
      <bottom style="thin">
        <color indexed="64"/>
      </bottom>
      <diagonal/>
    </border>
    <border>
      <left style="medium">
        <color theme="0" tint="-0.499984740745262"/>
      </left>
      <right style="thin">
        <color indexed="64"/>
      </right>
      <top style="thin">
        <color indexed="64"/>
      </top>
      <bottom/>
      <diagonal/>
    </border>
    <border>
      <left style="medium">
        <color indexed="64"/>
      </left>
      <right/>
      <top style="medium">
        <color theme="0" tint="-0.499984740745262"/>
      </top>
      <bottom style="medium">
        <color indexed="64"/>
      </bottom>
      <diagonal/>
    </border>
    <border>
      <left/>
      <right/>
      <top style="medium">
        <color theme="0" tint="-0.499984740745262"/>
      </top>
      <bottom style="medium">
        <color indexed="64"/>
      </bottom>
      <diagonal/>
    </border>
    <border>
      <left style="medium">
        <color theme="0" tint="-0.499984740745262"/>
      </left>
      <right style="medium">
        <color indexed="64"/>
      </right>
      <top/>
      <bottom/>
      <diagonal/>
    </border>
    <border>
      <left style="medium">
        <color theme="0" tint="-0.499984740745262"/>
      </left>
      <right style="medium">
        <color indexed="64"/>
      </right>
      <top/>
      <bottom style="medium">
        <color indexed="64"/>
      </bottom>
      <diagonal/>
    </border>
    <border>
      <left style="medium">
        <color indexed="64"/>
      </left>
      <right style="medium">
        <color theme="0" tint="-0.499984740745262"/>
      </right>
      <top/>
      <bottom/>
      <diagonal/>
    </border>
    <border>
      <left style="medium">
        <color indexed="64"/>
      </left>
      <right style="medium">
        <color theme="0" tint="-0.499984740745262"/>
      </right>
      <top/>
      <bottom style="medium">
        <color indexed="64"/>
      </bottom>
      <diagonal/>
    </border>
    <border>
      <left/>
      <right style="thin">
        <color indexed="64"/>
      </right>
      <top style="medium">
        <color theme="0" tint="-0.499984740745262"/>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thin">
        <color indexed="64"/>
      </bottom>
      <diagonal/>
    </border>
    <border>
      <left style="thin">
        <color rgb="FF000000"/>
      </left>
      <right/>
      <top style="thin">
        <color rgb="FF000000"/>
      </top>
      <bottom style="thin">
        <color rgb="FF000000"/>
      </bottom>
      <diagonal/>
    </border>
    <border>
      <left style="medium">
        <color indexed="64"/>
      </left>
      <right/>
      <top/>
      <bottom style="thin">
        <color indexed="64"/>
      </bottom>
      <diagonal/>
    </border>
    <border>
      <left style="medium">
        <color theme="0" tint="-0.499984740745262"/>
      </left>
      <right style="thin">
        <color indexed="64"/>
      </right>
      <top/>
      <bottom/>
      <diagonal/>
    </border>
    <border>
      <left/>
      <right/>
      <top style="thin">
        <color indexed="64"/>
      </top>
      <bottom/>
      <diagonal/>
    </border>
    <border>
      <left/>
      <right/>
      <top/>
      <bottom style="thin">
        <color indexed="64"/>
      </bottom>
      <diagonal/>
    </border>
    <border>
      <left style="medium">
        <color theme="0" tint="-0.499984740745262"/>
      </left>
      <right style="medium">
        <color indexed="64"/>
      </right>
      <top/>
      <bottom style="thin">
        <color indexed="64"/>
      </bottom>
      <diagonal/>
    </border>
    <border>
      <left style="medium">
        <color theme="0" tint="-0.499984740745262"/>
      </left>
      <right/>
      <top/>
      <bottom style="thin">
        <color indexed="64"/>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thin">
        <color indexed="64"/>
      </right>
      <top style="thin">
        <color rgb="FF000000"/>
      </top>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rgb="FF000000"/>
      </left>
      <right style="thin">
        <color indexed="64"/>
      </right>
      <top style="thin">
        <color indexed="64"/>
      </top>
      <bottom/>
      <diagonal/>
    </border>
  </borders>
  <cellStyleXfs count="64">
    <xf numFmtId="0" fontId="0" fillId="0" borderId="0"/>
    <xf numFmtId="164" fontId="1" fillId="0" borderId="0" applyFont="0" applyFill="0" applyBorder="0" applyAlignment="0" applyProtection="0"/>
    <xf numFmtId="0" fontId="2" fillId="0" borderId="0"/>
    <xf numFmtId="41"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686">
    <xf numFmtId="0" fontId="0" fillId="0" borderId="0" xfId="0"/>
    <xf numFmtId="0" fontId="3" fillId="0" borderId="0" xfId="0" applyFont="1"/>
    <xf numFmtId="0" fontId="3" fillId="3" borderId="0" xfId="0" applyFont="1" applyFill="1"/>
    <xf numFmtId="0" fontId="3" fillId="0" borderId="0" xfId="0" applyFont="1" applyAlignment="1">
      <alignment horizontal="justify" vertical="center" wrapText="1"/>
    </xf>
    <xf numFmtId="0" fontId="14" fillId="0" borderId="0" xfId="0" applyFont="1"/>
    <xf numFmtId="0" fontId="16" fillId="3" borderId="0" xfId="0" applyFont="1" applyFill="1"/>
    <xf numFmtId="0" fontId="18" fillId="0" borderId="0" xfId="0" applyFont="1"/>
    <xf numFmtId="0" fontId="2" fillId="0" borderId="1" xfId="0" applyFont="1" applyFill="1" applyBorder="1" applyAlignment="1">
      <alignment horizontal="justify" vertical="center" wrapText="1"/>
    </xf>
    <xf numFmtId="0" fontId="3" fillId="0" borderId="2" xfId="0" applyFont="1" applyFill="1" applyBorder="1" applyAlignment="1">
      <alignment horizontal="center" vertical="center"/>
    </xf>
    <xf numFmtId="0" fontId="2" fillId="5" borderId="1" xfId="0" applyFont="1" applyFill="1" applyBorder="1" applyAlignment="1">
      <alignment horizontal="justify" vertical="center" wrapText="1"/>
    </xf>
    <xf numFmtId="0" fontId="3" fillId="5" borderId="2" xfId="0" applyFont="1" applyFill="1" applyBorder="1" applyAlignment="1">
      <alignment horizontal="center" vertical="center"/>
    </xf>
    <xf numFmtId="0" fontId="0" fillId="0" borderId="0" xfId="0" applyAlignment="1">
      <alignment wrapText="1"/>
    </xf>
    <xf numFmtId="0" fontId="2" fillId="15" borderId="35" xfId="0" applyFont="1" applyFill="1" applyBorder="1" applyAlignment="1">
      <alignment horizontal="justify" vertical="center" wrapText="1"/>
    </xf>
    <xf numFmtId="0" fontId="3" fillId="15"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18" borderId="1" xfId="0" applyFont="1" applyFill="1" applyBorder="1" applyAlignment="1">
      <alignment horizontal="justify" vertical="center" wrapText="1"/>
    </xf>
    <xf numFmtId="0" fontId="3" fillId="18" borderId="2" xfId="0" applyFont="1" applyFill="1" applyBorder="1" applyAlignment="1">
      <alignment horizontal="center" vertical="center"/>
    </xf>
    <xf numFmtId="0" fontId="2" fillId="0" borderId="2"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17" borderId="2" xfId="0" applyFont="1" applyFill="1" applyBorder="1" applyAlignment="1">
      <alignment horizontal="center" vertical="center" wrapText="1"/>
    </xf>
    <xf numFmtId="0" fontId="2" fillId="0" borderId="1" xfId="0" applyFont="1" applyFill="1" applyBorder="1" applyAlignment="1">
      <alignment horizontal="justify" vertical="center"/>
    </xf>
    <xf numFmtId="0" fontId="3" fillId="0" borderId="5" xfId="0" applyFont="1" applyFill="1" applyBorder="1" applyAlignment="1">
      <alignment horizontal="center" vertical="center" wrapText="1"/>
    </xf>
    <xf numFmtId="41" fontId="3" fillId="0" borderId="5" xfId="0" applyNumberFormat="1" applyFont="1" applyFill="1" applyBorder="1" applyAlignment="1">
      <alignment horizontal="center" vertical="center" wrapText="1"/>
    </xf>
    <xf numFmtId="41" fontId="3" fillId="0" borderId="43"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wrapText="1"/>
    </xf>
    <xf numFmtId="0" fontId="2" fillId="0" borderId="1" xfId="2" applyFont="1" applyFill="1" applyBorder="1" applyAlignment="1">
      <alignment horizontal="justify" vertical="center"/>
    </xf>
    <xf numFmtId="0" fontId="2" fillId="0" borderId="2" xfId="0" applyFont="1" applyFill="1" applyBorder="1" applyAlignment="1">
      <alignment horizontal="center" vertical="center" wrapText="1"/>
    </xf>
    <xf numFmtId="41" fontId="3" fillId="0" borderId="2" xfId="0" applyNumberFormat="1" applyFont="1" applyFill="1" applyBorder="1" applyAlignment="1">
      <alignment horizontal="center" vertical="center"/>
    </xf>
    <xf numFmtId="41" fontId="0" fillId="0" borderId="0" xfId="0" applyNumberFormat="1"/>
    <xf numFmtId="0" fontId="0" fillId="0" borderId="0" xfId="0" applyAlignment="1"/>
    <xf numFmtId="0" fontId="2" fillId="0" borderId="2" xfId="0" applyFont="1" applyFill="1" applyBorder="1" applyAlignment="1">
      <alignment horizontal="center" vertical="center"/>
    </xf>
    <xf numFmtId="0" fontId="2" fillId="5" borderId="2" xfId="0" applyFont="1" applyFill="1" applyBorder="1" applyAlignment="1">
      <alignment horizontal="justify" vertical="center" wrapText="1"/>
    </xf>
    <xf numFmtId="0" fontId="2" fillId="5"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2" fillId="15" borderId="2" xfId="0" applyFont="1" applyFill="1" applyBorder="1" applyAlignment="1">
      <alignment horizontal="justify" vertical="center" wrapText="1"/>
    </xf>
    <xf numFmtId="0" fontId="2" fillId="15" borderId="2" xfId="0" applyFont="1" applyFill="1" applyBorder="1" applyAlignment="1">
      <alignment horizontal="center" vertical="center" wrapText="1"/>
    </xf>
    <xf numFmtId="0" fontId="2" fillId="15" borderId="2" xfId="0" applyFont="1" applyFill="1" applyBorder="1" applyAlignment="1">
      <alignment horizontal="center" vertical="center"/>
    </xf>
    <xf numFmtId="1" fontId="2" fillId="15"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1" fontId="2" fillId="5" borderId="2" xfId="0" applyNumberFormat="1" applyFont="1" applyFill="1" applyBorder="1" applyAlignment="1">
      <alignment horizontal="center" vertical="center"/>
    </xf>
    <xf numFmtId="0" fontId="0" fillId="15" borderId="2" xfId="0" applyFill="1" applyBorder="1" applyAlignment="1">
      <alignment horizontal="center" vertical="center"/>
    </xf>
    <xf numFmtId="0" fontId="0" fillId="0" borderId="2" xfId="0" applyFill="1" applyBorder="1" applyAlignment="1">
      <alignment horizontal="center" vertical="center"/>
    </xf>
    <xf numFmtId="0" fontId="2" fillId="20" borderId="1" xfId="0" applyFont="1" applyFill="1" applyBorder="1" applyAlignment="1">
      <alignment horizontal="justify" vertical="center" wrapText="1"/>
    </xf>
    <xf numFmtId="0" fontId="0" fillId="21" borderId="2" xfId="0" applyFill="1" applyBorder="1" applyAlignment="1">
      <alignment horizontal="center" vertical="center"/>
    </xf>
    <xf numFmtId="166" fontId="0" fillId="21" borderId="2" xfId="0" applyNumberFormat="1" applyFill="1" applyBorder="1" applyAlignment="1">
      <alignment horizontal="center" vertical="center"/>
    </xf>
    <xf numFmtId="0" fontId="2" fillId="22" borderId="1" xfId="0" applyFont="1" applyFill="1" applyBorder="1" applyAlignment="1">
      <alignment horizontal="justify" vertical="center" wrapText="1"/>
    </xf>
    <xf numFmtId="166" fontId="0" fillId="0" borderId="0" xfId="0" applyNumberFormat="1"/>
    <xf numFmtId="0" fontId="2" fillId="0" borderId="35" xfId="0" applyFont="1" applyFill="1" applyBorder="1" applyAlignment="1">
      <alignment horizontal="justify" vertical="center" wrapText="1"/>
    </xf>
    <xf numFmtId="0" fontId="2" fillId="23" borderId="2" xfId="0" applyFont="1" applyFill="1" applyBorder="1" applyAlignment="1">
      <alignment horizontal="justify" vertical="center" wrapText="1"/>
    </xf>
    <xf numFmtId="164" fontId="3" fillId="0" borderId="2" xfId="0" applyNumberFormat="1" applyFont="1" applyFill="1" applyBorder="1" applyAlignment="1">
      <alignment horizontal="center" vertical="center"/>
    </xf>
    <xf numFmtId="0" fontId="2" fillId="0" borderId="19"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7" fillId="0" borderId="1" xfId="0" applyFont="1" applyFill="1" applyBorder="1" applyAlignment="1">
      <alignment horizontal="justify" vertical="center" wrapText="1" readingOrder="1"/>
    </xf>
    <xf numFmtId="0" fontId="2" fillId="0" borderId="1" xfId="0" applyFont="1" applyFill="1" applyBorder="1" applyAlignment="1">
      <alignment horizontal="justify" vertical="center" wrapText="1" readingOrder="1"/>
    </xf>
    <xf numFmtId="41" fontId="2" fillId="0" borderId="2" xfId="3" applyFont="1" applyFill="1" applyBorder="1" applyAlignment="1">
      <alignment horizontal="center" vertical="center"/>
    </xf>
    <xf numFmtId="0" fontId="17" fillId="0" borderId="0" xfId="0" applyFont="1" applyAlignment="1">
      <alignment vertical="center" wrapText="1"/>
    </xf>
    <xf numFmtId="0" fontId="3" fillId="18" borderId="5" xfId="0" applyFont="1" applyFill="1" applyBorder="1" applyAlignment="1">
      <alignment horizontal="center" vertical="center"/>
    </xf>
    <xf numFmtId="168" fontId="0" fillId="0" borderId="0" xfId="0" applyNumberFormat="1"/>
    <xf numFmtId="167" fontId="0" fillId="0" borderId="0" xfId="0" applyNumberFormat="1"/>
    <xf numFmtId="167" fontId="0" fillId="0" borderId="0" xfId="6" applyNumberFormat="1" applyFont="1"/>
    <xf numFmtId="0" fontId="2" fillId="18" borderId="2" xfId="0" applyFont="1" applyFill="1" applyBorder="1" applyAlignment="1">
      <alignment horizontal="center" vertical="center"/>
    </xf>
    <xf numFmtId="0" fontId="3" fillId="0" borderId="0" xfId="0" applyFont="1" applyFill="1"/>
    <xf numFmtId="3" fontId="14" fillId="0" borderId="0" xfId="0" applyNumberFormat="1" applyFont="1"/>
    <xf numFmtId="0" fontId="2" fillId="0" borderId="1" xfId="0" applyFont="1" applyFill="1" applyBorder="1" applyAlignment="1">
      <alignment horizontal="left" vertical="center" wrapText="1"/>
    </xf>
    <xf numFmtId="41" fontId="3" fillId="0" borderId="18" xfId="3" applyFont="1" applyFill="1" applyBorder="1" applyAlignment="1">
      <alignment horizontal="center" vertical="center"/>
    </xf>
    <xf numFmtId="0" fontId="10" fillId="30" borderId="2" xfId="0" applyFont="1" applyFill="1" applyBorder="1" applyAlignment="1">
      <alignment horizontal="center" vertical="center" wrapText="1"/>
    </xf>
    <xf numFmtId="0" fontId="14" fillId="0" borderId="0" xfId="0" applyFont="1" applyBorder="1"/>
    <xf numFmtId="0" fontId="0" fillId="0" borderId="0" xfId="0" applyFill="1"/>
    <xf numFmtId="0" fontId="3" fillId="3"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7"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3" borderId="2" xfId="0" applyFont="1" applyFill="1" applyBorder="1" applyAlignment="1">
      <alignment horizontal="left" wrapText="1"/>
    </xf>
    <xf numFmtId="0" fontId="4" fillId="2" borderId="2" xfId="0" applyFont="1" applyFill="1" applyBorder="1" applyAlignment="1">
      <alignment horizontal="left" vertical="center" wrapText="1"/>
    </xf>
    <xf numFmtId="0" fontId="3" fillId="0" borderId="2" xfId="0" applyFont="1" applyBorder="1" applyAlignment="1">
      <alignment horizontal="left" wrapText="1"/>
    </xf>
    <xf numFmtId="0" fontId="4" fillId="0" borderId="2" xfId="0" applyFont="1" applyFill="1" applyBorder="1" applyAlignment="1">
      <alignment horizontal="left" wrapText="1"/>
    </xf>
    <xf numFmtId="0" fontId="7" fillId="0" borderId="2" xfId="0" applyFont="1"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horizontal="left" wrapText="1"/>
    </xf>
    <xf numFmtId="0" fontId="2" fillId="6" borderId="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10" fillId="30" borderId="2" xfId="0" applyFont="1" applyFill="1" applyBorder="1" applyAlignment="1">
      <alignment horizontal="left" vertical="center" wrapText="1"/>
    </xf>
    <xf numFmtId="0" fontId="12" fillId="10" borderId="2"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2" xfId="0" applyFont="1" applyFill="1" applyBorder="1" applyAlignment="1">
      <alignment horizontal="justify" vertical="center" wrapText="1"/>
    </xf>
    <xf numFmtId="0" fontId="10" fillId="16" borderId="2" xfId="0" applyFont="1" applyFill="1" applyBorder="1" applyAlignment="1">
      <alignment horizontal="left" vertical="center" wrapText="1"/>
    </xf>
    <xf numFmtId="3" fontId="14" fillId="16" borderId="2" xfId="1" applyNumberFormat="1" applyFont="1" applyFill="1" applyBorder="1" applyAlignment="1">
      <alignment horizontal="right" vertical="center"/>
    </xf>
    <xf numFmtId="0" fontId="10" fillId="26" borderId="2" xfId="0" applyFont="1" applyFill="1" applyBorder="1" applyAlignment="1">
      <alignment horizontal="center" vertical="center" wrapText="1"/>
    </xf>
    <xf numFmtId="0" fontId="10" fillId="17" borderId="2" xfId="0" applyFont="1" applyFill="1" applyBorder="1" applyAlignment="1">
      <alignment horizontal="left" vertical="center" wrapText="1"/>
    </xf>
    <xf numFmtId="41" fontId="14" fillId="17" borderId="2" xfId="1" applyNumberFormat="1" applyFont="1" applyFill="1" applyBorder="1" applyAlignment="1">
      <alignment horizontal="center" vertical="center"/>
    </xf>
    <xf numFmtId="3" fontId="27" fillId="17" borderId="2" xfId="1" applyNumberFormat="1" applyFont="1" applyFill="1" applyBorder="1" applyAlignment="1">
      <alignment horizontal="right" vertical="center"/>
    </xf>
    <xf numFmtId="0" fontId="27" fillId="17" borderId="2" xfId="0" applyFont="1" applyFill="1" applyBorder="1" applyAlignment="1">
      <alignment horizontal="left" vertical="center" wrapText="1"/>
    </xf>
    <xf numFmtId="3" fontId="14" fillId="17" borderId="2" xfId="1" applyNumberFormat="1" applyFont="1" applyFill="1" applyBorder="1" applyAlignment="1">
      <alignment horizontal="right" vertical="center"/>
    </xf>
    <xf numFmtId="164" fontId="8" fillId="13" borderId="2" xfId="0" applyNumberFormat="1" applyFont="1" applyFill="1" applyBorder="1" applyAlignment="1">
      <alignment vertical="center"/>
    </xf>
    <xf numFmtId="0" fontId="13" fillId="10" borderId="24"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10" fillId="30" borderId="1" xfId="0" applyFont="1" applyFill="1" applyBorder="1" applyAlignment="1">
      <alignment horizontal="center" vertical="center" wrapText="1"/>
    </xf>
    <xf numFmtId="167" fontId="15" fillId="13" borderId="20" xfId="0" applyNumberFormat="1" applyFont="1" applyFill="1" applyBorder="1" applyAlignment="1">
      <alignment vertical="center" wrapText="1"/>
    </xf>
    <xf numFmtId="0" fontId="10" fillId="30" borderId="2" xfId="0" applyFont="1" applyFill="1" applyBorder="1" applyAlignment="1">
      <alignment vertical="center" wrapText="1"/>
    </xf>
    <xf numFmtId="0" fontId="10" fillId="16" borderId="18" xfId="0" applyFont="1" applyFill="1" applyBorder="1" applyAlignment="1">
      <alignment horizontal="center" vertical="center" wrapText="1"/>
    </xf>
    <xf numFmtId="0" fontId="0" fillId="25" borderId="49" xfId="0" applyFill="1" applyBorder="1"/>
    <xf numFmtId="0" fontId="0" fillId="25" borderId="48" xfId="0" applyFill="1" applyBorder="1"/>
    <xf numFmtId="0" fontId="33" fillId="16" borderId="18" xfId="0" applyFont="1" applyFill="1" applyBorder="1" applyAlignment="1">
      <alignment horizontal="center" vertical="center" wrapText="1"/>
    </xf>
    <xf numFmtId="0" fontId="33" fillId="30" borderId="18" xfId="0" applyFont="1" applyFill="1" applyBorder="1" applyAlignment="1">
      <alignment horizontal="center" vertical="center" wrapText="1"/>
    </xf>
    <xf numFmtId="0" fontId="18" fillId="25" borderId="21" xfId="0" applyFont="1" applyFill="1" applyBorder="1" applyAlignment="1">
      <alignment horizontal="center"/>
    </xf>
    <xf numFmtId="0" fontId="10" fillId="16" borderId="1" xfId="0" applyFont="1" applyFill="1" applyBorder="1" applyAlignment="1">
      <alignment horizontal="center" vertical="center" wrapText="1"/>
    </xf>
    <xf numFmtId="0" fontId="10" fillId="16" borderId="2" xfId="0" applyFont="1" applyFill="1" applyBorder="1" applyAlignment="1">
      <alignment vertical="center" wrapText="1"/>
    </xf>
    <xf numFmtId="0" fontId="15" fillId="13" borderId="21" xfId="0" applyFont="1" applyFill="1" applyBorder="1" applyAlignment="1">
      <alignment horizontal="center" vertical="center" wrapText="1"/>
    </xf>
    <xf numFmtId="0" fontId="10" fillId="26" borderId="2" xfId="0" applyFont="1" applyFill="1" applyBorder="1" applyAlignment="1">
      <alignment horizontal="justify" vertical="center" wrapText="1"/>
    </xf>
    <xf numFmtId="167" fontId="10" fillId="26" borderId="2" xfId="6" applyNumberFormat="1" applyFont="1" applyFill="1" applyBorder="1" applyAlignment="1">
      <alignment horizontal="justify" vertical="center" wrapText="1"/>
    </xf>
    <xf numFmtId="0" fontId="10" fillId="26" borderId="18" xfId="0" applyFont="1" applyFill="1" applyBorder="1" applyAlignment="1">
      <alignment horizontal="center" vertical="center" wrapText="1"/>
    </xf>
    <xf numFmtId="167" fontId="10" fillId="16" borderId="2" xfId="6" applyNumberFormat="1" applyFont="1" applyFill="1" applyBorder="1" applyAlignment="1">
      <alignment horizontal="justify" vertical="center" wrapText="1"/>
    </xf>
    <xf numFmtId="166" fontId="0" fillId="21" borderId="18" xfId="0" applyNumberFormat="1" applyFill="1" applyBorder="1" applyAlignment="1">
      <alignment horizontal="center" vertical="center"/>
    </xf>
    <xf numFmtId="166" fontId="0" fillId="0" borderId="0" xfId="0" applyNumberFormat="1" applyAlignment="1">
      <alignment horizontal="right" vertical="center"/>
    </xf>
    <xf numFmtId="0" fontId="24"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3" fontId="0" fillId="0" borderId="43" xfId="0" applyNumberFormat="1" applyFill="1" applyBorder="1" applyAlignment="1">
      <alignment vertical="center"/>
    </xf>
    <xf numFmtId="0" fontId="3" fillId="15" borderId="2" xfId="0" applyFont="1" applyFill="1" applyBorder="1" applyAlignment="1">
      <alignment horizontal="center" vertical="center"/>
    </xf>
    <xf numFmtId="41" fontId="3" fillId="0" borderId="18" xfId="0" applyNumberFormat="1" applyFont="1" applyFill="1" applyBorder="1" applyAlignment="1">
      <alignment horizontal="center" vertical="center" wrapText="1"/>
    </xf>
    <xf numFmtId="0" fontId="2" fillId="0" borderId="19" xfId="2" applyFont="1" applyFill="1" applyBorder="1" applyAlignment="1">
      <alignment horizontal="justify" vertical="center"/>
    </xf>
    <xf numFmtId="0" fontId="3" fillId="0" borderId="20" xfId="0" applyFont="1" applyFill="1" applyBorder="1" applyAlignment="1">
      <alignment horizontal="center" vertical="center" wrapText="1"/>
    </xf>
    <xf numFmtId="41" fontId="3" fillId="0" borderId="20" xfId="0" applyNumberFormat="1" applyFont="1" applyFill="1" applyBorder="1" applyAlignment="1">
      <alignment horizontal="center" vertical="center" wrapText="1"/>
    </xf>
    <xf numFmtId="41" fontId="3" fillId="0" borderId="42" xfId="0" applyNumberFormat="1" applyFont="1" applyFill="1" applyBorder="1" applyAlignment="1">
      <alignment horizontal="center" vertical="center" wrapText="1"/>
    </xf>
    <xf numFmtId="164" fontId="0" fillId="0" borderId="0" xfId="0" applyNumberFormat="1"/>
    <xf numFmtId="166" fontId="17" fillId="0" borderId="0" xfId="0" applyNumberFormat="1" applyFont="1"/>
    <xf numFmtId="0" fontId="0" fillId="0" borderId="20" xfId="0" applyBorder="1"/>
    <xf numFmtId="0" fontId="8" fillId="26" borderId="2" xfId="0" applyFont="1" applyFill="1" applyBorder="1" applyAlignment="1">
      <alignment horizontal="center" vertical="center"/>
    </xf>
    <xf numFmtId="0" fontId="0" fillId="0" borderId="0" xfId="0" applyAlignment="1">
      <alignment horizontal="center"/>
    </xf>
    <xf numFmtId="0" fontId="0" fillId="0" borderId="19" xfId="0" applyBorder="1" applyAlignment="1">
      <alignment wrapText="1"/>
    </xf>
    <xf numFmtId="41" fontId="18" fillId="7" borderId="5" xfId="0" applyNumberFormat="1" applyFont="1" applyFill="1" applyBorder="1"/>
    <xf numFmtId="0" fontId="4" fillId="18" borderId="26" xfId="0" applyFont="1" applyFill="1" applyBorder="1" applyAlignment="1">
      <alignment horizontal="center" vertical="center" wrapText="1"/>
    </xf>
    <xf numFmtId="3" fontId="14" fillId="16" borderId="2" xfId="1" applyNumberFormat="1" applyFont="1" applyFill="1" applyBorder="1" applyAlignment="1">
      <alignment horizontal="center" vertical="center"/>
    </xf>
    <xf numFmtId="41" fontId="14" fillId="17" borderId="2" xfId="1" applyNumberFormat="1" applyFont="1" applyFill="1" applyBorder="1" applyAlignment="1">
      <alignment horizontal="center" vertical="center" wrapText="1"/>
    </xf>
    <xf numFmtId="0" fontId="10" fillId="32" borderId="2" xfId="0" applyFont="1" applyFill="1" applyBorder="1" applyAlignment="1">
      <alignment horizontal="center" vertical="center" wrapText="1"/>
    </xf>
    <xf numFmtId="0" fontId="10" fillId="32" borderId="2" xfId="0" applyFont="1" applyFill="1" applyBorder="1" applyAlignment="1">
      <alignment horizontal="left" vertical="center" wrapText="1"/>
    </xf>
    <xf numFmtId="3" fontId="14" fillId="32" borderId="2" xfId="1" applyNumberFormat="1" applyFont="1" applyFill="1" applyBorder="1" applyAlignment="1">
      <alignment horizontal="right" vertical="center"/>
    </xf>
    <xf numFmtId="41" fontId="14" fillId="32" borderId="2" xfId="1" applyNumberFormat="1" applyFont="1" applyFill="1" applyBorder="1" applyAlignment="1">
      <alignment horizontal="center" vertical="center"/>
    </xf>
    <xf numFmtId="3" fontId="14" fillId="16" borderId="2" xfId="1" applyNumberFormat="1" applyFont="1" applyFill="1" applyBorder="1" applyAlignment="1">
      <alignment horizontal="center" vertical="center" wrapText="1"/>
    </xf>
    <xf numFmtId="3" fontId="24" fillId="0" borderId="18" xfId="0" applyNumberFormat="1" applyFont="1" applyFill="1" applyBorder="1" applyAlignment="1">
      <alignment horizontal="right" vertical="center" wrapText="1"/>
    </xf>
    <xf numFmtId="0" fontId="3" fillId="5" borderId="2" xfId="0" applyFont="1" applyFill="1" applyBorder="1" applyAlignment="1">
      <alignment horizontal="justify" vertical="center" wrapText="1"/>
    </xf>
    <xf numFmtId="0" fontId="3" fillId="5" borderId="2" xfId="0" applyFont="1" applyFill="1" applyBorder="1" applyAlignment="1">
      <alignment horizontal="center" vertical="center" wrapText="1"/>
    </xf>
    <xf numFmtId="0" fontId="2" fillId="5" borderId="2" xfId="2" applyFont="1" applyFill="1" applyBorder="1" applyAlignment="1">
      <alignment horizontal="justify" vertical="center" wrapText="1"/>
    </xf>
    <xf numFmtId="0" fontId="21" fillId="5" borderId="2" xfId="0" applyFont="1" applyFill="1" applyBorder="1" applyAlignment="1">
      <alignment horizontal="justify" vertical="center" wrapText="1"/>
    </xf>
    <xf numFmtId="0" fontId="22" fillId="5" borderId="2" xfId="0" applyFont="1" applyFill="1" applyBorder="1" applyAlignment="1">
      <alignment horizontal="center" vertical="center" wrapText="1"/>
    </xf>
    <xf numFmtId="0" fontId="2" fillId="15" borderId="1" xfId="0" applyFont="1" applyFill="1" applyBorder="1" applyAlignment="1">
      <alignment horizontal="left" vertical="center" wrapText="1"/>
    </xf>
    <xf numFmtId="0" fontId="2" fillId="15" borderId="1" xfId="0" applyFont="1" applyFill="1" applyBorder="1" applyAlignment="1">
      <alignment vertical="center" wrapText="1"/>
    </xf>
    <xf numFmtId="0" fontId="2" fillId="5" borderId="1" xfId="2" applyFont="1" applyFill="1" applyBorder="1" applyAlignment="1">
      <alignment horizontal="justify" vertical="center" wrapText="1"/>
    </xf>
    <xf numFmtId="9" fontId="3" fillId="5" borderId="2" xfId="5" applyFont="1" applyFill="1" applyBorder="1" applyAlignment="1">
      <alignment horizontal="center" vertical="center" wrapText="1"/>
    </xf>
    <xf numFmtId="0" fontId="2" fillId="15" borderId="1" xfId="2" applyFont="1" applyFill="1" applyBorder="1" applyAlignment="1">
      <alignment horizontal="justify" vertical="center" wrapText="1"/>
    </xf>
    <xf numFmtId="0" fontId="3" fillId="15" borderId="2" xfId="0" applyFont="1" applyFill="1" applyBorder="1" applyAlignment="1">
      <alignment horizontal="center" vertical="center" wrapText="1"/>
    </xf>
    <xf numFmtId="9" fontId="3" fillId="15" borderId="2" xfId="5" applyFont="1" applyFill="1" applyBorder="1" applyAlignment="1">
      <alignment horizontal="center" vertical="center" wrapText="1"/>
    </xf>
    <xf numFmtId="0" fontId="2" fillId="34" borderId="2" xfId="0" applyFont="1" applyFill="1" applyBorder="1" applyAlignment="1">
      <alignment horizontal="justify" vertical="center" wrapText="1"/>
    </xf>
    <xf numFmtId="0" fontId="2" fillId="34" borderId="1" xfId="0" applyFont="1" applyFill="1" applyBorder="1" applyAlignment="1">
      <alignment horizontal="justify" vertical="center" wrapText="1"/>
    </xf>
    <xf numFmtId="0" fontId="2" fillId="34" borderId="5" xfId="0" applyFont="1" applyFill="1" applyBorder="1" applyAlignment="1">
      <alignment horizontal="justify" vertical="center" wrapText="1"/>
    </xf>
    <xf numFmtId="0" fontId="2" fillId="18" borderId="2" xfId="0" applyFont="1" applyFill="1" applyBorder="1" applyAlignment="1">
      <alignment horizontal="justify" vertical="center" wrapText="1"/>
    </xf>
    <xf numFmtId="0" fontId="2" fillId="18" borderId="35" xfId="2" applyFont="1" applyFill="1" applyBorder="1" applyAlignment="1">
      <alignment horizontal="justify" vertical="center" wrapText="1"/>
    </xf>
    <xf numFmtId="0" fontId="2" fillId="18" borderId="1" xfId="2" applyFont="1" applyFill="1" applyBorder="1" applyAlignment="1">
      <alignment horizontal="justify" vertical="center" wrapText="1"/>
    </xf>
    <xf numFmtId="9" fontId="3" fillId="18" borderId="2" xfId="0" applyNumberFormat="1" applyFont="1" applyFill="1" applyBorder="1" applyAlignment="1">
      <alignment horizontal="center" vertical="center"/>
    </xf>
    <xf numFmtId="0" fontId="2" fillId="27" borderId="1" xfId="0" applyFont="1" applyFill="1" applyBorder="1" applyAlignment="1">
      <alignment horizontal="justify" vertical="center" wrapText="1"/>
    </xf>
    <xf numFmtId="0" fontId="37" fillId="15" borderId="2" xfId="0" applyFont="1" applyFill="1" applyBorder="1" applyAlignment="1">
      <alignment horizontal="center" vertical="center"/>
    </xf>
    <xf numFmtId="0" fontId="3" fillId="33" borderId="20" xfId="0" applyFont="1" applyFill="1" applyBorder="1" applyAlignment="1">
      <alignment horizontal="center" vertical="center"/>
    </xf>
    <xf numFmtId="0" fontId="2" fillId="16" borderId="2" xfId="0" applyFont="1" applyFill="1" applyBorder="1" applyAlignment="1">
      <alignment horizontal="center" vertical="center"/>
    </xf>
    <xf numFmtId="0" fontId="2" fillId="16" borderId="1" xfId="0" applyFont="1" applyFill="1" applyBorder="1" applyAlignment="1">
      <alignment horizontal="justify" vertical="center" wrapText="1"/>
    </xf>
    <xf numFmtId="0" fontId="3" fillId="16" borderId="3" xfId="0" applyFont="1" applyFill="1" applyBorder="1" applyAlignment="1">
      <alignment horizontal="center" vertical="center" wrapText="1"/>
    </xf>
    <xf numFmtId="0" fontId="2" fillId="16" borderId="2" xfId="0" applyFont="1" applyFill="1" applyBorder="1" applyAlignment="1">
      <alignment horizontal="justify" vertical="center" wrapText="1"/>
    </xf>
    <xf numFmtId="0" fontId="2" fillId="33" borderId="19" xfId="0" applyFont="1" applyFill="1" applyBorder="1" applyAlignment="1">
      <alignment horizontal="justify" vertical="center" wrapText="1"/>
    </xf>
    <xf numFmtId="0" fontId="2" fillId="33" borderId="20" xfId="0" applyFont="1" applyFill="1" applyBorder="1" applyAlignment="1">
      <alignment horizontal="justify" vertical="center" wrapText="1"/>
    </xf>
    <xf numFmtId="0" fontId="2" fillId="16" borderId="2" xfId="0" applyFont="1" applyFill="1" applyBorder="1" applyAlignment="1">
      <alignment horizontal="center" vertical="center" wrapText="1"/>
    </xf>
    <xf numFmtId="0" fontId="3" fillId="0" borderId="2" xfId="0" applyFont="1" applyBorder="1"/>
    <xf numFmtId="0" fontId="3" fillId="0" borderId="2" xfId="0" applyFont="1" applyBorder="1" applyAlignment="1">
      <alignment horizontal="center"/>
    </xf>
    <xf numFmtId="0" fontId="2" fillId="33" borderId="20"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right"/>
    </xf>
    <xf numFmtId="0" fontId="3" fillId="0" borderId="0" xfId="0" applyFont="1" applyAlignment="1">
      <alignment horizontal="right"/>
    </xf>
    <xf numFmtId="0" fontId="0" fillId="0" borderId="0" xfId="0" applyFont="1" applyAlignment="1">
      <alignment horizontal="center" vertical="center"/>
    </xf>
    <xf numFmtId="0" fontId="2" fillId="15" borderId="1" xfId="0" applyFont="1" applyFill="1" applyBorder="1" applyAlignment="1">
      <alignment horizontal="justify" vertical="center"/>
    </xf>
    <xf numFmtId="0" fontId="1" fillId="0" borderId="0" xfId="0" applyFont="1"/>
    <xf numFmtId="0" fontId="0" fillId="0" borderId="0" xfId="0" applyBorder="1"/>
    <xf numFmtId="0" fontId="24" fillId="15" borderId="11" xfId="0" applyFont="1" applyFill="1" applyBorder="1" applyAlignment="1">
      <alignment horizontal="justify" vertical="center" wrapText="1"/>
    </xf>
    <xf numFmtId="0" fontId="24" fillId="5" borderId="11" xfId="0" applyFont="1" applyFill="1" applyBorder="1" applyAlignment="1">
      <alignment horizontal="justify" vertical="center" wrapText="1"/>
    </xf>
    <xf numFmtId="166" fontId="0" fillId="0" borderId="18" xfId="0" applyNumberFormat="1" applyBorder="1" applyAlignment="1">
      <alignment horizontal="center" vertical="center"/>
    </xf>
    <xf numFmtId="166" fontId="0" fillId="0" borderId="0" xfId="0" applyNumberFormat="1" applyAlignment="1">
      <alignment horizontal="center"/>
    </xf>
    <xf numFmtId="0" fontId="2" fillId="15" borderId="11" xfId="0" applyFont="1" applyFill="1" applyBorder="1" applyAlignment="1">
      <alignment horizontal="justify" vertical="center" wrapText="1"/>
    </xf>
    <xf numFmtId="0" fontId="24" fillId="18" borderId="11" xfId="0" applyFont="1" applyFill="1" applyBorder="1" applyAlignment="1">
      <alignment horizontal="justify" vertical="center" wrapText="1"/>
    </xf>
    <xf numFmtId="0" fontId="3" fillId="0" borderId="20" xfId="0" applyFont="1" applyFill="1" applyBorder="1" applyAlignment="1">
      <alignment horizontal="center" vertical="center"/>
    </xf>
    <xf numFmtId="41" fontId="3" fillId="0" borderId="20" xfId="1" applyNumberFormat="1" applyFont="1" applyFill="1" applyBorder="1" applyAlignment="1">
      <alignment vertical="center"/>
    </xf>
    <xf numFmtId="0" fontId="2" fillId="15" borderId="11" xfId="0" applyFont="1" applyFill="1" applyBorder="1" applyAlignment="1">
      <alignment horizontal="justify" vertical="center"/>
    </xf>
    <xf numFmtId="0" fontId="2" fillId="18" borderId="11" xfId="0" applyFont="1" applyFill="1" applyBorder="1" applyAlignment="1">
      <alignment horizontal="justify" vertical="center" wrapText="1"/>
    </xf>
    <xf numFmtId="0" fontId="7" fillId="0" borderId="19" xfId="0" applyFont="1" applyFill="1" applyBorder="1" applyAlignment="1">
      <alignment horizontal="justify" vertical="center" wrapText="1" readingOrder="1"/>
    </xf>
    <xf numFmtId="164" fontId="3" fillId="0" borderId="20" xfId="0" applyNumberFormat="1" applyFont="1" applyFill="1" applyBorder="1" applyAlignment="1">
      <alignment horizontal="center" vertical="center"/>
    </xf>
    <xf numFmtId="41" fontId="3" fillId="0" borderId="21" xfId="3" applyFont="1" applyFill="1" applyBorder="1" applyAlignment="1">
      <alignment horizontal="center" vertical="center"/>
    </xf>
    <xf numFmtId="0" fontId="2" fillId="18" borderId="11" xfId="2" applyFont="1" applyFill="1" applyBorder="1" applyAlignment="1">
      <alignment horizontal="justify" vertical="center"/>
    </xf>
    <xf numFmtId="0" fontId="2" fillId="17" borderId="11" xfId="2" applyFont="1" applyFill="1" applyBorder="1" applyAlignment="1">
      <alignment horizontal="justify" vertical="center"/>
    </xf>
    <xf numFmtId="0" fontId="2" fillId="17" borderId="11" xfId="0" applyFont="1" applyFill="1" applyBorder="1" applyAlignment="1">
      <alignment horizontal="justify" vertical="center"/>
    </xf>
    <xf numFmtId="0" fontId="2" fillId="24" borderId="11" xfId="0" applyFont="1" applyFill="1" applyBorder="1" applyAlignment="1">
      <alignment horizontal="justify" vertical="center"/>
    </xf>
    <xf numFmtId="0" fontId="2" fillId="18" borderId="11" xfId="0" applyFont="1" applyFill="1" applyBorder="1" applyAlignment="1">
      <alignment horizontal="justify" vertical="center"/>
    </xf>
    <xf numFmtId="0" fontId="2" fillId="19" borderId="12" xfId="0" applyFont="1" applyFill="1" applyBorder="1" applyAlignment="1">
      <alignment horizontal="justify" vertical="center" wrapText="1"/>
    </xf>
    <xf numFmtId="0" fontId="2" fillId="20" borderId="12" xfId="0" applyFont="1" applyFill="1" applyBorder="1" applyAlignment="1">
      <alignment horizontal="justify" vertical="center" wrapText="1"/>
    </xf>
    <xf numFmtId="0" fontId="2" fillId="5" borderId="11" xfId="0" applyFont="1" applyFill="1" applyBorder="1" applyAlignment="1">
      <alignment horizontal="justify" vertical="center"/>
    </xf>
    <xf numFmtId="0" fontId="3" fillId="18" borderId="11" xfId="0" applyFont="1" applyFill="1" applyBorder="1" applyAlignment="1">
      <alignment horizontal="justify" vertical="center"/>
    </xf>
    <xf numFmtId="0" fontId="3" fillId="17" borderId="11" xfId="2" applyFont="1" applyFill="1" applyBorder="1" applyAlignment="1">
      <alignment horizontal="justify" vertical="center"/>
    </xf>
    <xf numFmtId="0" fontId="10" fillId="16" borderId="2" xfId="0" applyFont="1" applyFill="1" applyBorder="1" applyAlignment="1">
      <alignment horizontal="left" vertical="center" wrapText="1"/>
    </xf>
    <xf numFmtId="0" fontId="10" fillId="16" borderId="2" xfId="0" applyFont="1" applyFill="1" applyBorder="1" applyAlignment="1">
      <alignment horizontal="center" vertical="center" wrapText="1"/>
    </xf>
    <xf numFmtId="0" fontId="33" fillId="16" borderId="2" xfId="0" applyFont="1" applyFill="1" applyBorder="1" applyAlignment="1">
      <alignment horizontal="left" vertical="center" wrapText="1"/>
    </xf>
    <xf numFmtId="0" fontId="10" fillId="17" borderId="2" xfId="0" applyFont="1" applyFill="1" applyBorder="1" applyAlignment="1">
      <alignment horizontal="center" vertical="center" wrapText="1"/>
    </xf>
    <xf numFmtId="0" fontId="33" fillId="17" borderId="2" xfId="0" applyFont="1" applyFill="1" applyBorder="1" applyAlignment="1">
      <alignment horizontal="left" vertical="center" wrapText="1"/>
    </xf>
    <xf numFmtId="0" fontId="0" fillId="0" borderId="0" xfId="0" applyAlignment="1">
      <alignment horizontal="center"/>
    </xf>
    <xf numFmtId="0" fontId="20" fillId="14" borderId="5" xfId="0" applyFont="1" applyFill="1" applyBorder="1" applyAlignment="1">
      <alignment horizontal="center" vertical="center" wrapText="1"/>
    </xf>
    <xf numFmtId="0" fontId="20" fillId="14" borderId="37" xfId="0" applyFont="1" applyFill="1" applyBorder="1" applyAlignment="1">
      <alignment horizontal="center" vertical="center" wrapText="1"/>
    </xf>
    <xf numFmtId="0" fontId="20" fillId="14" borderId="17" xfId="0" applyFont="1" applyFill="1" applyBorder="1" applyAlignment="1">
      <alignment horizontal="center" vertical="center" wrapText="1"/>
    </xf>
    <xf numFmtId="0" fontId="4" fillId="14" borderId="38" xfId="0" applyFont="1" applyFill="1" applyBorder="1" applyAlignment="1">
      <alignment horizontal="center" vertical="center" wrapText="1"/>
    </xf>
    <xf numFmtId="0" fontId="4" fillId="18" borderId="5" xfId="0" applyFont="1" applyFill="1" applyBorder="1" applyAlignment="1">
      <alignment horizontal="center" vertical="center" wrapText="1"/>
    </xf>
    <xf numFmtId="0" fontId="4" fillId="14" borderId="37" xfId="0" applyFont="1" applyFill="1" applyBorder="1" applyAlignment="1">
      <alignment horizontal="center" vertical="center"/>
    </xf>
    <xf numFmtId="0" fontId="23" fillId="0"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3" fillId="0" borderId="2" xfId="0" applyNumberFormat="1" applyFont="1" applyFill="1" applyBorder="1" applyAlignment="1">
      <alignment horizontal="center" vertical="center"/>
    </xf>
    <xf numFmtId="168" fontId="3" fillId="0" borderId="2" xfId="0" applyNumberFormat="1" applyFont="1" applyFill="1" applyBorder="1" applyAlignment="1">
      <alignment vertical="center"/>
    </xf>
    <xf numFmtId="169" fontId="0" fillId="0" borderId="0" xfId="5" applyNumberFormat="1" applyFont="1"/>
    <xf numFmtId="0" fontId="0" fillId="0" borderId="56" xfId="0" applyBorder="1" applyAlignment="1">
      <alignment horizontal="center"/>
    </xf>
    <xf numFmtId="0" fontId="0" fillId="0" borderId="57" xfId="0" applyBorder="1" applyAlignment="1">
      <alignment horizontal="center"/>
    </xf>
    <xf numFmtId="167" fontId="0" fillId="0" borderId="57" xfId="6" applyNumberFormat="1" applyFont="1" applyBorder="1"/>
    <xf numFmtId="169" fontId="0" fillId="0" borderId="58" xfId="5" applyNumberFormat="1" applyFont="1" applyBorder="1"/>
    <xf numFmtId="0" fontId="0" fillId="0" borderId="57" xfId="0" applyBorder="1"/>
    <xf numFmtId="0" fontId="0" fillId="0" borderId="60" xfId="0" applyBorder="1" applyAlignment="1">
      <alignment horizontal="center"/>
    </xf>
    <xf numFmtId="167" fontId="0" fillId="0" borderId="60" xfId="6" applyNumberFormat="1" applyFont="1" applyBorder="1"/>
    <xf numFmtId="169" fontId="0" fillId="0" borderId="61" xfId="5" applyNumberFormat="1" applyFont="1" applyBorder="1"/>
    <xf numFmtId="0" fontId="0" fillId="0" borderId="62" xfId="0" applyBorder="1" applyAlignment="1">
      <alignment horizontal="center"/>
    </xf>
    <xf numFmtId="0" fontId="0" fillId="0" borderId="63" xfId="0" applyBorder="1" applyAlignment="1">
      <alignment horizontal="center"/>
    </xf>
    <xf numFmtId="167" fontId="0" fillId="0" borderId="63" xfId="6" applyNumberFormat="1" applyFont="1" applyBorder="1"/>
    <xf numFmtId="169" fontId="0" fillId="0" borderId="64" xfId="5" applyNumberFormat="1" applyFont="1" applyBorder="1"/>
    <xf numFmtId="0" fontId="0" fillId="0" borderId="65" xfId="0" applyBorder="1" applyAlignment="1">
      <alignment horizontal="center"/>
    </xf>
    <xf numFmtId="0" fontId="18" fillId="0" borderId="66" xfId="0" applyFont="1" applyBorder="1" applyAlignment="1">
      <alignment horizontal="center"/>
    </xf>
    <xf numFmtId="0" fontId="18" fillId="0" borderId="67" xfId="0" applyFont="1" applyBorder="1" applyAlignment="1">
      <alignment horizontal="center"/>
    </xf>
    <xf numFmtId="0" fontId="0" fillId="0" borderId="68" xfId="0" applyBorder="1"/>
    <xf numFmtId="0" fontId="0" fillId="0" borderId="69" xfId="0" applyBorder="1"/>
    <xf numFmtId="0" fontId="0" fillId="0" borderId="69" xfId="0" applyBorder="1" applyAlignment="1">
      <alignment horizontal="center"/>
    </xf>
    <xf numFmtId="167" fontId="0" fillId="0" borderId="69" xfId="6" applyNumberFormat="1" applyFont="1" applyBorder="1"/>
    <xf numFmtId="169" fontId="0" fillId="0" borderId="70" xfId="5" applyNumberFormat="1" applyFont="1" applyBorder="1"/>
    <xf numFmtId="0" fontId="0" fillId="0" borderId="59" xfId="0" applyBorder="1" applyAlignment="1">
      <alignment horizontal="center"/>
    </xf>
    <xf numFmtId="0" fontId="8" fillId="26" borderId="3" xfId="0" applyFont="1" applyFill="1" applyBorder="1" applyAlignment="1">
      <alignment vertical="center"/>
    </xf>
    <xf numFmtId="0" fontId="8" fillId="26" borderId="5" xfId="0" applyFont="1" applyFill="1" applyBorder="1" applyAlignment="1">
      <alignment vertical="center"/>
    </xf>
    <xf numFmtId="167" fontId="14" fillId="35" borderId="5" xfId="6" applyNumberFormat="1" applyFont="1" applyFill="1" applyBorder="1"/>
    <xf numFmtId="10" fontId="14" fillId="0" borderId="0" xfId="5" applyNumberFormat="1" applyFont="1"/>
    <xf numFmtId="0" fontId="2" fillId="16" borderId="4" xfId="0" applyFont="1" applyFill="1" applyBorder="1" applyAlignment="1">
      <alignment horizontal="justify" vertical="center" wrapText="1"/>
    </xf>
    <xf numFmtId="0" fontId="3" fillId="0" borderId="2" xfId="0" applyFont="1" applyBorder="1" applyAlignment="1">
      <alignment horizontal="center" vertical="center"/>
    </xf>
    <xf numFmtId="0" fontId="3" fillId="0" borderId="0" xfId="0" applyFont="1" applyAlignment="1">
      <alignment vertical="center"/>
    </xf>
    <xf numFmtId="0" fontId="2" fillId="0" borderId="19" xfId="0" applyFont="1" applyFill="1" applyBorder="1" applyAlignment="1">
      <alignment horizontal="justify" vertical="center"/>
    </xf>
    <xf numFmtId="0" fontId="3" fillId="0" borderId="2" xfId="0" applyFont="1" applyBorder="1" applyAlignment="1">
      <alignment horizontal="center" vertical="center" wrapText="1"/>
    </xf>
    <xf numFmtId="0" fontId="4" fillId="0" borderId="0" xfId="0" applyFont="1"/>
    <xf numFmtId="166" fontId="3" fillId="0" borderId="0" xfId="0" applyNumberFormat="1" applyFont="1" applyAlignment="1">
      <alignment horizontal="right" vertical="center"/>
    </xf>
    <xf numFmtId="166" fontId="2" fillId="16" borderId="18" xfId="0" applyNumberFormat="1" applyFont="1" applyFill="1" applyBorder="1" applyAlignment="1">
      <alignment horizontal="right" vertical="center" wrapText="1"/>
    </xf>
    <xf numFmtId="166" fontId="3" fillId="0" borderId="18" xfId="0" applyNumberFormat="1" applyFont="1" applyBorder="1" applyAlignment="1">
      <alignment horizontal="right" vertical="center"/>
    </xf>
    <xf numFmtId="166" fontId="3" fillId="0" borderId="18" xfId="0" applyNumberFormat="1" applyFont="1" applyFill="1" applyBorder="1" applyAlignment="1">
      <alignment horizontal="right" vertical="center"/>
    </xf>
    <xf numFmtId="3" fontId="2" fillId="0" borderId="2" xfId="0" applyNumberFormat="1" applyFont="1" applyFill="1" applyBorder="1" applyAlignment="1">
      <alignment horizontal="right" vertical="center"/>
    </xf>
    <xf numFmtId="3" fontId="2" fillId="0" borderId="18" xfId="0" applyNumberFormat="1" applyFont="1" applyFill="1" applyBorder="1" applyAlignment="1">
      <alignment horizontal="right" vertical="center"/>
    </xf>
    <xf numFmtId="3" fontId="2" fillId="15" borderId="2" xfId="0" applyNumberFormat="1" applyFont="1" applyFill="1" applyBorder="1" applyAlignment="1">
      <alignment horizontal="right" vertical="center"/>
    </xf>
    <xf numFmtId="3" fontId="2" fillId="15" borderId="18" xfId="0" applyNumberFormat="1" applyFont="1" applyFill="1" applyBorder="1" applyAlignment="1">
      <alignment horizontal="right" vertical="center"/>
    </xf>
    <xf numFmtId="0" fontId="2" fillId="33" borderId="3" xfId="0" applyFont="1" applyFill="1" applyBorder="1" applyAlignment="1">
      <alignment horizontal="center" vertical="center"/>
    </xf>
    <xf numFmtId="1" fontId="2" fillId="33" borderId="3" xfId="0" applyNumberFormat="1" applyFont="1" applyFill="1" applyBorder="1" applyAlignment="1">
      <alignment horizontal="center" vertical="center"/>
    </xf>
    <xf numFmtId="1" fontId="2" fillId="33" borderId="3" xfId="0" applyNumberFormat="1" applyFont="1" applyFill="1" applyBorder="1" applyAlignment="1">
      <alignment horizontal="right" vertical="center"/>
    </xf>
    <xf numFmtId="3" fontId="2" fillId="33" borderId="3" xfId="0" applyNumberFormat="1" applyFont="1" applyFill="1" applyBorder="1" applyAlignment="1">
      <alignment horizontal="right" vertical="center"/>
    </xf>
    <xf numFmtId="167" fontId="3" fillId="0" borderId="2" xfId="6" applyNumberFormat="1" applyFont="1" applyFill="1" applyBorder="1" applyAlignment="1">
      <alignment horizontal="center" vertical="center" wrapText="1"/>
    </xf>
    <xf numFmtId="43" fontId="0" fillId="0" borderId="0" xfId="6" applyFont="1"/>
    <xf numFmtId="166" fontId="3" fillId="0" borderId="18" xfId="0" applyNumberFormat="1" applyFont="1" applyBorder="1" applyAlignment="1">
      <alignment horizontal="right"/>
    </xf>
    <xf numFmtId="166" fontId="0" fillId="0" borderId="0" xfId="0" applyNumberFormat="1" applyAlignment="1">
      <alignment horizontal="right"/>
    </xf>
    <xf numFmtId="0" fontId="2" fillId="16" borderId="8" xfId="0" applyFont="1" applyFill="1" applyBorder="1" applyAlignment="1">
      <alignment horizontal="center" vertical="center" wrapText="1"/>
    </xf>
    <xf numFmtId="166" fontId="3" fillId="0" borderId="8" xfId="0" applyNumberFormat="1" applyFont="1" applyFill="1" applyBorder="1" applyAlignment="1">
      <alignment horizontal="center" vertical="center" wrapText="1"/>
    </xf>
    <xf numFmtId="166" fontId="3" fillId="0" borderId="8" xfId="0" applyNumberFormat="1" applyFont="1" applyFill="1" applyBorder="1" applyAlignment="1">
      <alignment horizontal="right" vertical="center" wrapText="1"/>
    </xf>
    <xf numFmtId="0" fontId="0" fillId="0" borderId="0" xfId="0" applyAlignment="1">
      <alignment vertical="center"/>
    </xf>
    <xf numFmtId="166" fontId="2" fillId="16" borderId="8" xfId="0" applyNumberFormat="1" applyFont="1" applyFill="1" applyBorder="1" applyAlignment="1">
      <alignment horizontal="center" vertical="center" wrapText="1"/>
    </xf>
    <xf numFmtId="0" fontId="3" fillId="0" borderId="2" xfId="0" applyFont="1" applyBorder="1" applyAlignment="1">
      <alignment vertical="center"/>
    </xf>
    <xf numFmtId="166" fontId="0" fillId="0" borderId="0" xfId="0" applyNumberFormat="1" applyAlignment="1">
      <alignment vertical="center"/>
    </xf>
    <xf numFmtId="166" fontId="0" fillId="0" borderId="0" xfId="0" applyNumberFormat="1" applyAlignment="1">
      <alignment horizontal="center" vertical="center"/>
    </xf>
    <xf numFmtId="167" fontId="14" fillId="0" borderId="0" xfId="0" applyNumberFormat="1" applyFont="1"/>
    <xf numFmtId="167" fontId="3" fillId="0" borderId="8" xfId="6"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71" fontId="0" fillId="0" borderId="0" xfId="0" applyNumberFormat="1" applyAlignment="1">
      <alignment horizontal="center" vertical="center"/>
    </xf>
    <xf numFmtId="166" fontId="3" fillId="0" borderId="18" xfId="0" applyNumberFormat="1" applyFont="1" applyFill="1" applyBorder="1" applyAlignment="1">
      <alignment horizontal="center" vertical="center"/>
    </xf>
    <xf numFmtId="167" fontId="3" fillId="0" borderId="2" xfId="6" applyNumberFormat="1" applyFont="1" applyFill="1" applyBorder="1" applyAlignment="1">
      <alignment horizontal="justify" vertical="center"/>
    </xf>
    <xf numFmtId="167" fontId="3" fillId="0" borderId="8" xfId="6" applyNumberFormat="1" applyFont="1" applyFill="1" applyBorder="1" applyAlignment="1">
      <alignment horizontal="justify" vertical="center"/>
    </xf>
    <xf numFmtId="167" fontId="3" fillId="0" borderId="2" xfId="6" applyNumberFormat="1" applyFont="1" applyFill="1" applyBorder="1" applyAlignment="1">
      <alignment horizontal="center" vertical="center"/>
    </xf>
    <xf numFmtId="43" fontId="0" fillId="0" borderId="0" xfId="0" applyNumberFormat="1"/>
    <xf numFmtId="0" fontId="3" fillId="33" borderId="3" xfId="0" applyFont="1" applyFill="1" applyBorder="1" applyAlignment="1">
      <alignment horizontal="center" vertical="center" wrapText="1"/>
    </xf>
    <xf numFmtId="164" fontId="0" fillId="33" borderId="20" xfId="1" applyFont="1" applyFill="1" applyBorder="1" applyAlignment="1">
      <alignment vertical="center"/>
    </xf>
    <xf numFmtId="0" fontId="2" fillId="16" borderId="6" xfId="0" applyFont="1" applyFill="1" applyBorder="1" applyAlignment="1">
      <alignment horizontal="justify" vertical="center" wrapText="1"/>
    </xf>
    <xf numFmtId="0" fontId="3" fillId="16" borderId="3" xfId="0" applyFont="1" applyFill="1" applyBorder="1"/>
    <xf numFmtId="166" fontId="3" fillId="16" borderId="45" xfId="0" applyNumberFormat="1" applyFont="1" applyFill="1" applyBorder="1" applyAlignment="1">
      <alignment horizontal="right"/>
    </xf>
    <xf numFmtId="0" fontId="2" fillId="33" borderId="19" xfId="2" applyFont="1" applyFill="1" applyBorder="1" applyAlignment="1">
      <alignment horizontal="justify" vertical="center"/>
    </xf>
    <xf numFmtId="0" fontId="3" fillId="33" borderId="20" xfId="0" applyNumberFormat="1" applyFont="1" applyFill="1" applyBorder="1" applyAlignment="1">
      <alignment horizontal="center" vertical="center"/>
    </xf>
    <xf numFmtId="168" fontId="3" fillId="33" borderId="20" xfId="0" applyNumberFormat="1" applyFont="1" applyFill="1" applyBorder="1" applyAlignment="1">
      <alignment vertical="center"/>
    </xf>
    <xf numFmtId="164" fontId="0" fillId="0" borderId="0" xfId="0" applyNumberFormat="1" applyAlignment="1">
      <alignment wrapText="1"/>
    </xf>
    <xf numFmtId="0" fontId="0" fillId="0" borderId="0" xfId="0" applyAlignment="1">
      <alignment horizontal="right" vertical="center"/>
    </xf>
    <xf numFmtId="166" fontId="3" fillId="0" borderId="18" xfId="0" applyNumberFormat="1" applyFont="1" applyFill="1" applyBorder="1" applyAlignment="1">
      <alignment vertical="center"/>
    </xf>
    <xf numFmtId="166" fontId="2" fillId="0" borderId="18" xfId="0" applyNumberFormat="1" applyFont="1" applyFill="1" applyBorder="1" applyAlignment="1">
      <alignment horizontal="right" vertical="center"/>
    </xf>
    <xf numFmtId="9" fontId="0" fillId="0" borderId="0" xfId="5" applyFont="1"/>
    <xf numFmtId="167" fontId="0" fillId="0" borderId="2" xfId="6" applyNumberFormat="1" applyFont="1" applyBorder="1"/>
    <xf numFmtId="167" fontId="0" fillId="13" borderId="2" xfId="6" applyNumberFormat="1" applyFont="1" applyFill="1" applyBorder="1"/>
    <xf numFmtId="167" fontId="0" fillId="0" borderId="2" xfId="6" applyNumberFormat="1" applyFont="1" applyFill="1" applyBorder="1"/>
    <xf numFmtId="10" fontId="0" fillId="0" borderId="0" xfId="0" applyNumberFormat="1"/>
    <xf numFmtId="9" fontId="14" fillId="0" borderId="0" xfId="5" applyNumberFormat="1" applyFont="1"/>
    <xf numFmtId="10" fontId="10" fillId="17" borderId="2" xfId="5" applyNumberFormat="1" applyFont="1" applyFill="1" applyBorder="1" applyAlignment="1">
      <alignment horizontal="center" vertical="center" wrapText="1"/>
    </xf>
    <xf numFmtId="10" fontId="10" fillId="16" borderId="2" xfId="5" applyNumberFormat="1" applyFont="1" applyFill="1" applyBorder="1" applyAlignment="1">
      <alignment horizontal="center" vertical="center" wrapText="1"/>
    </xf>
    <xf numFmtId="10" fontId="27" fillId="17" borderId="2" xfId="5" applyNumberFormat="1" applyFont="1" applyFill="1" applyBorder="1" applyAlignment="1">
      <alignment horizontal="center" vertical="center" wrapText="1"/>
    </xf>
    <xf numFmtId="41" fontId="14" fillId="16" borderId="2" xfId="1" applyNumberFormat="1" applyFont="1" applyFill="1" applyBorder="1" applyAlignment="1">
      <alignment vertical="center"/>
    </xf>
    <xf numFmtId="41" fontId="14" fillId="17" borderId="2" xfId="1" applyNumberFormat="1" applyFont="1" applyFill="1" applyBorder="1" applyAlignment="1">
      <alignment vertical="center"/>
    </xf>
    <xf numFmtId="10" fontId="0" fillId="0" borderId="0" xfId="5" applyNumberFormat="1" applyFont="1"/>
    <xf numFmtId="0" fontId="0" fillId="0" borderId="2" xfId="0" applyBorder="1" applyAlignment="1">
      <alignment horizontal="center"/>
    </xf>
    <xf numFmtId="0" fontId="0" fillId="0" borderId="2" xfId="0" applyFill="1" applyBorder="1" applyAlignment="1">
      <alignment horizontal="center"/>
    </xf>
    <xf numFmtId="0" fontId="0" fillId="0" borderId="2" xfId="0" applyFill="1" applyBorder="1" applyAlignment="1">
      <alignment horizontal="center" wrapText="1"/>
    </xf>
    <xf numFmtId="10" fontId="0" fillId="0" borderId="2" xfId="0" applyNumberFormat="1" applyBorder="1" applyAlignment="1">
      <alignment horizontal="center"/>
    </xf>
    <xf numFmtId="10" fontId="0" fillId="0" borderId="2" xfId="0" applyNumberFormat="1" applyFill="1" applyBorder="1" applyAlignment="1">
      <alignment horizontal="center" wrapText="1"/>
    </xf>
    <xf numFmtId="43" fontId="25" fillId="0" borderId="2" xfId="6" applyFont="1" applyFill="1" applyBorder="1" applyAlignment="1">
      <alignment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2" xfId="0" applyBorder="1" applyAlignment="1">
      <alignment vertical="center"/>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9" fontId="18" fillId="0" borderId="2" xfId="0" applyNumberFormat="1" applyFont="1" applyBorder="1" applyAlignment="1">
      <alignment horizontal="center" vertical="center"/>
    </xf>
    <xf numFmtId="169" fontId="25" fillId="0" borderId="2" xfId="5" applyNumberFormat="1" applyFont="1" applyFill="1" applyBorder="1" applyAlignment="1">
      <alignment horizontal="center" vertical="center"/>
    </xf>
    <xf numFmtId="167" fontId="3" fillId="0" borderId="75" xfId="6" applyNumberFormat="1" applyFont="1" applyFill="1" applyBorder="1" applyAlignment="1">
      <alignment horizontal="center" vertical="center" wrapText="1"/>
    </xf>
    <xf numFmtId="167" fontId="3" fillId="0" borderId="8" xfId="6" applyNumberFormat="1" applyFont="1" applyBorder="1" applyAlignment="1">
      <alignment horizontal="right"/>
    </xf>
    <xf numFmtId="167" fontId="3" fillId="0" borderId="75" xfId="6" applyNumberFormat="1" applyFont="1" applyBorder="1" applyAlignment="1">
      <alignment horizontal="right" vertical="center"/>
    </xf>
    <xf numFmtId="167" fontId="3" fillId="0" borderId="2" xfId="6" applyNumberFormat="1" applyFont="1" applyBorder="1" applyAlignment="1">
      <alignment horizontal="right"/>
    </xf>
    <xf numFmtId="167" fontId="3" fillId="0" borderId="2" xfId="6" applyNumberFormat="1" applyFont="1" applyBorder="1" applyAlignment="1">
      <alignment horizontal="right" vertical="center"/>
    </xf>
    <xf numFmtId="167" fontId="2" fillId="0" borderId="2" xfId="6"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xf>
    <xf numFmtId="0" fontId="24" fillId="15" borderId="17" xfId="0" applyFont="1" applyFill="1" applyBorder="1" applyAlignment="1">
      <alignment horizontal="justify" vertical="center" wrapText="1"/>
    </xf>
    <xf numFmtId="0" fontId="23" fillId="15" borderId="37" xfId="0" applyFont="1" applyFill="1" applyBorder="1" applyAlignment="1">
      <alignment horizontal="center" vertical="center"/>
    </xf>
    <xf numFmtId="3" fontId="23" fillId="15" borderId="38" xfId="1" applyNumberFormat="1" applyFont="1" applyFill="1" applyBorder="1" applyAlignment="1">
      <alignment horizontal="right" vertical="center"/>
    </xf>
    <xf numFmtId="0" fontId="24" fillId="0" borderId="5" xfId="0" applyFont="1" applyFill="1" applyBorder="1" applyAlignment="1">
      <alignment horizontal="center" vertical="center" wrapText="1"/>
    </xf>
    <xf numFmtId="3" fontId="24" fillId="0" borderId="43" xfId="0" applyNumberFormat="1" applyFont="1" applyFill="1" applyBorder="1" applyAlignment="1">
      <alignment horizontal="right" vertical="center" wrapText="1"/>
    </xf>
    <xf numFmtId="0" fontId="24" fillId="0" borderId="3" xfId="0" applyFont="1" applyFill="1" applyBorder="1" applyAlignment="1">
      <alignment horizontal="center" vertical="center" wrapText="1"/>
    </xf>
    <xf numFmtId="0" fontId="24" fillId="5" borderId="17" xfId="0" applyFont="1" applyFill="1" applyBorder="1" applyAlignment="1">
      <alignment horizontal="justify" vertical="center" wrapText="1"/>
    </xf>
    <xf numFmtId="0" fontId="23" fillId="5" borderId="37" xfId="0" applyFont="1" applyFill="1" applyBorder="1" applyAlignment="1">
      <alignment horizontal="center" vertical="center"/>
    </xf>
    <xf numFmtId="3" fontId="28" fillId="5" borderId="38" xfId="1" applyNumberFormat="1" applyFont="1" applyFill="1" applyBorder="1" applyAlignment="1">
      <alignment horizontal="right" vertical="center"/>
    </xf>
    <xf numFmtId="0" fontId="2" fillId="0" borderId="0" xfId="0" applyFont="1"/>
    <xf numFmtId="42" fontId="2" fillId="0" borderId="0" xfId="8" applyFont="1" applyAlignment="1">
      <alignment horizontal="right"/>
    </xf>
    <xf numFmtId="0" fontId="2" fillId="0" borderId="0" xfId="0" applyFont="1" applyAlignment="1">
      <alignment horizontal="right"/>
    </xf>
    <xf numFmtId="164" fontId="2" fillId="16" borderId="8" xfId="0" applyNumberFormat="1" applyFont="1" applyFill="1" applyBorder="1" applyAlignment="1">
      <alignment horizontal="center" vertical="center" wrapText="1"/>
    </xf>
    <xf numFmtId="164" fontId="3" fillId="0" borderId="8" xfId="0" applyNumberFormat="1" applyFont="1" applyBorder="1" applyAlignment="1">
      <alignment horizontal="center" vertical="center"/>
    </xf>
    <xf numFmtId="164" fontId="3" fillId="0" borderId="8"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0" fillId="16" borderId="2" xfId="0" applyFont="1" applyFill="1" applyBorder="1" applyAlignment="1">
      <alignment horizontal="justify" vertical="center" wrapText="1"/>
    </xf>
    <xf numFmtId="0" fontId="20" fillId="16" borderId="2" xfId="0" applyFont="1" applyFill="1" applyBorder="1" applyAlignment="1">
      <alignment horizontal="center" vertical="center" wrapText="1"/>
    </xf>
    <xf numFmtId="167" fontId="20" fillId="16" borderId="2" xfId="6" applyNumberFormat="1" applyFont="1" applyFill="1" applyBorder="1" applyAlignment="1">
      <alignment horizontal="center" vertical="center" wrapText="1"/>
    </xf>
    <xf numFmtId="167" fontId="3" fillId="0" borderId="2" xfId="0" applyNumberFormat="1" applyFont="1" applyFill="1" applyBorder="1" applyAlignment="1">
      <alignment horizontal="center" vertical="center" wrapText="1"/>
    </xf>
    <xf numFmtId="166" fontId="2" fillId="16" borderId="2" xfId="0" applyNumberFormat="1"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0" fontId="3" fillId="0" borderId="34" xfId="0" applyFont="1" applyFill="1" applyBorder="1" applyAlignment="1">
      <alignment horizontal="center" vertical="center" wrapText="1"/>
    </xf>
    <xf numFmtId="0" fontId="4" fillId="18" borderId="12" xfId="0" applyFont="1" applyFill="1" applyBorder="1" applyAlignment="1">
      <alignment horizontal="justify" vertical="center" wrapText="1"/>
    </xf>
    <xf numFmtId="0" fontId="3" fillId="16" borderId="75" xfId="0" applyFont="1" applyFill="1" applyBorder="1" applyAlignment="1">
      <alignment horizontal="center" vertical="center" wrapText="1"/>
    </xf>
    <xf numFmtId="166" fontId="3" fillId="16" borderId="75" xfId="0" applyNumberFormat="1" applyFont="1" applyFill="1" applyBorder="1" applyAlignment="1">
      <alignment horizontal="center" vertical="center" wrapText="1"/>
    </xf>
    <xf numFmtId="0" fontId="0" fillId="0" borderId="0" xfId="0" applyAlignment="1">
      <alignment horizontal="center" vertical="center"/>
    </xf>
    <xf numFmtId="0" fontId="2" fillId="15" borderId="17" xfId="0" applyFont="1" applyFill="1" applyBorder="1" applyAlignment="1">
      <alignment horizontal="justify" vertical="center" wrapText="1"/>
    </xf>
    <xf numFmtId="0" fontId="3" fillId="15" borderId="37" xfId="0" applyFont="1" applyFill="1" applyBorder="1" applyAlignment="1">
      <alignment horizontal="center" vertical="center"/>
    </xf>
    <xf numFmtId="164" fontId="0" fillId="15" borderId="37" xfId="0" applyNumberFormat="1" applyFill="1" applyBorder="1" applyAlignment="1">
      <alignment vertical="center"/>
    </xf>
    <xf numFmtId="0" fontId="2" fillId="0" borderId="22" xfId="0" applyFont="1" applyFill="1" applyBorder="1" applyAlignment="1">
      <alignment horizontal="justify" vertical="center" wrapText="1"/>
    </xf>
    <xf numFmtId="0" fontId="3" fillId="0" borderId="7" xfId="0" applyFont="1" applyFill="1" applyBorder="1" applyAlignment="1">
      <alignment horizontal="center" vertical="center"/>
    </xf>
    <xf numFmtId="3" fontId="0" fillId="0" borderId="7" xfId="0" applyNumberFormat="1" applyFill="1" applyBorder="1" applyAlignment="1">
      <alignment vertical="center"/>
    </xf>
    <xf numFmtId="3" fontId="0" fillId="0" borderId="23" xfId="0" applyNumberFormat="1" applyFill="1" applyBorder="1" applyAlignment="1">
      <alignment vertical="center"/>
    </xf>
    <xf numFmtId="0" fontId="2" fillId="5" borderId="17" xfId="0" applyFont="1" applyFill="1" applyBorder="1" applyAlignment="1">
      <alignment horizontal="justify" vertical="center" wrapText="1"/>
    </xf>
    <xf numFmtId="0" fontId="3" fillId="5" borderId="37" xfId="0" applyFont="1" applyFill="1" applyBorder="1" applyAlignment="1">
      <alignment horizontal="center" vertical="center"/>
    </xf>
    <xf numFmtId="164" fontId="0" fillId="5" borderId="37" xfId="0" applyNumberFormat="1" applyFill="1" applyBorder="1" applyAlignment="1">
      <alignment vertical="center"/>
    </xf>
    <xf numFmtId="164" fontId="0" fillId="5" borderId="38" xfId="0" applyNumberFormat="1" applyFill="1" applyBorder="1" applyAlignment="1">
      <alignment vertical="center"/>
    </xf>
    <xf numFmtId="164" fontId="0" fillId="0" borderId="5" xfId="1" applyFont="1" applyFill="1" applyBorder="1" applyAlignment="1">
      <alignment vertical="center"/>
    </xf>
    <xf numFmtId="0" fontId="2" fillId="15" borderId="17" xfId="0" applyFont="1" applyFill="1" applyBorder="1" applyAlignment="1">
      <alignment horizontal="justify" vertical="center"/>
    </xf>
    <xf numFmtId="0" fontId="2" fillId="0" borderId="22" xfId="0" applyFont="1" applyFill="1" applyBorder="1" applyAlignment="1">
      <alignment horizontal="justify" vertical="center"/>
    </xf>
    <xf numFmtId="164" fontId="0" fillId="0" borderId="7" xfId="0" applyNumberFormat="1" applyFill="1" applyBorder="1" applyAlignment="1">
      <alignment vertical="center"/>
    </xf>
    <xf numFmtId="0" fontId="2" fillId="18" borderId="17" xfId="0" applyFont="1" applyFill="1" applyBorder="1" applyAlignment="1">
      <alignment horizontal="justify" vertical="center" wrapText="1"/>
    </xf>
    <xf numFmtId="0" fontId="3" fillId="18" borderId="37" xfId="0" applyFont="1" applyFill="1" applyBorder="1" applyAlignment="1">
      <alignment horizontal="center" vertical="center"/>
    </xf>
    <xf numFmtId="164" fontId="3" fillId="18" borderId="37" xfId="1" applyFont="1" applyFill="1" applyBorder="1" applyAlignment="1">
      <alignment vertical="center"/>
    </xf>
    <xf numFmtId="164" fontId="3" fillId="0" borderId="5" xfId="1" applyFont="1" applyFill="1" applyBorder="1" applyAlignment="1">
      <alignment vertical="center"/>
    </xf>
    <xf numFmtId="164" fontId="14" fillId="0" borderId="0" xfId="0" applyNumberFormat="1" applyFont="1"/>
    <xf numFmtId="0" fontId="4" fillId="0" borderId="0" xfId="0" applyFont="1" applyAlignment="1"/>
    <xf numFmtId="0" fontId="4" fillId="0" borderId="0" xfId="0" applyFont="1" applyAlignment="1">
      <alignment vertical="center"/>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42" fontId="2" fillId="0" borderId="0" xfId="8" applyNumberFormat="1" applyFont="1" applyAlignment="1">
      <alignment horizontal="center" vertical="center"/>
    </xf>
    <xf numFmtId="0" fontId="34" fillId="0" borderId="0" xfId="0" applyFont="1"/>
    <xf numFmtId="0" fontId="2" fillId="0" borderId="0" xfId="0" applyFont="1" applyAlignment="1">
      <alignment horizontal="left" vertical="center"/>
    </xf>
    <xf numFmtId="42" fontId="2" fillId="16" borderId="2" xfId="8" applyNumberFormat="1" applyFont="1" applyFill="1" applyBorder="1" applyAlignment="1">
      <alignment horizontal="center" vertical="center" wrapText="1"/>
    </xf>
    <xf numFmtId="42" fontId="2" fillId="16" borderId="2" xfId="0" applyNumberFormat="1" applyFont="1" applyFill="1" applyBorder="1" applyAlignment="1">
      <alignment horizontal="center" vertical="center" wrapText="1"/>
    </xf>
    <xf numFmtId="0" fontId="2" fillId="33" borderId="3" xfId="0" applyFont="1" applyFill="1" applyBorder="1" applyAlignment="1">
      <alignment horizontal="center" vertical="center" wrapText="1"/>
    </xf>
    <xf numFmtId="42" fontId="2" fillId="33" borderId="3" xfId="8" applyNumberFormat="1" applyFont="1" applyFill="1" applyBorder="1" applyAlignment="1">
      <alignment horizontal="center" vertical="center" wrapText="1"/>
    </xf>
    <xf numFmtId="0" fontId="34" fillId="0" borderId="0" xfId="0" applyFont="1" applyAlignment="1">
      <alignment horizontal="center" vertical="center"/>
    </xf>
    <xf numFmtId="0" fontId="34" fillId="0" borderId="0" xfId="0" applyFont="1" applyAlignment="1">
      <alignment horizontal="right"/>
    </xf>
    <xf numFmtId="43" fontId="1" fillId="0" borderId="0" xfId="6" applyFont="1"/>
    <xf numFmtId="43" fontId="1" fillId="3" borderId="0" xfId="6" applyFont="1" applyFill="1"/>
    <xf numFmtId="0" fontId="2" fillId="15" borderId="12" xfId="0" applyFont="1" applyFill="1" applyBorder="1" applyAlignment="1">
      <alignment horizontal="justify" vertical="center" wrapText="1"/>
    </xf>
    <xf numFmtId="0" fontId="3" fillId="5" borderId="12"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2" fillId="0" borderId="35" xfId="0" applyFont="1" applyFill="1" applyBorder="1" applyAlignment="1">
      <alignment horizontal="justify" vertical="center"/>
    </xf>
    <xf numFmtId="0" fontId="2" fillId="17" borderId="17" xfId="0" applyFont="1" applyFill="1" applyBorder="1" applyAlignment="1">
      <alignment horizontal="justify" vertical="center"/>
    </xf>
    <xf numFmtId="0" fontId="3" fillId="17" borderId="37" xfId="0" applyFont="1" applyFill="1" applyBorder="1" applyAlignment="1">
      <alignment horizontal="center" vertical="center" wrapText="1"/>
    </xf>
    <xf numFmtId="41" fontId="3" fillId="17" borderId="37" xfId="0" applyNumberFormat="1" applyFont="1" applyFill="1" applyBorder="1" applyAlignment="1">
      <alignment horizontal="center" vertical="center" wrapText="1"/>
    </xf>
    <xf numFmtId="41" fontId="3" fillId="17" borderId="38"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1" fontId="3" fillId="0" borderId="7" xfId="0" applyNumberFormat="1" applyFont="1" applyFill="1" applyBorder="1" applyAlignment="1">
      <alignment horizontal="center" vertical="center" wrapText="1"/>
    </xf>
    <xf numFmtId="41" fontId="3" fillId="0" borderId="23" xfId="0" applyNumberFormat="1" applyFont="1" applyFill="1" applyBorder="1" applyAlignment="1">
      <alignment horizontal="center" vertical="center" wrapText="1"/>
    </xf>
    <xf numFmtId="0" fontId="3" fillId="18" borderId="17" xfId="0" applyFont="1" applyFill="1" applyBorder="1" applyAlignment="1">
      <alignment horizontal="justify" vertical="center"/>
    </xf>
    <xf numFmtId="0" fontId="3" fillId="18" borderId="37" xfId="0" applyFont="1" applyFill="1" applyBorder="1" applyAlignment="1">
      <alignment horizontal="center" vertical="center" wrapText="1"/>
    </xf>
    <xf numFmtId="41" fontId="3" fillId="18" borderId="37" xfId="0" applyNumberFormat="1" applyFont="1" applyFill="1" applyBorder="1" applyAlignment="1">
      <alignment horizontal="center" vertical="center" wrapText="1"/>
    </xf>
    <xf numFmtId="41" fontId="3" fillId="18" borderId="38" xfId="0" applyNumberFormat="1" applyFont="1" applyFill="1" applyBorder="1" applyAlignment="1">
      <alignment horizontal="center" vertical="center" wrapText="1"/>
    </xf>
    <xf numFmtId="0" fontId="2" fillId="17" borderId="17" xfId="2" applyFont="1" applyFill="1" applyBorder="1" applyAlignment="1">
      <alignment horizontal="justify" vertical="center"/>
    </xf>
    <xf numFmtId="0" fontId="3" fillId="17" borderId="17" xfId="2" applyFont="1" applyFill="1" applyBorder="1" applyAlignment="1">
      <alignment horizontal="justify" vertical="center"/>
    </xf>
    <xf numFmtId="0" fontId="2" fillId="18" borderId="17" xfId="0" applyFont="1" applyFill="1" applyBorder="1" applyAlignment="1">
      <alignment horizontal="justify" vertical="center"/>
    </xf>
    <xf numFmtId="0" fontId="2" fillId="0" borderId="6" xfId="0" applyFont="1" applyFill="1" applyBorder="1" applyAlignment="1">
      <alignment horizontal="justify" vertical="center"/>
    </xf>
    <xf numFmtId="41" fontId="3" fillId="0" borderId="3" xfId="0" applyNumberFormat="1" applyFont="1" applyFill="1" applyBorder="1" applyAlignment="1">
      <alignment horizontal="center" vertical="center" wrapText="1"/>
    </xf>
    <xf numFmtId="41" fontId="2" fillId="0" borderId="5" xfId="0" applyNumberFormat="1" applyFont="1" applyFill="1" applyBorder="1" applyAlignment="1">
      <alignment horizontal="center" vertical="center" wrapText="1"/>
    </xf>
    <xf numFmtId="41" fontId="2" fillId="0" borderId="3" xfId="0" applyNumberFormat="1" applyFont="1" applyFill="1" applyBorder="1" applyAlignment="1">
      <alignment horizontal="center" vertical="center" wrapText="1"/>
    </xf>
    <xf numFmtId="0" fontId="2" fillId="0" borderId="35" xfId="2" applyFont="1" applyFill="1" applyBorder="1" applyAlignment="1">
      <alignment horizontal="justify" vertical="center"/>
    </xf>
    <xf numFmtId="0" fontId="2" fillId="0" borderId="5" xfId="0" applyFont="1" applyFill="1" applyBorder="1" applyAlignment="1">
      <alignment horizontal="center" vertical="center" wrapText="1"/>
    </xf>
    <xf numFmtId="0" fontId="2" fillId="18" borderId="37" xfId="0" applyFont="1" applyFill="1" applyBorder="1" applyAlignment="1">
      <alignment horizontal="center" vertical="center" wrapText="1"/>
    </xf>
    <xf numFmtId="41" fontId="2" fillId="18" borderId="37" xfId="0" applyNumberFormat="1" applyFont="1" applyFill="1" applyBorder="1" applyAlignment="1">
      <alignment horizontal="center" vertical="center" wrapText="1"/>
    </xf>
    <xf numFmtId="0" fontId="2" fillId="0" borderId="6" xfId="2" applyFont="1" applyFill="1" applyBorder="1" applyAlignment="1">
      <alignment horizontal="justify" vertical="center"/>
    </xf>
    <xf numFmtId="0" fontId="2" fillId="0" borderId="3" xfId="0" applyFont="1" applyFill="1" applyBorder="1" applyAlignment="1">
      <alignment horizontal="center" vertical="center" wrapText="1"/>
    </xf>
    <xf numFmtId="0" fontId="2" fillId="0" borderId="22" xfId="2" applyFont="1" applyFill="1" applyBorder="1" applyAlignment="1">
      <alignment horizontal="justify" vertical="center"/>
    </xf>
    <xf numFmtId="0" fontId="2" fillId="18" borderId="17" xfId="2" applyFont="1" applyFill="1" applyBorder="1" applyAlignment="1">
      <alignment horizontal="justify" vertical="center"/>
    </xf>
    <xf numFmtId="41" fontId="3" fillId="0" borderId="7" xfId="5" applyNumberFormat="1" applyFont="1" applyFill="1" applyBorder="1" applyAlignment="1">
      <alignment horizontal="center" vertical="center" wrapText="1"/>
    </xf>
    <xf numFmtId="41" fontId="3" fillId="0" borderId="5" xfId="0" applyNumberFormat="1" applyFont="1" applyFill="1" applyBorder="1" applyAlignment="1">
      <alignment horizontal="center" vertical="center"/>
    </xf>
    <xf numFmtId="41" fontId="3" fillId="18" borderId="37" xfId="0" applyNumberFormat="1" applyFont="1" applyFill="1" applyBorder="1" applyAlignment="1">
      <alignment horizontal="center" vertical="center"/>
    </xf>
    <xf numFmtId="41" fontId="3" fillId="18" borderId="38" xfId="0" applyNumberFormat="1" applyFont="1" applyFill="1" applyBorder="1" applyAlignment="1">
      <alignment horizontal="center" vertical="center"/>
    </xf>
    <xf numFmtId="0" fontId="2" fillId="0" borderId="35" xfId="0" applyFont="1" applyFill="1" applyBorder="1" applyAlignment="1">
      <alignment horizontal="left" vertical="center"/>
    </xf>
    <xf numFmtId="0" fontId="2" fillId="0" borderId="5" xfId="0" applyFont="1" applyFill="1" applyBorder="1" applyAlignment="1">
      <alignment horizontal="center" vertical="center"/>
    </xf>
    <xf numFmtId="3" fontId="2" fillId="0" borderId="5" xfId="0" applyNumberFormat="1" applyFont="1" applyFill="1" applyBorder="1" applyAlignment="1">
      <alignment horizontal="right" vertical="center"/>
    </xf>
    <xf numFmtId="3" fontId="2" fillId="0" borderId="43" xfId="0" applyNumberFormat="1" applyFont="1" applyFill="1" applyBorder="1" applyAlignment="1">
      <alignment horizontal="right" vertical="center"/>
    </xf>
    <xf numFmtId="0" fontId="2" fillId="5" borderId="17" xfId="0" applyFont="1" applyFill="1" applyBorder="1" applyAlignment="1">
      <alignment horizontal="justify" vertical="center"/>
    </xf>
    <xf numFmtId="0" fontId="2" fillId="5" borderId="37" xfId="0" applyFont="1" applyFill="1" applyBorder="1" applyAlignment="1">
      <alignment horizontal="center" vertical="center"/>
    </xf>
    <xf numFmtId="3" fontId="2" fillId="5" borderId="37" xfId="0" applyNumberFormat="1" applyFont="1" applyFill="1" applyBorder="1" applyAlignment="1">
      <alignment horizontal="right" vertical="center"/>
    </xf>
    <xf numFmtId="3" fontId="2" fillId="5" borderId="38" xfId="0" applyNumberFormat="1" applyFont="1" applyFill="1" applyBorder="1" applyAlignment="1">
      <alignment horizontal="right" vertical="center"/>
    </xf>
    <xf numFmtId="0" fontId="2" fillId="0" borderId="3" xfId="0" applyFont="1" applyFill="1" applyBorder="1" applyAlignment="1">
      <alignment horizontal="center" vertical="center"/>
    </xf>
    <xf numFmtId="3" fontId="2" fillId="0" borderId="3" xfId="0" applyNumberFormat="1" applyFont="1" applyFill="1" applyBorder="1" applyAlignment="1">
      <alignment horizontal="right" vertical="center"/>
    </xf>
    <xf numFmtId="3" fontId="2" fillId="0" borderId="45" xfId="0" applyNumberFormat="1" applyFont="1" applyFill="1" applyBorder="1" applyAlignment="1">
      <alignment horizontal="right" vertical="center"/>
    </xf>
    <xf numFmtId="3" fontId="0" fillId="0" borderId="5" xfId="0" applyNumberFormat="1" applyBorder="1" applyAlignment="1">
      <alignment horizontal="right" vertical="center"/>
    </xf>
    <xf numFmtId="0" fontId="2" fillId="0" borderId="7" xfId="0" applyFont="1" applyFill="1" applyBorder="1" applyAlignment="1">
      <alignment horizontal="center" vertical="center"/>
    </xf>
    <xf numFmtId="3" fontId="2" fillId="0" borderId="7" xfId="0" applyNumberFormat="1" applyFont="1" applyFill="1" applyBorder="1" applyAlignment="1">
      <alignment horizontal="right" vertical="center"/>
    </xf>
    <xf numFmtId="3" fontId="2" fillId="0" borderId="23" xfId="0" applyNumberFormat="1" applyFont="1" applyFill="1" applyBorder="1" applyAlignment="1">
      <alignment horizontal="right" vertical="center"/>
    </xf>
    <xf numFmtId="3" fontId="2" fillId="3" borderId="7" xfId="1" applyNumberFormat="1" applyFont="1" applyFill="1" applyBorder="1" applyAlignment="1">
      <alignment horizontal="right" vertical="center"/>
    </xf>
    <xf numFmtId="3" fontId="2" fillId="5" borderId="37" xfId="5" applyNumberFormat="1" applyFont="1" applyFill="1" applyBorder="1" applyAlignment="1">
      <alignment horizontal="right" vertical="center"/>
    </xf>
    <xf numFmtId="3" fontId="2" fillId="3" borderId="7" xfId="0" applyNumberFormat="1" applyFont="1" applyFill="1" applyBorder="1" applyAlignment="1">
      <alignment horizontal="right" vertical="center"/>
    </xf>
    <xf numFmtId="0" fontId="2" fillId="15" borderId="37" xfId="0" applyFont="1" applyFill="1" applyBorder="1" applyAlignment="1">
      <alignment horizontal="center" vertical="center"/>
    </xf>
    <xf numFmtId="3" fontId="2" fillId="15" borderId="37" xfId="0" applyNumberFormat="1" applyFont="1" applyFill="1" applyBorder="1" applyAlignment="1">
      <alignment horizontal="right" vertical="center"/>
    </xf>
    <xf numFmtId="3" fontId="2" fillId="15" borderId="38" xfId="0" applyNumberFormat="1" applyFont="1" applyFill="1" applyBorder="1" applyAlignment="1">
      <alignment horizontal="right" vertical="center"/>
    </xf>
    <xf numFmtId="1" fontId="2" fillId="0" borderId="5" xfId="0" applyNumberFormat="1" applyFont="1" applyFill="1" applyBorder="1" applyAlignment="1">
      <alignment horizontal="center" vertical="center"/>
    </xf>
    <xf numFmtId="1" fontId="2" fillId="15" borderId="37"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1" fontId="2" fillId="5" borderId="37" xfId="0" applyNumberFormat="1" applyFont="1" applyFill="1" applyBorder="1" applyAlignment="1">
      <alignment horizontal="center" vertical="center"/>
    </xf>
    <xf numFmtId="0" fontId="2" fillId="20" borderId="17" xfId="0" applyFont="1" applyFill="1" applyBorder="1" applyAlignment="1">
      <alignment horizontal="justify" vertical="center" wrapText="1"/>
    </xf>
    <xf numFmtId="1" fontId="17" fillId="14" borderId="20" xfId="0" applyNumberFormat="1" applyFont="1" applyFill="1" applyBorder="1" applyAlignment="1">
      <alignment horizontal="center" vertical="center" wrapText="1"/>
    </xf>
    <xf numFmtId="0" fontId="2" fillId="24" borderId="17" xfId="0" applyFont="1" applyFill="1" applyBorder="1" applyAlignment="1">
      <alignment horizontal="justify" vertical="center"/>
    </xf>
    <xf numFmtId="0" fontId="3" fillId="17" borderId="37" xfId="0" applyFont="1" applyFill="1" applyBorder="1" applyAlignment="1">
      <alignment horizontal="center" vertical="center"/>
    </xf>
    <xf numFmtId="41" fontId="3" fillId="17" borderId="37" xfId="0" applyNumberFormat="1" applyFont="1" applyFill="1" applyBorder="1" applyAlignment="1">
      <alignment horizontal="center" vertical="center"/>
    </xf>
    <xf numFmtId="0" fontId="2" fillId="0" borderId="33" xfId="2" applyFont="1" applyFill="1" applyBorder="1" applyAlignment="1">
      <alignment horizontal="justify" vertical="center"/>
    </xf>
    <xf numFmtId="41" fontId="3" fillId="0" borderId="34" xfId="5" applyNumberFormat="1" applyFont="1" applyFill="1" applyBorder="1" applyAlignment="1">
      <alignment horizontal="center" vertical="center" wrapText="1"/>
    </xf>
    <xf numFmtId="9" fontId="3" fillId="17" borderId="37" xfId="5" applyFont="1" applyFill="1" applyBorder="1" applyAlignment="1">
      <alignment horizontal="center" vertical="center" wrapText="1"/>
    </xf>
    <xf numFmtId="41" fontId="3" fillId="17" borderId="37" xfId="5" applyNumberFormat="1" applyFont="1" applyFill="1" applyBorder="1" applyAlignment="1">
      <alignment horizontal="center" vertical="center" wrapText="1"/>
    </xf>
    <xf numFmtId="0" fontId="7" fillId="0" borderId="35" xfId="0" applyFont="1" applyFill="1" applyBorder="1" applyAlignment="1">
      <alignment horizontal="justify" vertical="center" wrapText="1" readingOrder="1"/>
    </xf>
    <xf numFmtId="1" fontId="3" fillId="0" borderId="5" xfId="3" applyNumberFormat="1" applyFont="1" applyFill="1" applyBorder="1" applyAlignment="1">
      <alignment horizontal="center" vertical="center"/>
    </xf>
    <xf numFmtId="41" fontId="3" fillId="0" borderId="5" xfId="3" applyFont="1" applyFill="1" applyBorder="1" applyAlignment="1">
      <alignment horizontal="center" vertical="center"/>
    </xf>
    <xf numFmtId="41" fontId="3" fillId="0" borderId="43" xfId="3" applyFont="1" applyFill="1" applyBorder="1" applyAlignment="1">
      <alignment horizontal="center" vertical="center"/>
    </xf>
    <xf numFmtId="0" fontId="4" fillId="18" borderId="17" xfId="0" applyFont="1" applyFill="1" applyBorder="1" applyAlignment="1">
      <alignment horizontal="justify" vertical="center" wrapText="1"/>
    </xf>
    <xf numFmtId="0" fontId="7" fillId="0" borderId="6" xfId="0" applyFont="1" applyFill="1" applyBorder="1" applyAlignment="1">
      <alignment horizontal="justify" vertical="center" wrapText="1" readingOrder="1"/>
    </xf>
    <xf numFmtId="167" fontId="3" fillId="0" borderId="3" xfId="6" applyNumberFormat="1" applyFont="1" applyFill="1" applyBorder="1" applyAlignment="1">
      <alignment horizontal="center" vertical="center"/>
    </xf>
    <xf numFmtId="164" fontId="3" fillId="0" borderId="5" xfId="0" applyNumberFormat="1" applyFont="1" applyFill="1" applyBorder="1" applyAlignment="1">
      <alignment horizontal="center" vertical="center"/>
    </xf>
    <xf numFmtId="164" fontId="3" fillId="18" borderId="37" xfId="0" applyNumberFormat="1" applyFont="1" applyFill="1" applyBorder="1" applyAlignment="1">
      <alignment vertical="center" wrapText="1"/>
    </xf>
    <xf numFmtId="164" fontId="3" fillId="18" borderId="38" xfId="0" applyNumberFormat="1" applyFont="1" applyFill="1" applyBorder="1" applyAlignment="1">
      <alignment vertical="center" wrapText="1"/>
    </xf>
    <xf numFmtId="0" fontId="4" fillId="18" borderId="33" xfId="0" applyFont="1" applyFill="1" applyBorder="1" applyAlignment="1">
      <alignment horizontal="justify" vertical="center" wrapText="1"/>
    </xf>
    <xf numFmtId="0" fontId="3" fillId="18" borderId="34" xfId="0" applyFont="1" applyFill="1" applyBorder="1" applyAlignment="1">
      <alignment horizontal="center" vertical="center" wrapText="1"/>
    </xf>
    <xf numFmtId="41" fontId="3" fillId="18" borderId="34" xfId="0" applyNumberFormat="1" applyFont="1" applyFill="1" applyBorder="1" applyAlignment="1">
      <alignment vertical="center" wrapText="1"/>
    </xf>
    <xf numFmtId="41" fontId="3" fillId="18" borderId="42" xfId="0" applyNumberFormat="1" applyFont="1" applyFill="1" applyBorder="1" applyAlignment="1">
      <alignment vertical="center" wrapText="1"/>
    </xf>
    <xf numFmtId="0" fontId="3" fillId="15" borderId="37" xfId="0" applyFont="1" applyFill="1" applyBorder="1" applyAlignment="1">
      <alignment horizontal="center" vertical="center" wrapText="1"/>
    </xf>
    <xf numFmtId="164" fontId="3" fillId="15" borderId="37" xfId="1" applyFont="1" applyFill="1" applyBorder="1" applyAlignment="1">
      <alignment horizontal="center" vertical="center" wrapText="1"/>
    </xf>
    <xf numFmtId="164" fontId="3" fillId="15" borderId="38" xfId="1" applyFont="1" applyFill="1" applyBorder="1" applyAlignment="1">
      <alignment horizontal="center" vertical="center" wrapText="1"/>
    </xf>
    <xf numFmtId="0" fontId="23" fillId="29" borderId="22" xfId="0" applyFont="1" applyFill="1" applyBorder="1" applyAlignment="1">
      <alignment horizontal="justify" vertical="center" wrapText="1"/>
    </xf>
    <xf numFmtId="0" fontId="3" fillId="29" borderId="7" xfId="0" applyFont="1" applyFill="1" applyBorder="1" applyAlignment="1">
      <alignment horizontal="center" vertical="center" wrapText="1"/>
    </xf>
    <xf numFmtId="164" fontId="0" fillId="29" borderId="7" xfId="0" applyNumberFormat="1" applyFill="1" applyBorder="1" applyAlignment="1">
      <alignment wrapText="1"/>
    </xf>
    <xf numFmtId="0" fontId="2" fillId="3" borderId="33" xfId="0" applyFont="1" applyFill="1" applyBorder="1" applyAlignment="1">
      <alignment horizontal="justify" vertical="center" wrapText="1"/>
    </xf>
    <xf numFmtId="0" fontId="3" fillId="3" borderId="34" xfId="0" applyFont="1" applyFill="1" applyBorder="1" applyAlignment="1">
      <alignment horizontal="center" vertical="center" wrapText="1"/>
    </xf>
    <xf numFmtId="164" fontId="3" fillId="3" borderId="34" xfId="1" applyFont="1" applyFill="1" applyBorder="1" applyAlignment="1">
      <alignment horizontal="right" vertical="center" wrapText="1"/>
    </xf>
    <xf numFmtId="164" fontId="3" fillId="15" borderId="37" xfId="0" applyNumberFormat="1" applyFont="1" applyFill="1" applyBorder="1" applyAlignment="1">
      <alignment horizontal="center" vertical="center" wrapText="1"/>
    </xf>
    <xf numFmtId="0" fontId="2" fillId="33" borderId="6" xfId="0" applyFont="1" applyFill="1" applyBorder="1" applyAlignment="1">
      <alignment horizontal="justify" vertical="center" wrapText="1"/>
    </xf>
    <xf numFmtId="166" fontId="3" fillId="0" borderId="3" xfId="0" applyNumberFormat="1"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2" fillId="23" borderId="17" xfId="0" applyFont="1" applyFill="1" applyBorder="1" applyAlignment="1">
      <alignment horizontal="justify" vertical="center" wrapText="1"/>
    </xf>
    <xf numFmtId="0" fontId="0" fillId="15" borderId="37" xfId="0" applyFill="1" applyBorder="1" applyAlignment="1">
      <alignment horizontal="center" vertical="center"/>
    </xf>
    <xf numFmtId="0" fontId="2" fillId="23" borderId="12" xfId="0" applyFont="1" applyFill="1" applyBorder="1" applyAlignment="1">
      <alignment horizontal="justify" vertical="center" wrapText="1"/>
    </xf>
    <xf numFmtId="0" fontId="21" fillId="21" borderId="12" xfId="0" applyFont="1" applyFill="1" applyBorder="1" applyAlignment="1">
      <alignment horizontal="justify" vertical="center" wrapText="1"/>
    </xf>
    <xf numFmtId="0" fontId="21" fillId="21" borderId="17" xfId="0" applyFont="1" applyFill="1" applyBorder="1" applyAlignment="1">
      <alignment horizontal="justify" vertical="center" wrapText="1"/>
    </xf>
    <xf numFmtId="43" fontId="10" fillId="17" borderId="2" xfId="10" applyFont="1" applyFill="1" applyBorder="1" applyAlignment="1">
      <alignment horizontal="center" vertical="center" wrapText="1"/>
    </xf>
    <xf numFmtId="3" fontId="0" fillId="0" borderId="0" xfId="0" applyNumberFormat="1"/>
    <xf numFmtId="3" fontId="0" fillId="0" borderId="0" xfId="0" applyNumberFormat="1" applyAlignment="1"/>
    <xf numFmtId="0" fontId="2" fillId="0" borderId="4" xfId="0" applyFont="1" applyFill="1" applyBorder="1" applyAlignment="1">
      <alignment horizontal="center" vertical="center" wrapText="1"/>
    </xf>
    <xf numFmtId="0" fontId="2" fillId="33" borderId="27" xfId="0" applyFont="1" applyFill="1" applyBorder="1" applyAlignment="1">
      <alignment horizontal="justify" vertical="center" wrapText="1"/>
    </xf>
    <xf numFmtId="164" fontId="2" fillId="33" borderId="52" xfId="0" applyNumberFormat="1" applyFont="1" applyFill="1" applyBorder="1" applyAlignment="1">
      <alignment horizontal="center" vertical="center" wrapText="1"/>
    </xf>
    <xf numFmtId="167" fontId="3" fillId="0" borderId="0" xfId="6" applyNumberFormat="1" applyFont="1" applyAlignment="1">
      <alignment horizontal="right"/>
    </xf>
    <xf numFmtId="0" fontId="2" fillId="0" borderId="0" xfId="0" applyFont="1" applyFill="1"/>
    <xf numFmtId="0" fontId="34" fillId="0" borderId="0" xfId="0" applyFont="1" applyFill="1"/>
    <xf numFmtId="42" fontId="3" fillId="0" borderId="2" xfId="8" applyNumberFormat="1" applyFont="1" applyFill="1" applyBorder="1" applyAlignment="1">
      <alignment horizontal="center" vertical="center"/>
    </xf>
    <xf numFmtId="0" fontId="0" fillId="0" borderId="0" xfId="0" applyFont="1" applyFill="1"/>
    <xf numFmtId="0" fontId="3" fillId="0" borderId="2" xfId="0" applyFont="1" applyFill="1" applyBorder="1" applyAlignment="1">
      <alignment vertical="center"/>
    </xf>
    <xf numFmtId="170" fontId="3" fillId="0" borderId="2" xfId="7" applyNumberFormat="1" applyFont="1" applyFill="1" applyBorder="1" applyAlignment="1">
      <alignment vertical="center"/>
    </xf>
    <xf numFmtId="166" fontId="3" fillId="0" borderId="2" xfId="0" applyNumberFormat="1" applyFont="1" applyFill="1" applyBorder="1" applyAlignment="1">
      <alignment horizontal="right" vertical="center" wrapText="1"/>
    </xf>
    <xf numFmtId="167" fontId="3" fillId="0" borderId="18" xfId="6" applyNumberFormat="1" applyFont="1" applyFill="1" applyBorder="1" applyAlignment="1">
      <alignment horizontal="right"/>
    </xf>
    <xf numFmtId="41" fontId="3" fillId="0" borderId="45" xfId="3" applyFont="1" applyFill="1" applyBorder="1" applyAlignment="1">
      <alignment horizontal="center" vertical="center"/>
    </xf>
    <xf numFmtId="170" fontId="0" fillId="0" borderId="0" xfId="7" applyNumberFormat="1" applyFont="1" applyAlignment="1">
      <alignment vertical="center"/>
    </xf>
    <xf numFmtId="170" fontId="0" fillId="0" borderId="0" xfId="7" applyNumberFormat="1" applyFont="1"/>
    <xf numFmtId="3" fontId="24" fillId="0" borderId="45" xfId="0" applyNumberFormat="1" applyFont="1" applyFill="1" applyBorder="1" applyAlignment="1">
      <alignment horizontal="right" vertical="center" wrapText="1"/>
    </xf>
    <xf numFmtId="42" fontId="34" fillId="0" borderId="0" xfId="0" applyNumberFormat="1" applyFont="1" applyAlignment="1">
      <alignment horizontal="center" vertical="center"/>
    </xf>
    <xf numFmtId="0" fontId="0" fillId="0" borderId="0" xfId="0" applyFill="1" applyAlignment="1"/>
    <xf numFmtId="3" fontId="0" fillId="0" borderId="0" xfId="0" applyNumberFormat="1" applyFill="1" applyAlignment="1"/>
    <xf numFmtId="41" fontId="17" fillId="4" borderId="37" xfId="0" applyNumberFormat="1" applyFont="1" applyFill="1" applyBorder="1" applyAlignment="1">
      <alignment vertical="center"/>
    </xf>
    <xf numFmtId="166" fontId="3" fillId="0" borderId="45" xfId="0" applyNumberFormat="1" applyFont="1" applyFill="1" applyBorder="1" applyAlignment="1">
      <alignment horizontal="right" vertical="center"/>
    </xf>
    <xf numFmtId="0" fontId="3" fillId="0" borderId="25" xfId="0" applyFont="1" applyFill="1" applyBorder="1" applyAlignment="1">
      <alignment horizontal="center" vertical="center" wrapText="1"/>
    </xf>
    <xf numFmtId="166" fontId="3" fillId="0" borderId="20" xfId="0" applyNumberFormat="1" applyFont="1" applyFill="1" applyBorder="1" applyAlignment="1">
      <alignment horizontal="right" vertical="center" wrapText="1"/>
    </xf>
    <xf numFmtId="42" fontId="0" fillId="0" borderId="0" xfId="0" applyNumberFormat="1" applyAlignment="1">
      <alignment horizontal="right"/>
    </xf>
    <xf numFmtId="166" fontId="3" fillId="0" borderId="0" xfId="0" applyNumberFormat="1" applyFont="1" applyAlignment="1">
      <alignment horizontal="center" vertical="center"/>
    </xf>
    <xf numFmtId="0" fontId="2" fillId="18" borderId="46" xfId="2" applyFont="1" applyFill="1" applyBorder="1" applyAlignment="1">
      <alignment horizontal="justify" vertical="center"/>
    </xf>
    <xf numFmtId="0" fontId="3" fillId="18" borderId="53" xfId="0" applyFont="1" applyFill="1" applyBorder="1" applyAlignment="1">
      <alignment horizontal="center" vertical="center" wrapText="1"/>
    </xf>
    <xf numFmtId="41" fontId="3" fillId="18" borderId="53" xfId="0" applyNumberFormat="1" applyFont="1" applyFill="1" applyBorder="1" applyAlignment="1">
      <alignment horizontal="center" vertical="center" wrapText="1"/>
    </xf>
    <xf numFmtId="41" fontId="3" fillId="18" borderId="40" xfId="0" applyNumberFormat="1" applyFont="1" applyFill="1" applyBorder="1" applyAlignment="1">
      <alignment horizontal="center" vertical="center" wrapText="1"/>
    </xf>
    <xf numFmtId="0" fontId="2" fillId="0" borderId="24" xfId="2" applyFont="1" applyFill="1" applyBorder="1" applyAlignment="1">
      <alignment horizontal="justify" vertical="center"/>
    </xf>
    <xf numFmtId="41" fontId="3" fillId="0" borderId="25" xfId="0" applyNumberFormat="1" applyFont="1" applyFill="1" applyBorder="1" applyAlignment="1">
      <alignment horizontal="center" vertical="center" wrapText="1"/>
    </xf>
    <xf numFmtId="41" fontId="3" fillId="0" borderId="26" xfId="0" applyNumberFormat="1" applyFont="1" applyFill="1" applyBorder="1" applyAlignment="1">
      <alignment horizontal="center" vertical="center" wrapText="1"/>
    </xf>
    <xf numFmtId="41" fontId="3" fillId="0" borderId="21" xfId="0" applyNumberFormat="1" applyFont="1" applyFill="1" applyBorder="1" applyAlignment="1">
      <alignment horizontal="center" vertical="center" wrapText="1"/>
    </xf>
    <xf numFmtId="0" fontId="2" fillId="0" borderId="24" xfId="0" applyFont="1" applyFill="1" applyBorder="1" applyAlignment="1">
      <alignment horizontal="justify" vertical="center"/>
    </xf>
    <xf numFmtId="0" fontId="3" fillId="0" borderId="25" xfId="0" applyFont="1" applyFill="1" applyBorder="1" applyAlignment="1">
      <alignment horizontal="center" vertical="center"/>
    </xf>
    <xf numFmtId="41" fontId="3" fillId="0" borderId="25" xfId="0" applyNumberFormat="1" applyFont="1" applyFill="1" applyBorder="1" applyAlignment="1">
      <alignment horizontal="center" vertical="center"/>
    </xf>
    <xf numFmtId="41" fontId="3" fillId="0" borderId="26" xfId="0" applyNumberFormat="1" applyFont="1" applyFill="1" applyBorder="1" applyAlignment="1">
      <alignment horizontal="center" vertical="center"/>
    </xf>
    <xf numFmtId="41" fontId="3" fillId="0" borderId="20" xfId="0" applyNumberFormat="1" applyFont="1" applyFill="1" applyBorder="1" applyAlignment="1">
      <alignment horizontal="center" vertical="center"/>
    </xf>
    <xf numFmtId="41" fontId="3" fillId="0" borderId="21" xfId="0" applyNumberFormat="1" applyFont="1" applyFill="1" applyBorder="1" applyAlignment="1">
      <alignment horizontal="center" vertical="center"/>
    </xf>
    <xf numFmtId="0" fontId="2" fillId="0" borderId="24" xfId="0" applyFont="1" applyFill="1" applyBorder="1" applyAlignment="1">
      <alignment horizontal="justify" vertical="center" wrapText="1"/>
    </xf>
    <xf numFmtId="0" fontId="2" fillId="15" borderId="22" xfId="0" applyFont="1" applyFill="1" applyBorder="1" applyAlignment="1">
      <alignment horizontal="justify" vertical="center" wrapText="1"/>
    </xf>
    <xf numFmtId="0" fontId="3" fillId="15" borderId="7" xfId="0" applyFont="1" applyFill="1" applyBorder="1" applyAlignment="1">
      <alignment horizontal="center" vertical="center"/>
    </xf>
    <xf numFmtId="164" fontId="3" fillId="15" borderId="7" xfId="0" applyNumberFormat="1" applyFont="1" applyFill="1" applyBorder="1" applyAlignment="1">
      <alignment horizontal="center" vertical="center"/>
    </xf>
    <xf numFmtId="0" fontId="2" fillId="0" borderId="17" xfId="0" applyFont="1" applyFill="1" applyBorder="1" applyAlignment="1">
      <alignment horizontal="justify" vertical="center"/>
    </xf>
    <xf numFmtId="0" fontId="3" fillId="0" borderId="37" xfId="0" applyFont="1" applyFill="1" applyBorder="1" applyAlignment="1">
      <alignment horizontal="center" vertical="center"/>
    </xf>
    <xf numFmtId="41" fontId="3" fillId="0" borderId="37" xfId="0" applyNumberFormat="1" applyFont="1" applyFill="1" applyBorder="1" applyAlignment="1">
      <alignment horizontal="center" vertical="center" wrapText="1"/>
    </xf>
    <xf numFmtId="0" fontId="2" fillId="18" borderId="22" xfId="0" applyFont="1" applyFill="1" applyBorder="1" applyAlignment="1">
      <alignment horizontal="justify" vertical="center"/>
    </xf>
    <xf numFmtId="0" fontId="3" fillId="18" borderId="7" xfId="0" applyFont="1" applyFill="1" applyBorder="1" applyAlignment="1">
      <alignment horizontal="center" vertical="center"/>
    </xf>
    <xf numFmtId="41" fontId="3" fillId="18" borderId="7" xfId="0" applyNumberFormat="1" applyFont="1" applyFill="1" applyBorder="1" applyAlignment="1">
      <alignment horizontal="center" vertical="center"/>
    </xf>
    <xf numFmtId="166" fontId="17" fillId="4" borderId="37" xfId="0" applyNumberFormat="1" applyFont="1" applyFill="1" applyBorder="1" applyAlignment="1">
      <alignment horizontal="right" vertical="center"/>
    </xf>
    <xf numFmtId="166" fontId="17" fillId="4" borderId="37" xfId="0" applyNumberFormat="1" applyFont="1" applyFill="1" applyBorder="1" applyAlignment="1">
      <alignment horizontal="center" vertical="center"/>
    </xf>
    <xf numFmtId="42" fontId="2" fillId="0" borderId="0" xfId="0" applyNumberFormat="1" applyFont="1" applyAlignment="1">
      <alignment horizontal="right"/>
    </xf>
    <xf numFmtId="42" fontId="17" fillId="4" borderId="37" xfId="0" applyNumberFormat="1" applyFont="1" applyFill="1" applyBorder="1" applyAlignment="1">
      <alignment horizontal="center" vertical="center"/>
    </xf>
    <xf numFmtId="164" fontId="3" fillId="0" borderId="0" xfId="0" applyNumberFormat="1" applyFont="1" applyAlignment="1">
      <alignment horizontal="right"/>
    </xf>
    <xf numFmtId="166" fontId="17" fillId="4" borderId="37" xfId="0" applyNumberFormat="1" applyFont="1" applyFill="1" applyBorder="1" applyAlignment="1">
      <alignment vertical="center"/>
    </xf>
    <xf numFmtId="167" fontId="0" fillId="0" borderId="0" xfId="0" applyNumberFormat="1" applyAlignment="1">
      <alignment horizontal="center" vertical="center"/>
    </xf>
    <xf numFmtId="167" fontId="17" fillId="4" borderId="37" xfId="0" applyNumberFormat="1" applyFont="1" applyFill="1" applyBorder="1"/>
    <xf numFmtId="166" fontId="0" fillId="0" borderId="0" xfId="0" applyNumberFormat="1" applyFont="1" applyAlignment="1">
      <alignment horizontal="center" vertical="center"/>
    </xf>
    <xf numFmtId="166" fontId="17" fillId="4" borderId="37" xfId="0" applyNumberFormat="1" applyFont="1" applyFill="1" applyBorder="1" applyAlignment="1">
      <alignment horizontal="right"/>
    </xf>
    <xf numFmtId="166" fontId="20" fillId="4" borderId="77" xfId="0" applyNumberFormat="1" applyFont="1" applyFill="1" applyBorder="1" applyAlignment="1">
      <alignment horizontal="center" vertical="center" wrapText="1"/>
    </xf>
    <xf numFmtId="0" fontId="3" fillId="0" borderId="52" xfId="0" applyFont="1" applyFill="1" applyBorder="1" applyAlignment="1">
      <alignment horizontal="center" vertical="center" wrapText="1"/>
    </xf>
    <xf numFmtId="0" fontId="43" fillId="0" borderId="0" xfId="0" applyFont="1" applyFill="1" applyAlignment="1">
      <alignment vertical="center"/>
    </xf>
    <xf numFmtId="0" fontId="3" fillId="0" borderId="1" xfId="0" applyFont="1" applyFill="1" applyBorder="1" applyAlignment="1">
      <alignment horizontal="justify" vertical="center" wrapText="1"/>
    </xf>
    <xf numFmtId="0" fontId="0" fillId="0" borderId="0" xfId="0" applyFont="1" applyFill="1" applyAlignment="1">
      <alignment vertical="center"/>
    </xf>
    <xf numFmtId="0" fontId="2" fillId="0" borderId="1" xfId="0" applyFont="1" applyFill="1" applyBorder="1" applyAlignment="1">
      <alignment horizontal="justify" vertical="center" wrapText="1"/>
    </xf>
    <xf numFmtId="0" fontId="3" fillId="0" borderId="5" xfId="0" applyFont="1" applyFill="1" applyBorder="1" applyAlignment="1">
      <alignment horizontal="center" vertical="center" wrapText="1"/>
    </xf>
    <xf numFmtId="0" fontId="0" fillId="0" borderId="0" xfId="0" applyFill="1" applyAlignment="1">
      <alignment vertical="center"/>
    </xf>
    <xf numFmtId="0" fontId="3" fillId="0" borderId="2" xfId="0" applyFont="1" applyFill="1" applyBorder="1" applyAlignment="1">
      <alignment horizontal="center" vertical="center" wrapText="1"/>
    </xf>
    <xf numFmtId="0" fontId="3" fillId="0" borderId="0" xfId="0" applyFont="1" applyFill="1" applyAlignment="1">
      <alignment vertical="center"/>
    </xf>
    <xf numFmtId="166" fontId="2" fillId="16" borderId="8" xfId="0" applyNumberFormat="1" applyFont="1" applyFill="1" applyBorder="1" applyAlignment="1">
      <alignment horizontal="center" vertical="center" wrapText="1"/>
    </xf>
    <xf numFmtId="166" fontId="3" fillId="0" borderId="2" xfId="0" applyNumberFormat="1" applyFont="1" applyFill="1" applyBorder="1" applyAlignment="1">
      <alignment horizontal="center" vertical="center"/>
    </xf>
    <xf numFmtId="166" fontId="3" fillId="0" borderId="18" xfId="0" applyNumberFormat="1" applyFont="1" applyFill="1" applyBorder="1" applyAlignment="1">
      <alignment horizontal="right"/>
    </xf>
    <xf numFmtId="3" fontId="2" fillId="0" borderId="2"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172" fontId="3" fillId="0" borderId="18" xfId="0" applyNumberFormat="1" applyFont="1" applyFill="1" applyBorder="1" applyAlignment="1">
      <alignment horizontal="right" vertical="center"/>
    </xf>
    <xf numFmtId="0" fontId="2" fillId="24" borderId="46" xfId="0" applyFont="1" applyFill="1" applyBorder="1" applyAlignment="1">
      <alignment horizontal="justify" vertical="center"/>
    </xf>
    <xf numFmtId="0" fontId="3" fillId="17" borderId="53" xfId="0" applyFont="1" applyFill="1" applyBorder="1" applyAlignment="1">
      <alignment horizontal="center" vertical="center"/>
    </xf>
    <xf numFmtId="0" fontId="3" fillId="17" borderId="53" xfId="0" applyFont="1" applyFill="1" applyBorder="1" applyAlignment="1">
      <alignment horizontal="center" vertical="center" wrapText="1"/>
    </xf>
    <xf numFmtId="41" fontId="3" fillId="17" borderId="53" xfId="0" applyNumberFormat="1" applyFont="1" applyFill="1" applyBorder="1" applyAlignment="1">
      <alignment horizontal="center" vertical="center"/>
    </xf>
    <xf numFmtId="0" fontId="36" fillId="18" borderId="49" xfId="2" applyFont="1" applyFill="1" applyBorder="1" applyAlignment="1">
      <alignment horizontal="center" vertical="center"/>
    </xf>
    <xf numFmtId="0" fontId="36" fillId="18" borderId="12" xfId="2" applyFont="1" applyFill="1" applyBorder="1" applyAlignment="1">
      <alignment horizontal="center" vertical="center"/>
    </xf>
    <xf numFmtId="0" fontId="27" fillId="17" borderId="2" xfId="0" applyFont="1" applyFill="1" applyBorder="1" applyAlignment="1">
      <alignment horizontal="center" vertical="center" wrapText="1"/>
    </xf>
    <xf numFmtId="43" fontId="27" fillId="17" borderId="2" xfId="10" applyFont="1" applyFill="1" applyBorder="1" applyAlignment="1">
      <alignment horizontal="center" vertical="center" wrapText="1"/>
    </xf>
    <xf numFmtId="0" fontId="27" fillId="0" borderId="0" xfId="0" applyFont="1"/>
    <xf numFmtId="10" fontId="27" fillId="0" borderId="0" xfId="5" applyNumberFormat="1" applyFont="1"/>
    <xf numFmtId="167" fontId="3" fillId="0" borderId="2" xfId="6" applyNumberFormat="1" applyFont="1" applyFill="1" applyBorder="1" applyAlignment="1">
      <alignment horizontal="right"/>
    </xf>
    <xf numFmtId="0" fontId="23" fillId="0" borderId="0" xfId="0" applyFont="1" applyBorder="1"/>
    <xf numFmtId="0" fontId="23" fillId="0" borderId="0" xfId="0" applyFont="1"/>
    <xf numFmtId="42" fontId="20" fillId="4" borderId="17" xfId="8" applyFont="1" applyFill="1" applyBorder="1" applyAlignment="1">
      <alignment horizontal="right"/>
    </xf>
    <xf numFmtId="0" fontId="3" fillId="0" borderId="0" xfId="0" applyFont="1" applyFill="1" applyBorder="1"/>
    <xf numFmtId="164" fontId="17" fillId="4" borderId="17" xfId="1" applyFont="1" applyFill="1" applyBorder="1" applyAlignment="1">
      <alignment vertical="center"/>
    </xf>
    <xf numFmtId="164" fontId="17" fillId="4" borderId="38" xfId="1" applyFont="1" applyFill="1" applyBorder="1" applyAlignment="1">
      <alignment vertical="center"/>
    </xf>
    <xf numFmtId="42" fontId="2" fillId="4" borderId="11" xfId="8" applyNumberFormat="1" applyFont="1" applyFill="1" applyBorder="1" applyAlignment="1">
      <alignment horizontal="center" vertical="center"/>
    </xf>
    <xf numFmtId="0" fontId="3" fillId="3" borderId="22" xfId="0" applyFont="1"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right" vertical="center"/>
    </xf>
    <xf numFmtId="166" fontId="4" fillId="4" borderId="17" xfId="0" applyNumberFormat="1" applyFont="1" applyFill="1" applyBorder="1" applyAlignment="1">
      <alignment horizontal="right" vertical="center" wrapText="1"/>
    </xf>
    <xf numFmtId="166" fontId="4" fillId="4" borderId="38" xfId="0" applyNumberFormat="1" applyFont="1" applyFill="1" applyBorder="1" applyAlignment="1">
      <alignment horizontal="right" vertical="center" wrapText="1"/>
    </xf>
    <xf numFmtId="0" fontId="3" fillId="0" borderId="3" xfId="0" applyFont="1" applyBorder="1" applyAlignment="1">
      <alignment horizontal="center" vertical="center"/>
    </xf>
    <xf numFmtId="0" fontId="3" fillId="0" borderId="3" xfId="0" applyFont="1" applyBorder="1"/>
    <xf numFmtId="166" fontId="4" fillId="4" borderId="37" xfId="0" applyNumberFormat="1" applyFont="1" applyFill="1" applyBorder="1" applyAlignment="1">
      <alignment horizontal="right" vertical="center"/>
    </xf>
    <xf numFmtId="166" fontId="4" fillId="4" borderId="38" xfId="0" applyNumberFormat="1" applyFont="1" applyFill="1" applyBorder="1" applyAlignment="1">
      <alignment horizontal="right" vertical="center"/>
    </xf>
    <xf numFmtId="41" fontId="3" fillId="0" borderId="45" xfId="0" applyNumberFormat="1" applyFont="1" applyFill="1" applyBorder="1" applyAlignment="1">
      <alignment horizontal="center" vertical="center" wrapText="1"/>
    </xf>
    <xf numFmtId="41" fontId="2" fillId="0" borderId="43" xfId="0" applyNumberFormat="1" applyFont="1" applyFill="1" applyBorder="1" applyAlignment="1">
      <alignment horizontal="center" vertical="center" wrapText="1"/>
    </xf>
    <xf numFmtId="41" fontId="2" fillId="0" borderId="45" xfId="0" applyNumberFormat="1" applyFont="1" applyFill="1" applyBorder="1" applyAlignment="1">
      <alignment horizontal="center" vertical="center" wrapText="1"/>
    </xf>
    <xf numFmtId="0" fontId="2" fillId="33" borderId="19" xfId="0" applyFont="1" applyFill="1" applyBorder="1" applyAlignment="1">
      <alignment horizontal="justify" vertical="center"/>
    </xf>
    <xf numFmtId="41" fontId="3" fillId="33" borderId="20" xfId="0" applyNumberFormat="1" applyFont="1" applyFill="1" applyBorder="1" applyAlignment="1">
      <alignment horizontal="center" vertical="center"/>
    </xf>
    <xf numFmtId="3" fontId="17" fillId="4" borderId="17" xfId="0" applyNumberFormat="1" applyFont="1" applyFill="1" applyBorder="1" applyAlignment="1">
      <alignment vertical="center"/>
    </xf>
    <xf numFmtId="3" fontId="17" fillId="4" borderId="37" xfId="0" applyNumberFormat="1" applyFont="1" applyFill="1" applyBorder="1" applyAlignment="1">
      <alignment vertical="center"/>
    </xf>
    <xf numFmtId="3" fontId="17" fillId="4" borderId="38" xfId="0" applyNumberFormat="1" applyFont="1" applyFill="1" applyBorder="1" applyAlignment="1">
      <alignment vertical="center"/>
    </xf>
    <xf numFmtId="0" fontId="8" fillId="26" borderId="24" xfId="0" applyFont="1" applyFill="1" applyBorder="1" applyAlignment="1">
      <alignment horizontal="center" vertical="center"/>
    </xf>
    <xf numFmtId="0" fontId="8" fillId="26" borderId="25" xfId="0" applyFont="1" applyFill="1" applyBorder="1" applyAlignment="1">
      <alignment horizontal="center" vertical="center"/>
    </xf>
    <xf numFmtId="167" fontId="10" fillId="17" borderId="8" xfId="10" applyNumberFormat="1" applyFont="1" applyFill="1" applyBorder="1" applyAlignment="1">
      <alignment horizontal="center" vertical="center" wrapText="1"/>
    </xf>
    <xf numFmtId="167" fontId="10" fillId="16" borderId="8" xfId="10" applyNumberFormat="1" applyFont="1" applyFill="1" applyBorder="1" applyAlignment="1">
      <alignment horizontal="center" vertical="center" wrapText="1"/>
    </xf>
    <xf numFmtId="167" fontId="27" fillId="17" borderId="8" xfId="10" applyNumberFormat="1" applyFont="1" applyFill="1" applyBorder="1" applyAlignment="1">
      <alignment horizontal="center" vertical="center" wrapText="1"/>
    </xf>
    <xf numFmtId="3" fontId="38" fillId="28" borderId="38" xfId="0" applyNumberFormat="1" applyFont="1" applyFill="1" applyBorder="1"/>
    <xf numFmtId="0" fontId="8" fillId="26" borderId="29" xfId="0" applyFont="1" applyFill="1" applyBorder="1" applyAlignment="1">
      <alignment horizontal="center" vertical="center"/>
    </xf>
    <xf numFmtId="0" fontId="8" fillId="26" borderId="39" xfId="0" applyFont="1" applyFill="1" applyBorder="1" applyAlignment="1">
      <alignment horizontal="center" vertical="center"/>
    </xf>
    <xf numFmtId="0" fontId="20" fillId="14" borderId="11" xfId="0" applyFont="1" applyFill="1" applyBorder="1" applyAlignment="1">
      <alignment horizontal="center" vertical="center" wrapText="1"/>
    </xf>
    <xf numFmtId="0" fontId="2" fillId="16" borderId="5" xfId="0" applyFont="1" applyFill="1" applyBorder="1" applyAlignment="1">
      <alignment horizontal="justify" vertical="center" wrapText="1"/>
    </xf>
    <xf numFmtId="0" fontId="2" fillId="16" borderId="5" xfId="0" applyFont="1" applyFill="1" applyBorder="1" applyAlignment="1">
      <alignment horizontal="center" vertical="center"/>
    </xf>
    <xf numFmtId="0" fontId="2" fillId="15" borderId="37" xfId="0" applyFont="1" applyFill="1" applyBorder="1" applyAlignment="1">
      <alignment horizontal="justify" vertical="center" wrapText="1"/>
    </xf>
    <xf numFmtId="0" fontId="2" fillId="5" borderId="37" xfId="0" applyFont="1" applyFill="1" applyBorder="1" applyAlignment="1">
      <alignment horizontal="justify" vertical="center" wrapText="1"/>
    </xf>
    <xf numFmtId="0" fontId="2" fillId="16" borderId="35" xfId="0" applyFont="1" applyFill="1" applyBorder="1" applyAlignment="1">
      <alignment horizontal="justify" vertical="center" wrapText="1"/>
    </xf>
    <xf numFmtId="0" fontId="2" fillId="16" borderId="44" xfId="0" applyFont="1" applyFill="1" applyBorder="1" applyAlignment="1">
      <alignment horizontal="justify" vertical="center" wrapText="1"/>
    </xf>
    <xf numFmtId="0" fontId="2" fillId="16" borderId="5" xfId="0" applyFont="1" applyFill="1" applyBorder="1" applyAlignment="1">
      <alignment horizontal="center" vertical="center" wrapText="1"/>
    </xf>
    <xf numFmtId="164" fontId="2" fillId="16" borderId="74" xfId="0" applyNumberFormat="1" applyFont="1" applyFill="1" applyBorder="1" applyAlignment="1">
      <alignment horizontal="center" vertical="center" wrapText="1"/>
    </xf>
    <xf numFmtId="0" fontId="2" fillId="16" borderId="28" xfId="0" applyFont="1" applyFill="1" applyBorder="1" applyAlignment="1">
      <alignment horizontal="justify" vertical="center" wrapText="1"/>
    </xf>
    <xf numFmtId="0" fontId="3" fillId="16" borderId="7" xfId="0" applyFont="1" applyFill="1" applyBorder="1" applyAlignment="1">
      <alignment horizontal="center" vertical="center" wrapText="1"/>
    </xf>
    <xf numFmtId="0" fontId="2" fillId="15" borderId="36" xfId="0" applyFont="1" applyFill="1" applyBorder="1" applyAlignment="1">
      <alignment horizontal="justify" vertical="center" wrapText="1"/>
    </xf>
    <xf numFmtId="0" fontId="2" fillId="15" borderId="37" xfId="0" applyFont="1" applyFill="1" applyBorder="1" applyAlignment="1">
      <alignment horizontal="center" vertical="center" wrapText="1"/>
    </xf>
    <xf numFmtId="0" fontId="3" fillId="5" borderId="36" xfId="0" applyFont="1" applyFill="1" applyBorder="1" applyAlignment="1">
      <alignment horizontal="left" vertical="center" wrapText="1"/>
    </xf>
    <xf numFmtId="0" fontId="3" fillId="5" borderId="37" xfId="0" applyFont="1" applyFill="1" applyBorder="1" applyAlignment="1">
      <alignment horizontal="center" vertical="center" wrapText="1"/>
    </xf>
    <xf numFmtId="164" fontId="3" fillId="5" borderId="77" xfId="0" applyNumberFormat="1" applyFont="1" applyFill="1" applyBorder="1" applyAlignment="1">
      <alignment horizontal="center" vertical="center" wrapText="1"/>
    </xf>
    <xf numFmtId="164" fontId="4" fillId="4" borderId="17" xfId="1" applyFont="1" applyFill="1" applyBorder="1" applyAlignment="1">
      <alignment vertical="center"/>
    </xf>
    <xf numFmtId="164" fontId="4" fillId="4" borderId="38" xfId="1" applyFont="1" applyFill="1" applyBorder="1" applyAlignment="1">
      <alignment vertical="center"/>
    </xf>
    <xf numFmtId="0" fontId="4" fillId="14" borderId="11" xfId="0" applyFont="1" applyFill="1" applyBorder="1" applyAlignment="1">
      <alignment horizontal="center" vertical="center" wrapText="1"/>
    </xf>
    <xf numFmtId="0" fontId="20" fillId="16" borderId="5" xfId="0" applyFont="1" applyFill="1" applyBorder="1" applyAlignment="1">
      <alignment horizontal="justify" vertical="center" wrapText="1"/>
    </xf>
    <xf numFmtId="0" fontId="20" fillId="16" borderId="5" xfId="0" applyFont="1" applyFill="1" applyBorder="1" applyAlignment="1">
      <alignment horizontal="center" vertical="center" wrapText="1"/>
    </xf>
    <xf numFmtId="167" fontId="20" fillId="16" borderId="5" xfId="6" applyNumberFormat="1" applyFont="1" applyFill="1" applyBorder="1" applyAlignment="1">
      <alignment horizontal="center" vertical="center" wrapText="1"/>
    </xf>
    <xf numFmtId="0" fontId="20" fillId="17" borderId="37" xfId="0" applyFont="1" applyFill="1" applyBorder="1" applyAlignment="1">
      <alignment horizontal="justify" vertical="center"/>
    </xf>
    <xf numFmtId="0" fontId="20" fillId="17" borderId="37" xfId="0" applyFont="1" applyFill="1" applyBorder="1" applyAlignment="1">
      <alignment horizontal="center" vertical="center"/>
    </xf>
    <xf numFmtId="167" fontId="20" fillId="17" borderId="37" xfId="6" applyNumberFormat="1" applyFont="1" applyFill="1" applyBorder="1" applyAlignment="1">
      <alignment horizontal="center" vertical="center"/>
    </xf>
    <xf numFmtId="167" fontId="4" fillId="17" borderId="37" xfId="6" applyNumberFormat="1" applyFont="1" applyFill="1" applyBorder="1" applyAlignment="1">
      <alignment horizontal="center" vertical="center" wrapText="1"/>
    </xf>
    <xf numFmtId="0" fontId="4" fillId="17" borderId="37" xfId="0" applyFont="1" applyFill="1" applyBorder="1"/>
    <xf numFmtId="0" fontId="4" fillId="17" borderId="37" xfId="0" applyFont="1" applyFill="1" applyBorder="1" applyAlignment="1">
      <alignment horizontal="center" vertical="center" wrapText="1"/>
    </xf>
    <xf numFmtId="0" fontId="2" fillId="17" borderId="37" xfId="0" applyFont="1" applyFill="1" applyBorder="1"/>
    <xf numFmtId="0" fontId="2" fillId="17" borderId="37" xfId="0" applyFont="1" applyFill="1" applyBorder="1" applyAlignment="1">
      <alignment horizontal="center" vertical="center" wrapText="1"/>
    </xf>
    <xf numFmtId="167" fontId="4" fillId="18" borderId="37" xfId="6" applyNumberFormat="1" applyFont="1" applyFill="1" applyBorder="1" applyAlignment="1">
      <alignment horizontal="center" vertical="center" wrapText="1"/>
    </xf>
    <xf numFmtId="0" fontId="4" fillId="18" borderId="37" xfId="0" applyFont="1" applyFill="1" applyBorder="1"/>
    <xf numFmtId="0" fontId="4" fillId="18" borderId="37" xfId="0" applyFont="1" applyFill="1" applyBorder="1" applyAlignment="1">
      <alignment horizontal="center" vertical="center" wrapText="1"/>
    </xf>
    <xf numFmtId="0" fontId="3" fillId="18" borderId="37" xfId="0" applyFont="1" applyFill="1" applyBorder="1"/>
    <xf numFmtId="167" fontId="4" fillId="18" borderId="37" xfId="6" applyNumberFormat="1" applyFont="1" applyFill="1" applyBorder="1" applyAlignment="1">
      <alignment horizontal="center" vertical="center"/>
    </xf>
    <xf numFmtId="0" fontId="4" fillId="18" borderId="37" xfId="0" applyFont="1" applyFill="1" applyBorder="1" applyAlignment="1">
      <alignment horizontal="center" vertical="center"/>
    </xf>
    <xf numFmtId="3" fontId="20" fillId="14" borderId="11" xfId="0" applyNumberFormat="1" applyFont="1" applyFill="1" applyBorder="1" applyAlignment="1">
      <alignment horizontal="center" vertical="center" wrapText="1"/>
    </xf>
    <xf numFmtId="42" fontId="2" fillId="16" borderId="5" xfId="8" applyNumberFormat="1" applyFont="1" applyFill="1" applyBorder="1" applyAlignment="1">
      <alignment horizontal="center" vertical="center" wrapText="1"/>
    </xf>
    <xf numFmtId="0" fontId="2" fillId="5" borderId="17" xfId="0" applyFont="1" applyFill="1" applyBorder="1" applyAlignment="1">
      <alignment horizontal="left" vertical="center" wrapText="1"/>
    </xf>
    <xf numFmtId="0" fontId="2" fillId="5" borderId="37" xfId="0" applyFont="1" applyFill="1" applyBorder="1" applyAlignment="1">
      <alignment horizontal="center" vertical="center" wrapText="1"/>
    </xf>
    <xf numFmtId="42" fontId="2" fillId="5" borderId="37" xfId="8" applyNumberFormat="1" applyFont="1" applyFill="1" applyBorder="1" applyAlignment="1">
      <alignment horizontal="center" vertical="center"/>
    </xf>
    <xf numFmtId="42" fontId="2" fillId="5" borderId="38" xfId="8" applyNumberFormat="1" applyFont="1" applyFill="1" applyBorder="1" applyAlignment="1">
      <alignment horizontal="center" vertical="center"/>
    </xf>
    <xf numFmtId="42" fontId="2" fillId="15" borderId="37" xfId="8" applyNumberFormat="1" applyFont="1" applyFill="1" applyBorder="1" applyAlignment="1">
      <alignment horizontal="center" vertical="center"/>
    </xf>
    <xf numFmtId="42" fontId="2" fillId="15" borderId="38" xfId="8" applyNumberFormat="1" applyFont="1" applyFill="1" applyBorder="1" applyAlignment="1">
      <alignment horizontal="center" vertical="center"/>
    </xf>
    <xf numFmtId="0" fontId="2" fillId="15" borderId="17" xfId="0" applyFont="1" applyFill="1" applyBorder="1" applyAlignment="1">
      <alignment horizontal="left" vertical="center" wrapText="1"/>
    </xf>
    <xf numFmtId="0" fontId="2" fillId="16" borderId="35" xfId="0" applyFont="1" applyFill="1" applyBorder="1" applyAlignment="1">
      <alignment horizontal="left" vertical="center" wrapText="1"/>
    </xf>
    <xf numFmtId="42" fontId="2" fillId="16" borderId="43" xfId="8" applyNumberFormat="1" applyFont="1" applyFill="1" applyBorder="1" applyAlignment="1">
      <alignment horizontal="center" vertical="center" wrapText="1"/>
    </xf>
    <xf numFmtId="170" fontId="3" fillId="0" borderId="18" xfId="0" applyNumberFormat="1" applyFont="1" applyFill="1" applyBorder="1" applyAlignment="1">
      <alignment horizontal="right" vertical="center"/>
    </xf>
    <xf numFmtId="0" fontId="2" fillId="16" borderId="1" xfId="0" applyFont="1" applyFill="1" applyBorder="1" applyAlignment="1">
      <alignment horizontal="left" vertical="center" wrapText="1"/>
    </xf>
    <xf numFmtId="42" fontId="2" fillId="16" borderId="18" xfId="8" applyNumberFormat="1" applyFont="1" applyFill="1" applyBorder="1" applyAlignment="1">
      <alignment horizontal="center" vertical="center" wrapText="1"/>
    </xf>
    <xf numFmtId="170" fontId="2" fillId="0" borderId="45" xfId="7" applyNumberFormat="1" applyFont="1" applyFill="1" applyBorder="1" applyAlignment="1">
      <alignment vertical="center"/>
    </xf>
    <xf numFmtId="42" fontId="2" fillId="0" borderId="45" xfId="8" applyNumberFormat="1" applyFont="1" applyFill="1" applyBorder="1" applyAlignment="1">
      <alignment horizontal="center" vertical="center"/>
    </xf>
    <xf numFmtId="42" fontId="2" fillId="0" borderId="18" xfId="0" applyNumberFormat="1" applyFont="1" applyFill="1" applyBorder="1" applyAlignment="1">
      <alignment horizontal="right" vertical="center"/>
    </xf>
    <xf numFmtId="42" fontId="3" fillId="0" borderId="18" xfId="0" applyNumberFormat="1" applyFont="1" applyFill="1" applyBorder="1" applyAlignment="1">
      <alignment vertical="center"/>
    </xf>
    <xf numFmtId="42" fontId="3" fillId="0" borderId="18" xfId="8" applyNumberFormat="1" applyFont="1" applyFill="1" applyBorder="1" applyAlignment="1">
      <alignment horizontal="center" vertical="center"/>
    </xf>
    <xf numFmtId="170" fontId="3" fillId="0" borderId="18" xfId="0" applyNumberFormat="1" applyFont="1" applyFill="1" applyBorder="1" applyAlignment="1">
      <alignment vertical="center"/>
    </xf>
    <xf numFmtId="170" fontId="3" fillId="0" borderId="78" xfId="7" applyNumberFormat="1" applyFont="1" applyFill="1" applyBorder="1" applyAlignment="1">
      <alignment vertical="center"/>
    </xf>
    <xf numFmtId="44" fontId="3" fillId="0" borderId="18" xfId="0" applyNumberFormat="1" applyFont="1" applyFill="1" applyBorder="1" applyAlignment="1">
      <alignment vertical="center"/>
    </xf>
    <xf numFmtId="0" fontId="2" fillId="33" borderId="6" xfId="0" applyFont="1" applyFill="1" applyBorder="1" applyAlignment="1">
      <alignment horizontal="left" vertical="center" wrapText="1"/>
    </xf>
    <xf numFmtId="166" fontId="3" fillId="0" borderId="3" xfId="0" applyNumberFormat="1" applyFont="1" applyFill="1" applyBorder="1" applyAlignment="1">
      <alignment horizontal="right" vertical="center" wrapText="1"/>
    </xf>
    <xf numFmtId="166" fontId="2" fillId="16" borderId="43" xfId="0" applyNumberFormat="1" applyFont="1" applyFill="1" applyBorder="1" applyAlignment="1">
      <alignment horizontal="right" vertical="center" wrapText="1"/>
    </xf>
    <xf numFmtId="0" fontId="2" fillId="18" borderId="37" xfId="2" applyFont="1" applyFill="1" applyBorder="1" applyAlignment="1">
      <alignment horizontal="justify" vertical="center"/>
    </xf>
    <xf numFmtId="166" fontId="17" fillId="4" borderId="17" xfId="0" applyNumberFormat="1" applyFont="1" applyFill="1" applyBorder="1" applyAlignment="1">
      <alignment vertical="center"/>
    </xf>
    <xf numFmtId="166" fontId="17" fillId="4" borderId="38" xfId="0" applyNumberFormat="1" applyFont="1" applyFill="1" applyBorder="1" applyAlignment="1">
      <alignment vertical="center"/>
    </xf>
    <xf numFmtId="166" fontId="2" fillId="16" borderId="5" xfId="0" applyNumberFormat="1" applyFont="1" applyFill="1" applyBorder="1" applyAlignment="1">
      <alignment horizontal="center" vertical="center" wrapText="1"/>
    </xf>
    <xf numFmtId="3" fontId="2" fillId="16" borderId="5" xfId="0" applyNumberFormat="1" applyFont="1" applyFill="1" applyBorder="1" applyAlignment="1">
      <alignment horizontal="center" vertical="center" wrapText="1"/>
    </xf>
    <xf numFmtId="0" fontId="2" fillId="19" borderId="37" xfId="0" applyFont="1" applyFill="1" applyBorder="1" applyAlignment="1">
      <alignment horizontal="justify" vertical="center" wrapText="1"/>
    </xf>
    <xf numFmtId="0" fontId="2" fillId="19" borderId="37" xfId="0" applyFont="1" applyFill="1" applyBorder="1" applyAlignment="1">
      <alignment horizontal="center" vertical="center" wrapText="1"/>
    </xf>
    <xf numFmtId="166" fontId="2" fillId="19" borderId="37" xfId="0" applyNumberFormat="1" applyFont="1" applyFill="1" applyBorder="1" applyAlignment="1">
      <alignment horizontal="right" vertical="center" wrapText="1"/>
    </xf>
    <xf numFmtId="166" fontId="2" fillId="19" borderId="38" xfId="0" applyNumberFormat="1" applyFont="1" applyFill="1" applyBorder="1" applyAlignment="1">
      <alignment horizontal="right" vertical="center" wrapText="1"/>
    </xf>
    <xf numFmtId="0" fontId="2" fillId="20" borderId="37" xfId="0" applyFont="1" applyFill="1" applyBorder="1" applyAlignment="1">
      <alignment horizontal="justify" vertical="center" wrapText="1"/>
    </xf>
    <xf numFmtId="0" fontId="2" fillId="20" borderId="37" xfId="0" applyFont="1" applyFill="1" applyBorder="1" applyAlignment="1">
      <alignment horizontal="center" vertical="center" wrapText="1"/>
    </xf>
    <xf numFmtId="166" fontId="2" fillId="20" borderId="37" xfId="0" applyNumberFormat="1" applyFont="1" applyFill="1" applyBorder="1" applyAlignment="1">
      <alignment horizontal="center" vertical="center" wrapText="1"/>
    </xf>
    <xf numFmtId="166" fontId="2" fillId="20" borderId="38" xfId="0" applyNumberFormat="1" applyFont="1" applyFill="1" applyBorder="1" applyAlignment="1">
      <alignment horizontal="right" vertical="center" wrapText="1"/>
    </xf>
    <xf numFmtId="1" fontId="17" fillId="14" borderId="50" xfId="0" applyNumberFormat="1" applyFont="1" applyFill="1" applyBorder="1" applyAlignment="1">
      <alignment horizontal="center" vertical="center" wrapText="1"/>
    </xf>
    <xf numFmtId="166" fontId="3" fillId="33" borderId="45" xfId="0" applyNumberFormat="1" applyFont="1" applyFill="1" applyBorder="1" applyAlignment="1">
      <alignment horizontal="right" vertical="center"/>
    </xf>
    <xf numFmtId="166" fontId="3" fillId="33" borderId="75" xfId="0" applyNumberFormat="1" applyFont="1" applyFill="1" applyBorder="1" applyAlignment="1">
      <alignment horizontal="center" vertical="center" wrapText="1"/>
    </xf>
    <xf numFmtId="0" fontId="3" fillId="33" borderId="3" xfId="0" applyFont="1" applyFill="1" applyBorder="1" applyAlignment="1">
      <alignment vertical="center"/>
    </xf>
    <xf numFmtId="166" fontId="2" fillId="16" borderId="74" xfId="0" applyNumberFormat="1" applyFont="1" applyFill="1" applyBorder="1" applyAlignment="1">
      <alignment horizontal="center" vertical="center" wrapText="1"/>
    </xf>
    <xf numFmtId="167" fontId="2" fillId="16" borderId="43" xfId="6" applyNumberFormat="1" applyFont="1" applyFill="1" applyBorder="1" applyAlignment="1">
      <alignment horizontal="center" vertical="center" wrapText="1"/>
    </xf>
    <xf numFmtId="0" fontId="2" fillId="16" borderId="74" xfId="0" applyFont="1" applyFill="1" applyBorder="1" applyAlignment="1">
      <alignment horizontal="center" vertical="center" wrapText="1"/>
    </xf>
    <xf numFmtId="0" fontId="2" fillId="23" borderId="37" xfId="0" applyFont="1" applyFill="1" applyBorder="1" applyAlignment="1">
      <alignment horizontal="center" vertical="center" wrapText="1"/>
    </xf>
    <xf numFmtId="166" fontId="0" fillId="15" borderId="77" xfId="0" applyNumberFormat="1" applyFill="1" applyBorder="1" applyAlignment="1">
      <alignment horizontal="center" vertical="center"/>
    </xf>
    <xf numFmtId="167" fontId="2" fillId="23" borderId="38" xfId="6" applyNumberFormat="1" applyFont="1" applyFill="1" applyBorder="1" applyAlignment="1">
      <alignment horizontal="center" vertical="center" wrapText="1"/>
    </xf>
    <xf numFmtId="166" fontId="2" fillId="23" borderId="77" xfId="0" applyNumberFormat="1" applyFont="1" applyFill="1" applyBorder="1" applyAlignment="1">
      <alignment horizontal="center" vertical="center" wrapText="1"/>
    </xf>
    <xf numFmtId="0" fontId="2" fillId="23" borderId="77" xfId="0" applyFont="1" applyFill="1" applyBorder="1" applyAlignment="1">
      <alignment horizontal="center" vertical="center" wrapText="1"/>
    </xf>
    <xf numFmtId="166" fontId="3" fillId="0" borderId="45" xfId="0" applyNumberFormat="1" applyFont="1" applyFill="1" applyBorder="1" applyAlignment="1">
      <alignment horizontal="center" vertical="center"/>
    </xf>
    <xf numFmtId="0" fontId="2" fillId="17" borderId="37" xfId="2" applyFont="1" applyFill="1" applyBorder="1" applyAlignment="1">
      <alignment horizontal="justify" vertical="center"/>
    </xf>
    <xf numFmtId="0" fontId="2" fillId="17" borderId="37" xfId="2" applyFont="1" applyFill="1" applyBorder="1" applyAlignment="1">
      <alignment horizontal="center" vertical="center"/>
    </xf>
    <xf numFmtId="166" fontId="2" fillId="15" borderId="37" xfId="0" applyNumberFormat="1" applyFont="1" applyFill="1" applyBorder="1" applyAlignment="1">
      <alignment horizontal="center" vertical="center" wrapText="1"/>
    </xf>
    <xf numFmtId="166" fontId="2" fillId="16" borderId="5" xfId="0" applyNumberFormat="1" applyFont="1" applyFill="1" applyBorder="1" applyAlignment="1">
      <alignment vertical="center" wrapText="1"/>
    </xf>
    <xf numFmtId="166" fontId="2" fillId="16" borderId="79" xfId="0" applyNumberFormat="1" applyFont="1" applyFill="1" applyBorder="1" applyAlignment="1">
      <alignment vertical="center" wrapText="1"/>
    </xf>
    <xf numFmtId="0" fontId="2" fillId="18" borderId="37" xfId="2" applyFont="1" applyFill="1" applyBorder="1" applyAlignment="1">
      <alignment horizontal="center" vertical="center"/>
    </xf>
    <xf numFmtId="166" fontId="2" fillId="18" borderId="37" xfId="2" applyNumberFormat="1" applyFont="1" applyFill="1" applyBorder="1" applyAlignment="1">
      <alignment vertical="center"/>
    </xf>
    <xf numFmtId="166" fontId="2" fillId="18" borderId="82" xfId="2" applyNumberFormat="1" applyFont="1" applyFill="1" applyBorder="1" applyAlignment="1">
      <alignment vertical="center"/>
    </xf>
    <xf numFmtId="166" fontId="2" fillId="17" borderId="37" xfId="2" applyNumberFormat="1" applyFont="1" applyFill="1" applyBorder="1" applyAlignment="1">
      <alignment vertical="center"/>
    </xf>
    <xf numFmtId="166" fontId="2" fillId="17" borderId="82" xfId="2" applyNumberFormat="1" applyFont="1" applyFill="1" applyBorder="1" applyAlignment="1">
      <alignment vertical="center"/>
    </xf>
    <xf numFmtId="167" fontId="2" fillId="16" borderId="5" xfId="0" applyNumberFormat="1" applyFont="1" applyFill="1" applyBorder="1" applyAlignment="1">
      <alignment horizontal="center" vertical="center" wrapText="1"/>
    </xf>
    <xf numFmtId="3" fontId="2" fillId="15" borderId="37" xfId="0" applyNumberFormat="1" applyFont="1" applyFill="1" applyBorder="1" applyAlignment="1">
      <alignment horizontal="center" vertical="center" wrapText="1"/>
    </xf>
    <xf numFmtId="3" fontId="2" fillId="15" borderId="38" xfId="0" applyNumberFormat="1" applyFont="1" applyFill="1" applyBorder="1" applyAlignment="1">
      <alignment horizontal="center" vertical="center" wrapText="1"/>
    </xf>
    <xf numFmtId="167" fontId="2" fillId="16" borderId="5" xfId="6" applyNumberFormat="1" applyFont="1" applyFill="1" applyBorder="1" applyAlignment="1">
      <alignment horizontal="justify" vertical="center" wrapText="1"/>
    </xf>
    <xf numFmtId="167" fontId="2" fillId="16" borderId="43" xfId="6" applyNumberFormat="1" applyFont="1" applyFill="1" applyBorder="1" applyAlignment="1">
      <alignment horizontal="justify" vertical="center" wrapText="1"/>
    </xf>
    <xf numFmtId="167" fontId="2" fillId="5" borderId="38" xfId="6" applyNumberFormat="1" applyFont="1" applyFill="1" applyBorder="1" applyAlignment="1">
      <alignment horizontal="justify" vertical="center" wrapText="1"/>
    </xf>
    <xf numFmtId="166" fontId="3" fillId="0" borderId="75" xfId="0" applyNumberFormat="1" applyFont="1" applyFill="1" applyBorder="1" applyAlignment="1">
      <alignment horizontal="center" vertical="center" wrapText="1"/>
    </xf>
    <xf numFmtId="0" fontId="4" fillId="18" borderId="37" xfId="0" applyFont="1" applyFill="1" applyBorder="1" applyAlignment="1">
      <alignment horizontal="justify" vertical="center" wrapText="1"/>
    </xf>
    <xf numFmtId="166" fontId="3" fillId="18" borderId="77" xfId="0" applyNumberFormat="1" applyFont="1" applyFill="1" applyBorder="1" applyAlignment="1">
      <alignment horizontal="center" vertical="center" wrapText="1"/>
    </xf>
    <xf numFmtId="166" fontId="3" fillId="18" borderId="38" xfId="0" applyNumberFormat="1" applyFont="1" applyFill="1" applyBorder="1" applyAlignment="1">
      <alignment horizontal="right" vertical="center" wrapText="1"/>
    </xf>
    <xf numFmtId="166" fontId="2" fillId="16" borderId="5" xfId="7" applyNumberFormat="1" applyFont="1" applyFill="1" applyBorder="1" applyAlignment="1">
      <alignment horizontal="center" vertical="center" wrapText="1"/>
    </xf>
    <xf numFmtId="167" fontId="2" fillId="16" borderId="74" xfId="0" applyNumberFormat="1" applyFont="1" applyFill="1" applyBorder="1" applyAlignment="1">
      <alignment horizontal="center" vertical="center" wrapText="1"/>
    </xf>
    <xf numFmtId="0" fontId="2" fillId="15" borderId="37" xfId="0" applyFont="1" applyFill="1" applyBorder="1" applyAlignment="1">
      <alignment horizontal="justify" vertical="center"/>
    </xf>
    <xf numFmtId="0" fontId="2" fillId="15" borderId="77" xfId="0" applyFont="1" applyFill="1" applyBorder="1" applyAlignment="1">
      <alignment horizontal="center" vertical="center"/>
    </xf>
    <xf numFmtId="167" fontId="2" fillId="15" borderId="77" xfId="0" applyNumberFormat="1" applyFont="1" applyFill="1" applyBorder="1" applyAlignment="1">
      <alignment horizontal="center" vertical="center"/>
    </xf>
    <xf numFmtId="0" fontId="2" fillId="18" borderId="37" xfId="0" applyFont="1" applyFill="1" applyBorder="1" applyAlignment="1">
      <alignment horizontal="justify" vertical="center" wrapText="1"/>
    </xf>
    <xf numFmtId="0" fontId="2" fillId="18" borderId="77" xfId="0" applyFont="1" applyFill="1" applyBorder="1" applyAlignment="1">
      <alignment horizontal="center" vertical="center" wrapText="1"/>
    </xf>
    <xf numFmtId="166" fontId="2" fillId="15" borderId="77" xfId="0" applyNumberFormat="1" applyFont="1" applyFill="1" applyBorder="1" applyAlignment="1">
      <alignment horizontal="center" vertical="center" wrapText="1"/>
    </xf>
    <xf numFmtId="41" fontId="17" fillId="14" borderId="37" xfId="0" applyNumberFormat="1" applyFont="1" applyFill="1" applyBorder="1" applyAlignment="1">
      <alignment vertical="center"/>
    </xf>
    <xf numFmtId="41" fontId="17" fillId="14" borderId="38" xfId="0" applyNumberFormat="1" applyFont="1" applyFill="1" applyBorder="1" applyAlignment="1">
      <alignment vertical="center"/>
    </xf>
    <xf numFmtId="166" fontId="4" fillId="14" borderId="34" xfId="0" applyNumberFormat="1" applyFont="1" applyFill="1" applyBorder="1" applyAlignment="1">
      <alignment horizontal="right" vertical="center"/>
    </xf>
    <xf numFmtId="166" fontId="4" fillId="14" borderId="42" xfId="0" applyNumberFormat="1" applyFont="1" applyFill="1" applyBorder="1" applyAlignment="1">
      <alignment horizontal="right" vertical="center"/>
    </xf>
    <xf numFmtId="3" fontId="17" fillId="14" borderId="37" xfId="0" applyNumberFormat="1" applyFont="1" applyFill="1" applyBorder="1" applyAlignment="1">
      <alignment horizontal="right" vertical="center"/>
    </xf>
    <xf numFmtId="3" fontId="17" fillId="14" borderId="38" xfId="0" applyNumberFormat="1" applyFont="1" applyFill="1" applyBorder="1" applyAlignment="1">
      <alignment horizontal="right" vertical="center"/>
    </xf>
    <xf numFmtId="3" fontId="2" fillId="0" borderId="78" xfId="0" applyNumberFormat="1" applyFont="1" applyFill="1" applyBorder="1" applyAlignment="1">
      <alignment horizontal="right" vertical="center"/>
    </xf>
    <xf numFmtId="42" fontId="20" fillId="14" borderId="17" xfId="8" applyNumberFormat="1" applyFont="1" applyFill="1" applyBorder="1" applyAlignment="1">
      <alignment horizontal="center" vertical="center" wrapText="1"/>
    </xf>
    <xf numFmtId="42" fontId="20" fillId="14" borderId="37" xfId="8" applyNumberFormat="1" applyFont="1" applyFill="1" applyBorder="1" applyAlignment="1">
      <alignment horizontal="center" vertical="center" wrapText="1"/>
    </xf>
    <xf numFmtId="42" fontId="20" fillId="14" borderId="38" xfId="8" applyNumberFormat="1" applyFont="1" applyFill="1" applyBorder="1" applyAlignment="1">
      <alignment horizontal="center" vertical="center" wrapText="1"/>
    </xf>
    <xf numFmtId="3" fontId="17" fillId="14" borderId="34" xfId="0" applyNumberFormat="1" applyFont="1" applyFill="1" applyBorder="1" applyAlignment="1">
      <alignment vertical="center"/>
    </xf>
    <xf numFmtId="3" fontId="17" fillId="14" borderId="42" xfId="0" applyNumberFormat="1" applyFont="1" applyFill="1" applyBorder="1" applyAlignment="1">
      <alignment vertical="center"/>
    </xf>
    <xf numFmtId="166" fontId="17" fillId="14" borderId="37" xfId="0" applyNumberFormat="1" applyFont="1" applyFill="1" applyBorder="1" applyAlignment="1">
      <alignment vertical="center"/>
    </xf>
    <xf numFmtId="166" fontId="17" fillId="14" borderId="38" xfId="0" applyNumberFormat="1" applyFont="1" applyFill="1" applyBorder="1" applyAlignment="1">
      <alignment vertical="center"/>
    </xf>
    <xf numFmtId="166" fontId="4" fillId="14" borderId="37" xfId="0" applyNumberFormat="1" applyFont="1" applyFill="1" applyBorder="1" applyAlignment="1">
      <alignment horizontal="right" vertical="center" wrapText="1"/>
    </xf>
    <xf numFmtId="166" fontId="4" fillId="14" borderId="38" xfId="0" applyNumberFormat="1" applyFont="1" applyFill="1" applyBorder="1" applyAlignment="1">
      <alignment horizontal="right" vertical="center" wrapText="1"/>
    </xf>
    <xf numFmtId="166" fontId="17" fillId="14" borderId="34" xfId="0" applyNumberFormat="1" applyFont="1" applyFill="1" applyBorder="1" applyAlignment="1">
      <alignment vertical="center"/>
    </xf>
    <xf numFmtId="167" fontId="17" fillId="14" borderId="11" xfId="0" applyNumberFormat="1" applyFont="1" applyFill="1" applyBorder="1"/>
    <xf numFmtId="41" fontId="17" fillId="14" borderId="34" xfId="0" applyNumberFormat="1" applyFont="1" applyFill="1" applyBorder="1" applyAlignment="1">
      <alignment vertical="center"/>
    </xf>
    <xf numFmtId="166" fontId="17" fillId="14" borderId="37" xfId="0" applyNumberFormat="1" applyFont="1" applyFill="1" applyBorder="1" applyAlignment="1">
      <alignment horizontal="center" vertical="center"/>
    </xf>
    <xf numFmtId="166" fontId="17" fillId="14" borderId="38" xfId="0" applyNumberFormat="1" applyFont="1" applyFill="1" applyBorder="1" applyAlignment="1">
      <alignment horizontal="center" vertical="center"/>
    </xf>
    <xf numFmtId="41" fontId="17" fillId="14" borderId="37" xfId="0" applyNumberFormat="1" applyFont="1" applyFill="1" applyBorder="1"/>
    <xf numFmtId="41" fontId="17" fillId="14" borderId="38" xfId="0" applyNumberFormat="1" applyFont="1" applyFill="1" applyBorder="1"/>
    <xf numFmtId="164" fontId="17" fillId="14" borderId="37" xfId="0" applyNumberFormat="1" applyFont="1" applyFill="1" applyBorder="1"/>
    <xf numFmtId="164" fontId="17" fillId="14" borderId="38" xfId="0" applyNumberFormat="1" applyFont="1" applyFill="1" applyBorder="1"/>
    <xf numFmtId="3" fontId="17" fillId="14" borderId="34" xfId="0" applyNumberFormat="1" applyFont="1" applyFill="1" applyBorder="1" applyAlignment="1">
      <alignment horizontal="center" vertical="center"/>
    </xf>
    <xf numFmtId="41" fontId="4" fillId="14" borderId="34" xfId="0" applyNumberFormat="1" applyFont="1" applyFill="1" applyBorder="1" applyAlignment="1">
      <alignment vertical="center"/>
    </xf>
    <xf numFmtId="41" fontId="4" fillId="14" borderId="42" xfId="0" applyNumberFormat="1" applyFont="1" applyFill="1" applyBorder="1" applyAlignment="1">
      <alignment vertical="center"/>
    </xf>
    <xf numFmtId="166" fontId="17" fillId="14" borderId="37" xfId="0" applyNumberFormat="1" applyFont="1" applyFill="1" applyBorder="1" applyAlignment="1">
      <alignment horizontal="right"/>
    </xf>
    <xf numFmtId="166" fontId="17" fillId="14" borderId="38" xfId="0" applyNumberFormat="1" applyFont="1" applyFill="1" applyBorder="1" applyAlignment="1">
      <alignment horizontal="right"/>
    </xf>
    <xf numFmtId="41" fontId="17" fillId="14" borderId="37" xfId="0" applyNumberFormat="1" applyFont="1" applyFill="1" applyBorder="1" applyAlignment="1">
      <alignment vertical="center" wrapText="1"/>
    </xf>
    <xf numFmtId="41" fontId="17" fillId="14" borderId="38" xfId="0" applyNumberFormat="1" applyFont="1" applyFill="1" applyBorder="1" applyAlignment="1">
      <alignment vertical="center" wrapText="1"/>
    </xf>
    <xf numFmtId="166" fontId="20" fillId="14" borderId="41" xfId="0" applyNumberFormat="1" applyFont="1" applyFill="1" applyBorder="1" applyAlignment="1">
      <alignment horizontal="center" vertical="center" wrapText="1"/>
    </xf>
    <xf numFmtId="42" fontId="17" fillId="14" borderId="37" xfId="0" applyNumberFormat="1" applyFont="1" applyFill="1" applyBorder="1" applyAlignment="1">
      <alignment horizontal="center" vertical="center"/>
    </xf>
    <xf numFmtId="168" fontId="4" fillId="14" borderId="42" xfId="6" applyNumberFormat="1" applyFont="1" applyFill="1" applyBorder="1" applyAlignment="1">
      <alignment horizontal="justify" vertical="center"/>
    </xf>
    <xf numFmtId="167" fontId="17" fillId="14" borderId="37" xfId="0" applyNumberFormat="1" applyFont="1" applyFill="1" applyBorder="1" applyAlignment="1">
      <alignment horizontal="right"/>
    </xf>
    <xf numFmtId="167" fontId="17" fillId="14" borderId="38" xfId="0" applyNumberFormat="1" applyFont="1" applyFill="1" applyBorder="1" applyAlignment="1">
      <alignment horizontal="right"/>
    </xf>
    <xf numFmtId="0" fontId="2" fillId="14" borderId="34" xfId="0" applyFont="1" applyFill="1" applyBorder="1" applyAlignment="1">
      <alignment horizontal="justify" vertical="center" wrapText="1"/>
    </xf>
    <xf numFmtId="0" fontId="43" fillId="0" borderId="0" xfId="0" applyFont="1" applyFill="1" applyBorder="1"/>
    <xf numFmtId="0" fontId="40" fillId="0" borderId="0" xfId="0" applyFont="1" applyFill="1" applyBorder="1" applyAlignment="1">
      <alignment vertical="center" wrapText="1"/>
    </xf>
    <xf numFmtId="3" fontId="17" fillId="4" borderId="17" xfId="0" applyNumberFormat="1" applyFont="1" applyFill="1" applyBorder="1" applyAlignment="1">
      <alignment horizontal="center" vertical="center"/>
    </xf>
    <xf numFmtId="167" fontId="3" fillId="0" borderId="8" xfId="6" applyNumberFormat="1" applyFont="1" applyFill="1" applyBorder="1" applyAlignment="1">
      <alignment horizontal="right"/>
    </xf>
    <xf numFmtId="167" fontId="3" fillId="0" borderId="0" xfId="6" applyNumberFormat="1" applyFont="1" applyFill="1"/>
    <xf numFmtId="43" fontId="3" fillId="0" borderId="0" xfId="6" applyFont="1"/>
    <xf numFmtId="3" fontId="4" fillId="0" borderId="0" xfId="0" applyNumberFormat="1" applyFont="1" applyFill="1" applyAlignment="1">
      <alignment vertical="center"/>
    </xf>
    <xf numFmtId="166" fontId="0" fillId="0" borderId="0" xfId="0" applyNumberFormat="1" applyFill="1"/>
    <xf numFmtId="0" fontId="20" fillId="17" borderId="84" xfId="0" applyFont="1" applyFill="1" applyBorder="1" applyAlignment="1">
      <alignment horizontal="justify" vertical="center"/>
    </xf>
    <xf numFmtId="0" fontId="20" fillId="16" borderId="85" xfId="0" applyFont="1" applyFill="1" applyBorder="1" applyAlignment="1">
      <alignment horizontal="justify" vertical="center" wrapText="1"/>
    </xf>
    <xf numFmtId="0" fontId="2" fillId="0" borderId="86" xfId="0" applyFont="1" applyBorder="1" applyAlignment="1">
      <alignment horizontal="justify" vertical="center" wrapText="1"/>
    </xf>
    <xf numFmtId="0" fontId="20" fillId="16" borderId="86" xfId="0" applyFont="1" applyFill="1" applyBorder="1" applyAlignment="1">
      <alignment horizontal="justify" vertical="center" wrapText="1"/>
    </xf>
    <xf numFmtId="0" fontId="2" fillId="0" borderId="87" xfId="0" applyFont="1" applyFill="1" applyBorder="1" applyAlignment="1">
      <alignment horizontal="justify" vertical="center" wrapText="1"/>
    </xf>
    <xf numFmtId="0" fontId="20" fillId="17" borderId="84" xfId="2" applyFont="1" applyFill="1" applyBorder="1" applyAlignment="1">
      <alignment horizontal="justify" vertical="center"/>
    </xf>
    <xf numFmtId="0" fontId="2" fillId="17" borderId="84" xfId="2" applyFont="1" applyFill="1" applyBorder="1" applyAlignment="1">
      <alignment horizontal="justify" vertical="center"/>
    </xf>
    <xf numFmtId="0" fontId="2" fillId="16" borderId="85" xfId="0" applyFont="1" applyFill="1" applyBorder="1" applyAlignment="1">
      <alignment horizontal="justify" vertical="center" wrapText="1"/>
    </xf>
    <xf numFmtId="0" fontId="20" fillId="18" borderId="84" xfId="0" applyFont="1" applyFill="1" applyBorder="1" applyAlignment="1">
      <alignment horizontal="justify" vertical="center"/>
    </xf>
    <xf numFmtId="0" fontId="2" fillId="18" borderId="84" xfId="0" applyFont="1" applyFill="1" applyBorder="1" applyAlignment="1">
      <alignment horizontal="justify" vertical="center"/>
    </xf>
    <xf numFmtId="0" fontId="2" fillId="16" borderId="86" xfId="0" applyFont="1" applyFill="1" applyBorder="1" applyAlignment="1">
      <alignment horizontal="justify" vertical="center" wrapText="1"/>
    </xf>
    <xf numFmtId="0" fontId="20" fillId="18" borderId="84" xfId="2" applyFont="1" applyFill="1" applyBorder="1" applyAlignment="1">
      <alignment horizontal="justify" vertical="center"/>
    </xf>
    <xf numFmtId="167" fontId="0" fillId="0" borderId="0" xfId="0" applyNumberFormat="1" applyFill="1" applyAlignment="1">
      <alignment horizontal="center" vertical="center"/>
    </xf>
    <xf numFmtId="3" fontId="35" fillId="0" borderId="20" xfId="0" applyNumberFormat="1" applyFont="1" applyBorder="1" applyAlignment="1">
      <alignment horizontal="center" vertical="center"/>
    </xf>
    <xf numFmtId="3" fontId="35" fillId="0" borderId="21" xfId="0" applyNumberFormat="1" applyFont="1" applyBorder="1" applyAlignment="1">
      <alignment vertical="center"/>
    </xf>
    <xf numFmtId="0" fontId="3" fillId="16" borderId="2" xfId="0" applyFont="1" applyFill="1" applyBorder="1" applyAlignment="1">
      <alignment horizontal="center" vertical="center"/>
    </xf>
    <xf numFmtId="0" fontId="3" fillId="16" borderId="2" xfId="0" applyFont="1" applyFill="1" applyBorder="1" applyAlignment="1">
      <alignment horizontal="center" vertical="center" wrapText="1"/>
    </xf>
    <xf numFmtId="0" fontId="2" fillId="16" borderId="24" xfId="0" applyFont="1" applyFill="1" applyBorder="1" applyAlignment="1">
      <alignment horizontal="justify" vertical="center" wrapText="1"/>
    </xf>
    <xf numFmtId="0" fontId="2" fillId="16" borderId="25" xfId="0" applyFont="1" applyFill="1" applyBorder="1" applyAlignment="1">
      <alignment horizontal="center" vertical="center" wrapText="1"/>
    </xf>
    <xf numFmtId="166" fontId="2" fillId="16" borderId="39" xfId="0" applyNumberFormat="1" applyFont="1" applyFill="1" applyBorder="1" applyAlignment="1">
      <alignment horizontal="center" vertical="center" wrapText="1"/>
    </xf>
    <xf numFmtId="0" fontId="2" fillId="15" borderId="46" xfId="0" applyFont="1" applyFill="1" applyBorder="1" applyAlignment="1">
      <alignment horizontal="justify" vertical="center" wrapText="1"/>
    </xf>
    <xf numFmtId="0" fontId="3" fillId="15" borderId="53" xfId="0" applyFont="1" applyFill="1" applyBorder="1" applyAlignment="1">
      <alignment horizontal="center" vertical="center"/>
    </xf>
    <xf numFmtId="0" fontId="23" fillId="0" borderId="24" xfId="0" applyFont="1" applyFill="1" applyBorder="1" applyAlignment="1">
      <alignment horizontal="justify" vertical="center" wrapText="1"/>
    </xf>
    <xf numFmtId="167" fontId="3" fillId="0" borderId="2" xfId="0" applyNumberFormat="1" applyFont="1" applyFill="1" applyBorder="1" applyAlignment="1">
      <alignment horizontal="right" vertical="center" wrapText="1"/>
    </xf>
    <xf numFmtId="0" fontId="3" fillId="0" borderId="2" xfId="0" applyFont="1" applyFill="1" applyBorder="1" applyAlignment="1">
      <alignment horizontal="right" vertical="center" wrapText="1"/>
    </xf>
    <xf numFmtId="166" fontId="3" fillId="0" borderId="18" xfId="0" applyNumberFormat="1" applyFont="1" applyFill="1" applyBorder="1" applyAlignment="1">
      <alignment horizontal="right" vertical="center" wrapText="1"/>
    </xf>
    <xf numFmtId="167" fontId="3" fillId="0" borderId="0" xfId="0" applyNumberFormat="1" applyFont="1" applyFill="1"/>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xf numFmtId="0" fontId="0" fillId="0" borderId="0" xfId="0" applyFill="1"/>
    <xf numFmtId="0" fontId="3" fillId="0" borderId="2" xfId="0" applyFont="1" applyFill="1" applyBorder="1" applyAlignment="1">
      <alignment horizontal="center"/>
    </xf>
    <xf numFmtId="0" fontId="3" fillId="0" borderId="2" xfId="0" applyFont="1" applyFill="1" applyBorder="1"/>
    <xf numFmtId="164" fontId="3" fillId="0" borderId="0" xfId="0" applyNumberFormat="1" applyFont="1"/>
    <xf numFmtId="0" fontId="2" fillId="0" borderId="8" xfId="0" applyFont="1" applyFill="1" applyBorder="1" applyAlignment="1">
      <alignment horizontal="center" vertical="center"/>
    </xf>
    <xf numFmtId="0" fontId="3" fillId="0" borderId="0" xfId="0" applyFont="1" applyBorder="1"/>
    <xf numFmtId="0" fontId="2" fillId="16" borderId="25" xfId="0" applyFont="1" applyFill="1" applyBorder="1" applyAlignment="1">
      <alignment horizontal="justify" vertical="center" wrapText="1"/>
    </xf>
    <xf numFmtId="0" fontId="2" fillId="16" borderId="25"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right" vertical="center"/>
    </xf>
    <xf numFmtId="166" fontId="0" fillId="0" borderId="0" xfId="0" applyNumberFormat="1" applyFont="1" applyAlignment="1">
      <alignment horizontal="right" vertical="center"/>
    </xf>
    <xf numFmtId="0" fontId="3" fillId="18" borderId="37" xfId="0" applyFont="1" applyFill="1" applyBorder="1" applyAlignment="1">
      <alignment horizontal="justify" vertical="center"/>
    </xf>
    <xf numFmtId="166" fontId="0" fillId="18" borderId="37" xfId="0" applyNumberFormat="1" applyFont="1" applyFill="1" applyBorder="1" applyAlignment="1">
      <alignment horizontal="right" vertical="center"/>
    </xf>
    <xf numFmtId="166" fontId="0" fillId="18" borderId="38" xfId="0" applyNumberFormat="1" applyFont="1" applyFill="1" applyBorder="1" applyAlignment="1">
      <alignment horizontal="right" vertical="center"/>
    </xf>
    <xf numFmtId="0" fontId="3" fillId="16" borderId="35" xfId="0" applyFont="1" applyFill="1" applyBorder="1" applyAlignment="1">
      <alignment horizontal="justify" vertical="center" wrapText="1"/>
    </xf>
    <xf numFmtId="0" fontId="3" fillId="16" borderId="5" xfId="0" applyFont="1" applyFill="1" applyBorder="1" applyAlignment="1">
      <alignment horizontal="justify" vertical="center" wrapText="1"/>
    </xf>
    <xf numFmtId="0" fontId="3" fillId="16" borderId="5" xfId="0" applyFont="1" applyFill="1" applyBorder="1" applyAlignment="1">
      <alignment horizontal="center" vertical="center" wrapText="1"/>
    </xf>
    <xf numFmtId="166" fontId="3" fillId="16" borderId="5" xfId="0" applyNumberFormat="1" applyFont="1" applyFill="1" applyBorder="1" applyAlignment="1">
      <alignment horizontal="right" vertical="center" wrapText="1"/>
    </xf>
    <xf numFmtId="166" fontId="3" fillId="16" borderId="43" xfId="0" applyNumberFormat="1" applyFont="1" applyFill="1" applyBorder="1" applyAlignment="1">
      <alignment horizontal="right" vertical="center" wrapText="1"/>
    </xf>
    <xf numFmtId="0" fontId="4" fillId="0" borderId="2"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16" borderId="1" xfId="0" applyFont="1" applyFill="1" applyBorder="1" applyAlignment="1">
      <alignment horizontal="justify" vertical="center" wrapText="1"/>
    </xf>
    <xf numFmtId="0" fontId="3" fillId="16" borderId="2" xfId="0" applyFont="1" applyFill="1" applyBorder="1" applyAlignment="1">
      <alignment horizontal="justify" vertical="center" wrapText="1"/>
    </xf>
    <xf numFmtId="166" fontId="3" fillId="16" borderId="2" xfId="0" applyNumberFormat="1" applyFont="1" applyFill="1" applyBorder="1" applyAlignment="1">
      <alignment horizontal="right" vertical="center" wrapText="1"/>
    </xf>
    <xf numFmtId="166" fontId="3" fillId="16" borderId="18" xfId="0" applyNumberFormat="1" applyFont="1" applyFill="1" applyBorder="1" applyAlignment="1">
      <alignment horizontal="right" vertical="center" wrapText="1"/>
    </xf>
    <xf numFmtId="0" fontId="3" fillId="18" borderId="17" xfId="2" applyFont="1" applyFill="1" applyBorder="1" applyAlignment="1">
      <alignment horizontal="justify" vertical="center"/>
    </xf>
    <xf numFmtId="0" fontId="3" fillId="18" borderId="37" xfId="2" applyFont="1" applyFill="1" applyBorder="1" applyAlignment="1">
      <alignment horizontal="justify" vertical="center"/>
    </xf>
    <xf numFmtId="0" fontId="0" fillId="0" borderId="0" xfId="0" applyFont="1" applyFill="1" applyBorder="1" applyAlignment="1">
      <alignment horizontal="left" vertical="center"/>
    </xf>
    <xf numFmtId="0" fontId="0" fillId="0" borderId="0" xfId="0" applyFont="1"/>
    <xf numFmtId="0" fontId="3" fillId="17" borderId="37" xfId="2" applyFont="1" applyFill="1" applyBorder="1" applyAlignment="1">
      <alignment horizontal="justify" vertical="center"/>
    </xf>
    <xf numFmtId="0" fontId="3" fillId="17" borderId="37" xfId="2" applyFont="1" applyFill="1" applyBorder="1" applyAlignment="1">
      <alignment horizontal="center" vertical="center"/>
    </xf>
    <xf numFmtId="166" fontId="3" fillId="17" borderId="37" xfId="2" applyNumberFormat="1" applyFont="1" applyFill="1" applyBorder="1" applyAlignment="1">
      <alignment horizontal="center" vertical="center"/>
    </xf>
    <xf numFmtId="166" fontId="3" fillId="17" borderId="38" xfId="2" applyNumberFormat="1" applyFont="1" applyFill="1" applyBorder="1" applyAlignment="1">
      <alignment horizontal="center" vertical="center"/>
    </xf>
    <xf numFmtId="166" fontId="3" fillId="16" borderId="5" xfId="0" applyNumberFormat="1" applyFont="1" applyFill="1" applyBorder="1" applyAlignment="1">
      <alignment horizontal="center" vertical="center" wrapText="1"/>
    </xf>
    <xf numFmtId="166" fontId="3" fillId="16" borderId="43" xfId="0" applyNumberFormat="1" applyFont="1" applyFill="1" applyBorder="1" applyAlignment="1">
      <alignment horizontal="center" vertical="center" wrapText="1"/>
    </xf>
    <xf numFmtId="0" fontId="3" fillId="17" borderId="17" xfId="0" applyFont="1" applyFill="1" applyBorder="1" applyAlignment="1">
      <alignment horizontal="justify" vertical="center"/>
    </xf>
    <xf numFmtId="0" fontId="3" fillId="0" borderId="1" xfId="0" applyFont="1" applyBorder="1" applyAlignment="1">
      <alignment horizontal="justify" vertical="center" wrapText="1"/>
    </xf>
    <xf numFmtId="0" fontId="3" fillId="24" borderId="17" xfId="0" applyFont="1" applyFill="1" applyBorder="1" applyAlignment="1">
      <alignment horizontal="justify" vertical="center"/>
    </xf>
    <xf numFmtId="166" fontId="3" fillId="16" borderId="2" xfId="0" applyNumberFormat="1" applyFont="1" applyFill="1" applyBorder="1" applyAlignment="1">
      <alignment horizontal="center" vertical="center" wrapText="1"/>
    </xf>
    <xf numFmtId="166" fontId="3" fillId="16" borderId="18" xfId="0" applyNumberFormat="1" applyFont="1" applyFill="1" applyBorder="1" applyAlignment="1">
      <alignment horizontal="center" vertical="center" wrapText="1"/>
    </xf>
    <xf numFmtId="166" fontId="3" fillId="18" borderId="37" xfId="0" applyNumberFormat="1" applyFont="1" applyFill="1" applyBorder="1" applyAlignment="1">
      <alignment horizontal="center" vertical="center"/>
    </xf>
    <xf numFmtId="166" fontId="3" fillId="18" borderId="38" xfId="0" applyNumberFormat="1" applyFont="1" applyFill="1" applyBorder="1" applyAlignment="1">
      <alignment horizontal="center" vertical="center"/>
    </xf>
    <xf numFmtId="0" fontId="3" fillId="15" borderId="17" xfId="0" applyFont="1" applyFill="1" applyBorder="1" applyAlignment="1">
      <alignment horizontal="justify" vertical="center" wrapText="1"/>
    </xf>
    <xf numFmtId="0" fontId="3" fillId="15" borderId="37" xfId="0" applyFont="1" applyFill="1" applyBorder="1" applyAlignment="1">
      <alignment horizontal="justify" vertical="center" wrapText="1"/>
    </xf>
    <xf numFmtId="166" fontId="3" fillId="15" borderId="37" xfId="0" applyNumberFormat="1" applyFont="1" applyFill="1" applyBorder="1" applyAlignment="1">
      <alignment horizontal="center" vertical="center" wrapText="1"/>
    </xf>
    <xf numFmtId="166" fontId="3" fillId="15" borderId="38" xfId="0" applyNumberFormat="1" applyFont="1" applyFill="1" applyBorder="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166" fontId="0" fillId="0" borderId="0" xfId="0" applyNumberFormat="1" applyFont="1" applyFill="1" applyAlignment="1">
      <alignment horizontal="center" vertical="center"/>
    </xf>
    <xf numFmtId="0" fontId="0" fillId="0" borderId="0" xfId="0" applyFont="1" applyAlignment="1">
      <alignment horizontal="left" vertical="center"/>
    </xf>
    <xf numFmtId="0" fontId="0" fillId="0" borderId="0" xfId="0" applyFont="1" applyAlignment="1">
      <alignment horizontal="center"/>
    </xf>
    <xf numFmtId="166" fontId="0" fillId="0" borderId="0" xfId="0" applyNumberFormat="1" applyFont="1" applyAlignment="1">
      <alignment horizontal="center"/>
    </xf>
    <xf numFmtId="170" fontId="0" fillId="0" borderId="0" xfId="0" applyNumberFormat="1" applyFont="1" applyAlignment="1">
      <alignment horizontal="center"/>
    </xf>
    <xf numFmtId="3" fontId="2" fillId="0" borderId="2" xfId="0" applyNumberFormat="1" applyFont="1" applyFill="1" applyBorder="1" applyAlignment="1">
      <alignment horizontal="center"/>
    </xf>
    <xf numFmtId="42" fontId="2" fillId="0" borderId="2" xfId="8" applyNumberFormat="1" applyFont="1" applyFill="1" applyBorder="1" applyAlignment="1">
      <alignment horizontal="center" vertical="center" wrapText="1"/>
    </xf>
    <xf numFmtId="42" fontId="3" fillId="0" borderId="18" xfId="0" applyNumberFormat="1" applyFont="1" applyFill="1" applyBorder="1" applyAlignment="1">
      <alignment horizontal="right" vertical="center"/>
    </xf>
    <xf numFmtId="0" fontId="34" fillId="0" borderId="0" xfId="0" applyFont="1" applyFill="1" applyAlignment="1">
      <alignment vertical="center"/>
    </xf>
    <xf numFmtId="166" fontId="2" fillId="0" borderId="2" xfId="0" applyNumberFormat="1" applyFont="1" applyFill="1" applyBorder="1" applyAlignment="1">
      <alignment horizontal="right" vertical="center" wrapText="1"/>
    </xf>
    <xf numFmtId="0" fontId="2" fillId="0" borderId="4" xfId="0" applyFont="1" applyFill="1" applyBorder="1" applyAlignment="1">
      <alignment horizontal="left" vertical="center" wrapText="1"/>
    </xf>
    <xf numFmtId="6" fontId="2" fillId="0" borderId="2" xfId="0" applyNumberFormat="1" applyFont="1" applyFill="1" applyBorder="1" applyAlignment="1">
      <alignment horizontal="center" vertical="center" wrapText="1"/>
    </xf>
    <xf numFmtId="44" fontId="2" fillId="0" borderId="18" xfId="7" applyFont="1" applyFill="1" applyBorder="1" applyAlignment="1">
      <alignment vertical="center"/>
    </xf>
    <xf numFmtId="0" fontId="2" fillId="33" borderId="20" xfId="0" applyFont="1" applyFill="1" applyBorder="1" applyAlignment="1">
      <alignment horizontal="center" vertical="center"/>
    </xf>
    <xf numFmtId="167" fontId="3" fillId="0" borderId="8" xfId="6" applyNumberFormat="1" applyFont="1" applyFill="1" applyBorder="1" applyAlignment="1">
      <alignment horizontal="right" vertical="center"/>
    </xf>
    <xf numFmtId="167" fontId="3" fillId="0" borderId="2" xfId="6" applyNumberFormat="1" applyFont="1" applyFill="1" applyBorder="1" applyAlignment="1">
      <alignment horizontal="right" vertical="center"/>
    </xf>
    <xf numFmtId="166" fontId="3" fillId="0" borderId="45" xfId="0" applyNumberFormat="1" applyFont="1" applyFill="1" applyBorder="1" applyAlignment="1">
      <alignment horizontal="right"/>
    </xf>
    <xf numFmtId="166" fontId="0" fillId="0" borderId="0" xfId="0" applyNumberFormat="1" applyFont="1" applyFill="1"/>
    <xf numFmtId="49" fontId="3" fillId="0" borderId="2" xfId="0" applyNumberFormat="1" applyFont="1" applyFill="1" applyBorder="1" applyAlignment="1">
      <alignment horizontal="center" vertical="center" wrapText="1"/>
    </xf>
    <xf numFmtId="0" fontId="3" fillId="4" borderId="0" xfId="0" applyFont="1" applyFill="1"/>
    <xf numFmtId="1" fontId="0" fillId="0" borderId="0" xfId="0" applyNumberFormat="1"/>
    <xf numFmtId="44" fontId="0" fillId="0" borderId="0" xfId="7" applyFont="1" applyAlignment="1">
      <alignment horizontal="center" vertical="center"/>
    </xf>
    <xf numFmtId="43" fontId="0" fillId="0" borderId="0" xfId="6" applyFont="1" applyAlignment="1">
      <alignment horizontal="center" vertical="center"/>
    </xf>
    <xf numFmtId="44" fontId="0" fillId="0" borderId="0" xfId="7" applyFont="1" applyAlignment="1">
      <alignment horizontal="center" vertical="center" wrapText="1"/>
    </xf>
    <xf numFmtId="44" fontId="0" fillId="0" borderId="0" xfId="0" applyNumberFormat="1" applyAlignment="1">
      <alignment horizontal="center" vertical="center"/>
    </xf>
    <xf numFmtId="0" fontId="0" fillId="0" borderId="0" xfId="0" applyFill="1" applyAlignment="1">
      <alignment horizontal="center" vertical="center"/>
    </xf>
    <xf numFmtId="0" fontId="34" fillId="0" borderId="0" xfId="0" applyFont="1" applyFill="1" applyAlignment="1">
      <alignment horizontal="center" vertical="center"/>
    </xf>
    <xf numFmtId="170" fontId="34" fillId="0" borderId="0" xfId="7" applyNumberFormat="1" applyFont="1" applyFill="1" applyAlignment="1">
      <alignment horizontal="center" vertical="center"/>
    </xf>
    <xf numFmtId="42" fontId="34" fillId="0" borderId="0" xfId="0" applyNumberFormat="1" applyFont="1" applyFill="1" applyAlignment="1">
      <alignment horizontal="center" vertical="center"/>
    </xf>
    <xf numFmtId="0" fontId="27" fillId="16" borderId="2" xfId="0" applyFont="1" applyFill="1" applyBorder="1" applyAlignment="1">
      <alignment horizontal="center" vertical="center" wrapText="1"/>
    </xf>
    <xf numFmtId="10" fontId="27" fillId="16" borderId="2" xfId="5" applyNumberFormat="1" applyFont="1" applyFill="1" applyBorder="1" applyAlignment="1">
      <alignment horizontal="center" vertical="center" wrapText="1"/>
    </xf>
    <xf numFmtId="3" fontId="27" fillId="16" borderId="2" xfId="1" applyNumberFormat="1" applyFont="1" applyFill="1" applyBorder="1" applyAlignment="1">
      <alignment horizontal="right" vertical="center"/>
    </xf>
    <xf numFmtId="166" fontId="2" fillId="0" borderId="3" xfId="0" applyNumberFormat="1" applyFont="1" applyFill="1" applyBorder="1" applyAlignment="1">
      <alignment horizontal="right" vertical="center" wrapText="1"/>
    </xf>
    <xf numFmtId="166" fontId="3" fillId="0" borderId="21" xfId="0" applyNumberFormat="1" applyFont="1" applyFill="1" applyBorder="1" applyAlignment="1">
      <alignment horizontal="right" vertical="center"/>
    </xf>
    <xf numFmtId="167" fontId="3" fillId="0" borderId="0" xfId="0" applyNumberFormat="1" applyFont="1"/>
    <xf numFmtId="43" fontId="4" fillId="0" borderId="0" xfId="6" applyFont="1"/>
    <xf numFmtId="0" fontId="20" fillId="14" borderId="11" xfId="0" applyFont="1" applyFill="1" applyBorder="1" applyAlignment="1">
      <alignment horizontal="center" vertical="center" wrapText="1"/>
    </xf>
    <xf numFmtId="167" fontId="2" fillId="5" borderId="77" xfId="6" applyNumberFormat="1" applyFont="1" applyFill="1" applyBorder="1" applyAlignment="1">
      <alignment horizontal="justify" vertical="center" wrapText="1"/>
    </xf>
    <xf numFmtId="167" fontId="2" fillId="33" borderId="52" xfId="6" applyNumberFormat="1" applyFont="1" applyFill="1" applyBorder="1" applyAlignment="1">
      <alignment horizontal="right" vertical="center" wrapText="1"/>
    </xf>
    <xf numFmtId="166" fontId="17" fillId="4" borderId="13" xfId="0" applyNumberFormat="1" applyFont="1" applyFill="1" applyBorder="1" applyAlignment="1">
      <alignment horizontal="center" vertical="center"/>
    </xf>
    <xf numFmtId="166" fontId="17" fillId="4" borderId="37" xfId="0" applyNumberFormat="1" applyFont="1" applyFill="1" applyBorder="1"/>
    <xf numFmtId="166" fontId="17" fillId="4" borderId="38" xfId="0" applyNumberFormat="1" applyFont="1" applyFill="1" applyBorder="1" applyAlignment="1">
      <alignment horizontal="center" vertical="center"/>
    </xf>
    <xf numFmtId="3" fontId="38" fillId="28" borderId="80" xfId="0" applyNumberFormat="1" applyFont="1" applyFill="1" applyBorder="1"/>
    <xf numFmtId="41" fontId="14" fillId="17" borderId="79" xfId="1" applyNumberFormat="1" applyFont="1" applyFill="1" applyBorder="1" applyAlignment="1">
      <alignment horizontal="center" vertical="center"/>
    </xf>
    <xf numFmtId="41" fontId="14" fillId="17" borderId="78" xfId="1" applyNumberFormat="1" applyFont="1" applyFill="1" applyBorder="1" applyAlignment="1">
      <alignment horizontal="center" vertical="center"/>
    </xf>
    <xf numFmtId="41" fontId="27" fillId="17" borderId="78" xfId="1" applyNumberFormat="1" applyFont="1" applyFill="1" applyBorder="1" applyAlignment="1">
      <alignment horizontal="center" vertical="center"/>
    </xf>
    <xf numFmtId="41" fontId="14" fillId="17" borderId="78" xfId="1" applyNumberFormat="1" applyFont="1" applyFill="1" applyBorder="1" applyAlignment="1">
      <alignment horizontal="center" vertical="center" wrapText="1"/>
    </xf>
    <xf numFmtId="41" fontId="14" fillId="17" borderId="72" xfId="1" applyNumberFormat="1" applyFont="1" applyFill="1" applyBorder="1" applyAlignment="1">
      <alignment horizontal="center" vertical="center"/>
    </xf>
    <xf numFmtId="41" fontId="27" fillId="17" borderId="72" xfId="1" applyNumberFormat="1" applyFont="1" applyFill="1" applyBorder="1" applyAlignment="1">
      <alignment horizontal="center" vertical="center"/>
    </xf>
    <xf numFmtId="0" fontId="3" fillId="3" borderId="0" xfId="0" applyFont="1" applyFill="1" applyAlignment="1">
      <alignment horizontal="center" vertical="center"/>
    </xf>
    <xf numFmtId="0" fontId="3" fillId="0" borderId="2" xfId="0" applyFont="1" applyFill="1" applyBorder="1" applyAlignment="1">
      <alignment horizontal="left" vertical="center" wrapText="1"/>
    </xf>
    <xf numFmtId="0" fontId="3" fillId="0" borderId="0" xfId="0" applyFont="1" applyFill="1" applyAlignment="1">
      <alignment horizontal="center" vertical="center"/>
    </xf>
    <xf numFmtId="0" fontId="16" fillId="3" borderId="0" xfId="0" applyFont="1" applyFill="1" applyAlignment="1">
      <alignment horizontal="center" vertical="center"/>
    </xf>
    <xf numFmtId="0" fontId="3" fillId="4" borderId="0" xfId="0" applyFont="1" applyFill="1" applyAlignment="1">
      <alignment horizontal="center" vertical="center"/>
    </xf>
    <xf numFmtId="0" fontId="3" fillId="4" borderId="2" xfId="0" applyFont="1" applyFill="1" applyBorder="1" applyAlignment="1">
      <alignment horizontal="left" vertical="center" wrapText="1"/>
    </xf>
    <xf numFmtId="0" fontId="0" fillId="0" borderId="0" xfId="0" applyBorder="1" applyAlignment="1">
      <alignment horizontal="center"/>
    </xf>
    <xf numFmtId="173" fontId="0" fillId="0" borderId="2" xfId="6" applyNumberFormat="1" applyFont="1" applyBorder="1"/>
    <xf numFmtId="173" fontId="0" fillId="0" borderId="0" xfId="0" applyNumberFormat="1"/>
    <xf numFmtId="173" fontId="0" fillId="0" borderId="0" xfId="6" applyNumberFormat="1" applyFont="1"/>
    <xf numFmtId="173" fontId="0" fillId="0" borderId="0" xfId="5" applyNumberFormat="1" applyFont="1"/>
    <xf numFmtId="167" fontId="3" fillId="0" borderId="8" xfId="61" applyNumberFormat="1" applyFont="1" applyFill="1" applyBorder="1" applyAlignment="1">
      <alignment horizontal="center" vertical="center" wrapText="1"/>
    </xf>
    <xf numFmtId="167" fontId="3" fillId="0" borderId="0" xfId="61" applyNumberFormat="1"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16" borderId="3" xfId="0" applyFont="1" applyFill="1" applyBorder="1" applyAlignment="1">
      <alignment horizontal="left" vertical="center" wrapText="1"/>
    </xf>
    <xf numFmtId="0" fontId="10" fillId="16" borderId="2" xfId="0" applyFont="1" applyFill="1" applyBorder="1" applyAlignment="1">
      <alignment horizontal="center" vertical="center" wrapText="1"/>
    </xf>
    <xf numFmtId="0" fontId="10" fillId="16" borderId="2" xfId="0" applyFont="1" applyFill="1" applyBorder="1" applyAlignment="1">
      <alignment horizontal="left" vertical="center" wrapText="1"/>
    </xf>
    <xf numFmtId="0" fontId="10" fillId="16" borderId="1" xfId="0" applyFont="1" applyFill="1" applyBorder="1" applyAlignment="1">
      <alignment horizontal="center" vertical="center" wrapText="1"/>
    </xf>
    <xf numFmtId="0" fontId="8" fillId="26" borderId="3" xfId="0" applyFont="1" applyFill="1" applyBorder="1" applyAlignment="1">
      <alignment horizontal="center" vertical="center"/>
    </xf>
    <xf numFmtId="0" fontId="10" fillId="17" borderId="2" xfId="0" applyFont="1" applyFill="1" applyBorder="1" applyAlignment="1">
      <alignment horizontal="center" vertical="center" wrapText="1"/>
    </xf>
    <xf numFmtId="0" fontId="33" fillId="17" borderId="2" xfId="0" applyFont="1" applyFill="1" applyBorder="1" applyAlignment="1">
      <alignment horizontal="left" vertical="center" wrapText="1"/>
    </xf>
    <xf numFmtId="0" fontId="33" fillId="16" borderId="2" xfId="0" applyFont="1" applyFill="1" applyBorder="1" applyAlignment="1">
      <alignment horizontal="left" vertical="center" wrapText="1"/>
    </xf>
    <xf numFmtId="0" fontId="18" fillId="13" borderId="2" xfId="0" applyFont="1" applyFill="1" applyBorder="1" applyAlignment="1">
      <alignment horizontal="center"/>
    </xf>
    <xf numFmtId="0" fontId="18" fillId="13" borderId="2" xfId="0" applyFont="1" applyFill="1" applyBorder="1" applyAlignment="1">
      <alignment horizontal="center" vertical="center" wrapText="1"/>
    </xf>
    <xf numFmtId="41" fontId="14" fillId="17" borderId="2" xfId="1" applyNumberFormat="1" applyFont="1" applyFill="1" applyBorder="1" applyAlignment="1">
      <alignment horizontal="center" vertical="center"/>
    </xf>
    <xf numFmtId="0" fontId="10" fillId="17" borderId="1" xfId="0" applyFont="1" applyFill="1" applyBorder="1" applyAlignment="1">
      <alignment horizontal="center" vertical="center" wrapText="1"/>
    </xf>
    <xf numFmtId="0" fontId="4" fillId="14" borderId="11" xfId="0" applyFont="1" applyFill="1" applyBorder="1" applyAlignment="1">
      <alignment horizontal="center" vertical="center" wrapText="1"/>
    </xf>
    <xf numFmtId="164" fontId="2" fillId="15" borderId="41" xfId="0" applyNumberFormat="1" applyFont="1" applyFill="1" applyBorder="1" applyAlignment="1">
      <alignment horizontal="center" vertical="center" wrapText="1"/>
    </xf>
    <xf numFmtId="0" fontId="2" fillId="0" borderId="75" xfId="0" applyFont="1" applyFill="1" applyBorder="1" applyAlignment="1">
      <alignment horizontal="center" vertical="center" wrapText="1"/>
    </xf>
    <xf numFmtId="166" fontId="10" fillId="17" borderId="2" xfId="0" applyNumberFormat="1" applyFont="1" applyFill="1" applyBorder="1" applyAlignment="1">
      <alignment horizontal="right" vertical="center" wrapText="1"/>
    </xf>
    <xf numFmtId="166" fontId="27" fillId="16" borderId="2" xfId="0" applyNumberFormat="1" applyFont="1" applyFill="1" applyBorder="1" applyAlignment="1">
      <alignment horizontal="right" vertical="center" wrapText="1"/>
    </xf>
    <xf numFmtId="166" fontId="10" fillId="16" borderId="2" xfId="0" applyNumberFormat="1" applyFont="1" applyFill="1" applyBorder="1" applyAlignment="1">
      <alignment horizontal="right" vertical="center" wrapText="1"/>
    </xf>
    <xf numFmtId="166" fontId="27" fillId="17" borderId="2" xfId="0" applyNumberFormat="1" applyFont="1" applyFill="1" applyBorder="1" applyAlignment="1">
      <alignment horizontal="right" vertical="center" wrapText="1"/>
    </xf>
    <xf numFmtId="0" fontId="8" fillId="26" borderId="45" xfId="0" applyFont="1" applyFill="1" applyBorder="1" applyAlignment="1">
      <alignment horizontal="center" vertical="center"/>
    </xf>
    <xf numFmtId="41" fontId="14" fillId="17" borderId="71" xfId="1" applyNumberFormat="1" applyFont="1" applyFill="1" applyBorder="1" applyAlignment="1">
      <alignment horizontal="center" vertical="center"/>
    </xf>
    <xf numFmtId="0" fontId="8" fillId="26" borderId="6" xfId="0" applyFont="1" applyFill="1" applyBorder="1" applyAlignment="1">
      <alignment horizontal="center" vertical="center"/>
    </xf>
    <xf numFmtId="0" fontId="8" fillId="26" borderId="32" xfId="0" applyFont="1" applyFill="1" applyBorder="1" applyAlignment="1">
      <alignment horizontal="center" vertical="center"/>
    </xf>
    <xf numFmtId="0" fontId="8" fillId="26" borderId="75" xfId="0" applyFont="1" applyFill="1" applyBorder="1" applyAlignment="1">
      <alignment horizontal="center" vertical="center"/>
    </xf>
    <xf numFmtId="169" fontId="10" fillId="17" borderId="2" xfId="5" applyNumberFormat="1" applyFont="1" applyFill="1" applyBorder="1" applyAlignment="1">
      <alignment horizontal="center" vertical="center" wrapText="1"/>
    </xf>
    <xf numFmtId="166" fontId="14" fillId="17" borderId="2" xfId="1" applyNumberFormat="1" applyFont="1" applyFill="1" applyBorder="1" applyAlignment="1">
      <alignment horizontal="center" vertical="center"/>
    </xf>
    <xf numFmtId="0" fontId="27" fillId="16" borderId="2" xfId="0" applyFont="1" applyFill="1" applyBorder="1" applyAlignment="1">
      <alignment horizontal="left" vertical="center" wrapText="1"/>
    </xf>
    <xf numFmtId="169" fontId="27" fillId="16" borderId="2" xfId="5" applyNumberFormat="1" applyFont="1" applyFill="1" applyBorder="1" applyAlignment="1">
      <alignment horizontal="center" vertical="center" wrapText="1"/>
    </xf>
    <xf numFmtId="169" fontId="10" fillId="16" borderId="2" xfId="5" applyNumberFormat="1" applyFont="1" applyFill="1" applyBorder="1" applyAlignment="1">
      <alignment horizontal="center" vertical="center" wrapText="1"/>
    </xf>
    <xf numFmtId="169" fontId="27" fillId="17" borderId="2" xfId="5" applyNumberFormat="1" applyFont="1" applyFill="1" applyBorder="1" applyAlignment="1">
      <alignment horizontal="center" vertical="center" wrapText="1"/>
    </xf>
    <xf numFmtId="0" fontId="10" fillId="17" borderId="25" xfId="0" applyFont="1" applyFill="1" applyBorder="1" applyAlignment="1">
      <alignment horizontal="center" vertical="center" wrapText="1"/>
    </xf>
    <xf numFmtId="0" fontId="10" fillId="17" borderId="25" xfId="0" applyFont="1" applyFill="1" applyBorder="1" applyAlignment="1">
      <alignment horizontal="left" vertical="center" wrapText="1"/>
    </xf>
    <xf numFmtId="169" fontId="10" fillId="17" borderId="25" xfId="5" applyNumberFormat="1" applyFont="1" applyFill="1" applyBorder="1" applyAlignment="1">
      <alignment horizontal="center" vertical="center" wrapText="1"/>
    </xf>
    <xf numFmtId="10" fontId="10" fillId="17" borderId="25" xfId="5" applyNumberFormat="1" applyFont="1" applyFill="1" applyBorder="1" applyAlignment="1">
      <alignment horizontal="center" vertical="center" wrapText="1"/>
    </xf>
    <xf numFmtId="166" fontId="10" fillId="17" borderId="25" xfId="0" applyNumberFormat="1" applyFont="1" applyFill="1" applyBorder="1" applyAlignment="1">
      <alignment horizontal="right" vertical="center" wrapText="1"/>
    </xf>
    <xf numFmtId="43" fontId="10" fillId="17" borderId="25" xfId="10" applyFont="1" applyFill="1" applyBorder="1" applyAlignment="1">
      <alignment horizontal="center" vertical="center" wrapText="1"/>
    </xf>
    <xf numFmtId="41" fontId="14" fillId="17" borderId="25" xfId="1" applyNumberFormat="1" applyFont="1" applyFill="1" applyBorder="1" applyAlignment="1">
      <alignment horizontal="center" vertical="center"/>
    </xf>
    <xf numFmtId="0" fontId="33" fillId="16" borderId="3" xfId="0" applyFont="1" applyFill="1" applyBorder="1" applyAlignment="1">
      <alignment horizontal="left" vertical="center" wrapText="1"/>
    </xf>
    <xf numFmtId="41" fontId="14" fillId="16" borderId="3" xfId="1" applyNumberFormat="1" applyFont="1" applyFill="1" applyBorder="1" applyAlignment="1">
      <alignment vertical="center"/>
    </xf>
    <xf numFmtId="0" fontId="10" fillId="16" borderId="3" xfId="0" applyFont="1" applyFill="1" applyBorder="1" applyAlignment="1">
      <alignment horizontal="center" vertical="center" wrapText="1"/>
    </xf>
    <xf numFmtId="169" fontId="10" fillId="16" borderId="3" xfId="5" applyNumberFormat="1" applyFont="1" applyFill="1" applyBorder="1" applyAlignment="1">
      <alignment horizontal="center" vertical="center" wrapText="1"/>
    </xf>
    <xf numFmtId="10" fontId="10" fillId="16" borderId="3" xfId="5" applyNumberFormat="1" applyFont="1" applyFill="1" applyBorder="1" applyAlignment="1">
      <alignment horizontal="center" vertical="center" wrapText="1"/>
    </xf>
    <xf numFmtId="166" fontId="10" fillId="16" borderId="3" xfId="0" applyNumberFormat="1" applyFont="1" applyFill="1" applyBorder="1" applyAlignment="1">
      <alignment horizontal="right" vertical="center" wrapText="1"/>
    </xf>
    <xf numFmtId="43" fontId="10" fillId="17" borderId="3" xfId="10" applyFont="1" applyFill="1" applyBorder="1" applyAlignment="1">
      <alignment horizontal="center" vertical="center" wrapText="1"/>
    </xf>
    <xf numFmtId="3" fontId="14" fillId="16" borderId="3" xfId="1" applyNumberFormat="1" applyFont="1" applyFill="1" applyBorder="1" applyAlignment="1">
      <alignment horizontal="right" vertical="center"/>
    </xf>
    <xf numFmtId="164" fontId="8" fillId="13" borderId="37" xfId="0" applyNumberFormat="1" applyFont="1" applyFill="1" applyBorder="1" applyAlignment="1">
      <alignment vertical="center"/>
    </xf>
    <xf numFmtId="0" fontId="8" fillId="13" borderId="37" xfId="0" applyFont="1" applyFill="1" applyBorder="1" applyAlignment="1">
      <alignment horizontal="center" vertical="center"/>
    </xf>
    <xf numFmtId="9" fontId="8" fillId="13" borderId="37" xfId="5" applyFont="1" applyFill="1" applyBorder="1" applyAlignment="1">
      <alignment horizontal="center" vertical="center"/>
    </xf>
    <xf numFmtId="43" fontId="8" fillId="13" borderId="37" xfId="5" applyNumberFormat="1" applyFont="1" applyFill="1" applyBorder="1" applyAlignment="1">
      <alignment horizontal="center" vertical="center"/>
    </xf>
    <xf numFmtId="167" fontId="10" fillId="16" borderId="75" xfId="10" applyNumberFormat="1" applyFont="1" applyFill="1" applyBorder="1" applyAlignment="1">
      <alignment horizontal="center" vertical="center" wrapText="1"/>
    </xf>
    <xf numFmtId="41" fontId="14" fillId="17" borderId="29" xfId="1" applyNumberFormat="1" applyFont="1" applyFill="1" applyBorder="1" applyAlignment="1">
      <alignment horizontal="center" vertical="center"/>
    </xf>
    <xf numFmtId="41" fontId="14" fillId="17" borderId="4" xfId="1" applyNumberFormat="1" applyFont="1" applyFill="1" applyBorder="1" applyAlignment="1">
      <alignment horizontal="center" vertical="center"/>
    </xf>
    <xf numFmtId="3" fontId="27" fillId="16" borderId="4" xfId="1" applyNumberFormat="1" applyFont="1" applyFill="1" applyBorder="1" applyAlignment="1">
      <alignment horizontal="right" vertical="center"/>
    </xf>
    <xf numFmtId="3" fontId="14" fillId="16" borderId="4" xfId="1" applyNumberFormat="1" applyFont="1" applyFill="1" applyBorder="1" applyAlignment="1">
      <alignment horizontal="right" vertical="center"/>
    </xf>
    <xf numFmtId="3" fontId="27" fillId="17" borderId="4" xfId="1" applyNumberFormat="1" applyFont="1" applyFill="1" applyBorder="1" applyAlignment="1">
      <alignment horizontal="right" vertical="center"/>
    </xf>
    <xf numFmtId="3" fontId="14" fillId="17" borderId="4" xfId="1" applyNumberFormat="1" applyFont="1" applyFill="1" applyBorder="1" applyAlignment="1">
      <alignment horizontal="right" vertical="center"/>
    </xf>
    <xf numFmtId="3" fontId="14" fillId="16" borderId="32" xfId="1" applyNumberFormat="1" applyFont="1" applyFill="1" applyBorder="1" applyAlignment="1">
      <alignment horizontal="right" vertical="center"/>
    </xf>
    <xf numFmtId="3" fontId="27" fillId="17" borderId="8" xfId="1" applyNumberFormat="1" applyFont="1" applyFill="1" applyBorder="1" applyAlignment="1">
      <alignment horizontal="right" vertical="center"/>
    </xf>
    <xf numFmtId="164" fontId="8" fillId="13" borderId="11" xfId="0" applyNumberFormat="1" applyFont="1" applyFill="1" applyBorder="1" applyAlignment="1">
      <alignment vertical="center"/>
    </xf>
    <xf numFmtId="0" fontId="19" fillId="0" borderId="0" xfId="0" applyFont="1" applyBorder="1" applyAlignment="1">
      <alignment horizontal="center"/>
    </xf>
    <xf numFmtId="0" fontId="19" fillId="0" borderId="10" xfId="0" applyFont="1" applyBorder="1" applyAlignment="1">
      <alignment horizontal="center"/>
    </xf>
    <xf numFmtId="170" fontId="18" fillId="0" borderId="0" xfId="7" applyNumberFormat="1" applyFont="1" applyBorder="1" applyAlignment="1">
      <alignment horizontal="center"/>
    </xf>
    <xf numFmtId="0" fontId="18" fillId="0" borderId="10" xfId="0" applyFont="1" applyBorder="1" applyAlignment="1">
      <alignment horizontal="center"/>
    </xf>
    <xf numFmtId="0" fontId="18" fillId="0" borderId="0" xfId="0" applyFont="1" applyBorder="1" applyAlignment="1">
      <alignment horizontal="center"/>
    </xf>
    <xf numFmtId="170" fontId="18" fillId="25" borderId="99" xfId="0" applyNumberFormat="1" applyFont="1" applyFill="1" applyBorder="1" applyAlignment="1">
      <alignment vertical="center"/>
    </xf>
    <xf numFmtId="0" fontId="25" fillId="0" borderId="0" xfId="0" applyFont="1"/>
    <xf numFmtId="0" fontId="20" fillId="14" borderId="25" xfId="0" applyFont="1" applyFill="1" applyBorder="1" applyAlignment="1">
      <alignment horizontal="center" vertical="center"/>
    </xf>
    <xf numFmtId="0" fontId="20" fillId="14" borderId="26" xfId="0" applyFont="1" applyFill="1" applyBorder="1" applyAlignment="1">
      <alignment horizontal="center" vertical="center"/>
    </xf>
    <xf numFmtId="0" fontId="20" fillId="14" borderId="20" xfId="0" applyFont="1" applyFill="1" applyBorder="1" applyAlignment="1">
      <alignment horizontal="center" vertical="center"/>
    </xf>
    <xf numFmtId="0" fontId="20" fillId="14" borderId="21" xfId="0" applyFont="1" applyFill="1" applyBorder="1" applyAlignment="1">
      <alignment horizontal="center" vertical="center" wrapText="1"/>
    </xf>
    <xf numFmtId="0" fontId="18" fillId="13" borderId="5" xfId="0" applyFont="1" applyFill="1" applyBorder="1" applyAlignment="1">
      <alignment horizontal="center"/>
    </xf>
    <xf numFmtId="170" fontId="18" fillId="13" borderId="5" xfId="7" applyNumberFormat="1" applyFont="1" applyFill="1" applyBorder="1" applyAlignment="1">
      <alignment horizontal="center"/>
    </xf>
    <xf numFmtId="170" fontId="18" fillId="13" borderId="43" xfId="7" applyNumberFormat="1" applyFont="1" applyFill="1" applyBorder="1" applyAlignment="1">
      <alignment horizontal="center"/>
    </xf>
    <xf numFmtId="170" fontId="0" fillId="13" borderId="2" xfId="7" applyNumberFormat="1" applyFont="1" applyFill="1" applyBorder="1"/>
    <xf numFmtId="170" fontId="0" fillId="13" borderId="18" xfId="7" applyNumberFormat="1" applyFont="1" applyFill="1" applyBorder="1"/>
    <xf numFmtId="0" fontId="2" fillId="15" borderId="1" xfId="0" applyFont="1" applyFill="1" applyBorder="1" applyAlignment="1">
      <alignment horizontal="justify" vertical="center" wrapText="1"/>
    </xf>
    <xf numFmtId="170" fontId="0" fillId="0" borderId="2" xfId="7" applyNumberFormat="1" applyFont="1" applyBorder="1"/>
    <xf numFmtId="170" fontId="0" fillId="0" borderId="18" xfId="7" applyNumberFormat="1" applyFont="1" applyBorder="1"/>
    <xf numFmtId="170" fontId="0" fillId="0" borderId="2" xfId="7" applyNumberFormat="1" applyFont="1" applyFill="1" applyBorder="1"/>
    <xf numFmtId="170" fontId="0" fillId="0" borderId="18" xfId="7" applyNumberFormat="1" applyFont="1" applyFill="1" applyBorder="1"/>
    <xf numFmtId="170" fontId="18" fillId="13" borderId="2" xfId="7" applyNumberFormat="1" applyFont="1" applyFill="1" applyBorder="1" applyAlignment="1">
      <alignment horizontal="center"/>
    </xf>
    <xf numFmtId="170" fontId="18" fillId="13" borderId="18" xfId="7" applyNumberFormat="1" applyFont="1" applyFill="1" applyBorder="1" applyAlignment="1">
      <alignment horizontal="center"/>
    </xf>
    <xf numFmtId="170" fontId="0" fillId="0" borderId="2" xfId="7" applyNumberFormat="1" applyFont="1" applyBorder="1" applyAlignment="1">
      <alignment wrapText="1"/>
    </xf>
    <xf numFmtId="170" fontId="0" fillId="0" borderId="2" xfId="7" applyNumberFormat="1" applyFont="1" applyBorder="1" applyAlignment="1">
      <alignment vertical="center" wrapText="1"/>
    </xf>
    <xf numFmtId="170" fontId="0" fillId="0" borderId="18" xfId="7" applyNumberFormat="1" applyFont="1" applyBorder="1" applyAlignment="1">
      <alignment vertical="center" wrapText="1"/>
    </xf>
    <xf numFmtId="167" fontId="0" fillId="0" borderId="2" xfId="6" applyNumberFormat="1" applyFont="1" applyBorder="1" applyAlignment="1">
      <alignment wrapText="1"/>
    </xf>
    <xf numFmtId="170" fontId="34" fillId="0" borderId="2" xfId="7" applyNumberFormat="1" applyFont="1" applyBorder="1" applyAlignment="1">
      <alignment vertical="center"/>
    </xf>
    <xf numFmtId="167" fontId="34" fillId="0" borderId="2" xfId="6" applyNumberFormat="1" applyFont="1" applyBorder="1"/>
    <xf numFmtId="173" fontId="34" fillId="0" borderId="2" xfId="6" applyNumberFormat="1" applyFont="1" applyBorder="1"/>
    <xf numFmtId="167" fontId="34" fillId="0" borderId="2" xfId="6" applyNumberFormat="1" applyFont="1" applyBorder="1" applyAlignment="1">
      <alignment vertical="center"/>
    </xf>
    <xf numFmtId="170" fontId="34" fillId="0" borderId="2" xfId="7" applyNumberFormat="1" applyFont="1" applyBorder="1"/>
    <xf numFmtId="170" fontId="34" fillId="0" borderId="2" xfId="7" applyNumberFormat="1" applyFont="1" applyBorder="1" applyAlignment="1">
      <alignment vertical="center" wrapText="1"/>
    </xf>
    <xf numFmtId="170" fontId="34" fillId="0" borderId="18" xfId="7" applyNumberFormat="1" applyFont="1" applyBorder="1" applyAlignment="1">
      <alignment vertical="center" wrapText="1"/>
    </xf>
    <xf numFmtId="167" fontId="34" fillId="0" borderId="2" xfId="6" applyNumberFormat="1" applyFont="1" applyBorder="1" applyAlignment="1">
      <alignment vertical="center" wrapText="1"/>
    </xf>
    <xf numFmtId="167" fontId="0" fillId="0" borderId="2" xfId="6" applyNumberFormat="1" applyFont="1" applyBorder="1" applyAlignment="1">
      <alignment horizontal="left" vertical="center" wrapText="1"/>
    </xf>
    <xf numFmtId="170" fontId="0" fillId="0" borderId="2" xfId="7" applyNumberFormat="1" applyFont="1" applyBorder="1" applyAlignment="1">
      <alignment horizontal="center" vertical="center" wrapText="1"/>
    </xf>
    <xf numFmtId="170" fontId="0" fillId="0" borderId="18" xfId="7" applyNumberFormat="1" applyFont="1" applyBorder="1" applyAlignment="1">
      <alignment horizontal="center" vertical="center" wrapText="1"/>
    </xf>
    <xf numFmtId="170" fontId="0" fillId="0" borderId="18" xfId="7" applyNumberFormat="1" applyFont="1" applyBorder="1" applyAlignment="1">
      <alignment wrapText="1"/>
    </xf>
    <xf numFmtId="0" fontId="21" fillId="5" borderId="1" xfId="0" applyFont="1" applyFill="1" applyBorder="1" applyAlignment="1">
      <alignment horizontal="justify" vertical="center" wrapText="1"/>
    </xf>
    <xf numFmtId="0" fontId="2" fillId="23" borderId="1" xfId="0" applyFont="1" applyFill="1" applyBorder="1" applyAlignment="1">
      <alignment horizontal="justify" vertical="center" wrapText="1"/>
    </xf>
    <xf numFmtId="0" fontId="2" fillId="15" borderId="2" xfId="0" applyFont="1" applyFill="1" applyBorder="1" applyAlignment="1">
      <alignment vertical="center" wrapText="1"/>
    </xf>
    <xf numFmtId="170" fontId="18" fillId="13" borderId="2" xfId="7" applyNumberFormat="1" applyFont="1" applyFill="1" applyBorder="1" applyAlignment="1">
      <alignment horizontal="center" vertical="center" wrapText="1"/>
    </xf>
    <xf numFmtId="170" fontId="18" fillId="13" borderId="18" xfId="7" applyNumberFormat="1" applyFont="1" applyFill="1" applyBorder="1" applyAlignment="1">
      <alignment horizontal="center" vertical="center" wrapText="1"/>
    </xf>
    <xf numFmtId="0" fontId="2" fillId="15" borderId="2" xfId="2" applyFont="1" applyFill="1" applyBorder="1" applyAlignment="1">
      <alignment horizontal="justify" vertical="center" wrapText="1"/>
    </xf>
    <xf numFmtId="170" fontId="0" fillId="4" borderId="2" xfId="7" applyNumberFormat="1" applyFont="1" applyFill="1" applyBorder="1"/>
    <xf numFmtId="0" fontId="2" fillId="18" borderId="2" xfId="2" applyFont="1" applyFill="1" applyBorder="1" applyAlignment="1">
      <alignment horizontal="justify" vertical="center" wrapText="1"/>
    </xf>
    <xf numFmtId="167" fontId="0" fillId="0" borderId="2" xfId="6" applyNumberFormat="1" applyFont="1" applyBorder="1" applyAlignment="1">
      <alignment vertical="center" wrapText="1"/>
    </xf>
    <xf numFmtId="170" fontId="0" fillId="0" borderId="2" xfId="7" applyNumberFormat="1" applyFont="1" applyFill="1" applyBorder="1" applyAlignment="1">
      <alignment vertical="center" wrapText="1"/>
    </xf>
    <xf numFmtId="0" fontId="2" fillId="27" borderId="19" xfId="0" applyFont="1" applyFill="1" applyBorder="1" applyAlignment="1">
      <alignment horizontal="justify" vertical="center" wrapText="1"/>
    </xf>
    <xf numFmtId="0" fontId="2" fillId="27" borderId="20" xfId="0" applyFont="1" applyFill="1" applyBorder="1" applyAlignment="1">
      <alignment horizontal="justify" vertical="center" wrapText="1"/>
    </xf>
    <xf numFmtId="0" fontId="2" fillId="18" borderId="20" xfId="0" applyFont="1" applyFill="1" applyBorder="1" applyAlignment="1">
      <alignment horizontal="center" vertical="center"/>
    </xf>
    <xf numFmtId="167" fontId="0" fillId="0" borderId="20" xfId="6" applyNumberFormat="1" applyFont="1" applyBorder="1"/>
    <xf numFmtId="173" fontId="0" fillId="0" borderId="20" xfId="6" applyNumberFormat="1" applyFont="1" applyBorder="1"/>
    <xf numFmtId="170" fontId="0" fillId="0" borderId="20" xfId="7" applyNumberFormat="1" applyFont="1" applyBorder="1" applyAlignment="1">
      <alignment vertical="center" wrapText="1"/>
    </xf>
    <xf numFmtId="170" fontId="0" fillId="0" borderId="21" xfId="7" applyNumberFormat="1" applyFont="1" applyBorder="1" applyAlignment="1">
      <alignment vertical="center" wrapText="1"/>
    </xf>
    <xf numFmtId="170" fontId="17" fillId="25" borderId="37" xfId="7" applyNumberFormat="1" applyFont="1" applyFill="1" applyBorder="1" applyAlignment="1">
      <alignment horizontal="center" vertical="center"/>
    </xf>
    <xf numFmtId="170" fontId="17" fillId="25" borderId="38" xfId="7" applyNumberFormat="1" applyFont="1" applyFill="1" applyBorder="1" applyAlignment="1">
      <alignment horizontal="center" vertical="center"/>
    </xf>
    <xf numFmtId="170" fontId="17" fillId="33" borderId="37" xfId="7" applyNumberFormat="1" applyFont="1" applyFill="1" applyBorder="1" applyAlignment="1">
      <alignment horizontal="center" vertical="center"/>
    </xf>
    <xf numFmtId="170" fontId="17" fillId="0" borderId="0" xfId="7" applyNumberFormat="1" applyFont="1"/>
    <xf numFmtId="167" fontId="17" fillId="0" borderId="0" xfId="6" applyNumberFormat="1" applyFont="1"/>
    <xf numFmtId="167" fontId="17" fillId="0" borderId="0" xfId="0" applyNumberFormat="1" applyFont="1"/>
    <xf numFmtId="167" fontId="0" fillId="13" borderId="2" xfId="6" applyNumberFormat="1" applyFont="1" applyFill="1" applyBorder="1" applyAlignment="1">
      <alignment horizontal="left"/>
    </xf>
    <xf numFmtId="0" fontId="20" fillId="14" borderId="80" xfId="0" applyFont="1" applyFill="1" applyBorder="1" applyAlignment="1">
      <alignment horizontal="center"/>
    </xf>
    <xf numFmtId="0" fontId="20" fillId="14" borderId="13" xfId="0" applyFont="1" applyFill="1" applyBorder="1" applyAlignment="1">
      <alignment horizontal="center"/>
    </xf>
    <xf numFmtId="0" fontId="0" fillId="0" borderId="0" xfId="0" applyAlignment="1">
      <alignment horizontal="center"/>
    </xf>
    <xf numFmtId="0" fontId="20" fillId="14" borderId="13" xfId="0" applyFont="1" applyFill="1" applyBorder="1" applyAlignment="1">
      <alignment horizontal="center" vertical="center" wrapText="1"/>
    </xf>
    <xf numFmtId="166" fontId="20" fillId="4" borderId="12" xfId="0" applyNumberFormat="1" applyFont="1" applyFill="1" applyBorder="1" applyAlignment="1">
      <alignment horizontal="center" vertical="center" wrapText="1"/>
    </xf>
    <xf numFmtId="166" fontId="20" fillId="4" borderId="38" xfId="0" applyNumberFormat="1" applyFont="1" applyFill="1" applyBorder="1" applyAlignment="1">
      <alignment horizontal="center" vertical="center" wrapText="1"/>
    </xf>
    <xf numFmtId="0" fontId="0" fillId="16" borderId="2" xfId="0" applyFill="1" applyBorder="1"/>
    <xf numFmtId="0" fontId="3" fillId="16" borderId="2" xfId="0" applyFont="1" applyFill="1" applyBorder="1"/>
    <xf numFmtId="166" fontId="0" fillId="0" borderId="0" xfId="0" applyNumberFormat="1" applyBorder="1" applyAlignment="1">
      <alignment horizontal="center" vertical="center"/>
    </xf>
    <xf numFmtId="0" fontId="0" fillId="0" borderId="0" xfId="0" applyBorder="1" applyAlignment="1">
      <alignment wrapText="1"/>
    </xf>
    <xf numFmtId="164" fontId="0" fillId="0" borderId="0" xfId="0" applyNumberFormat="1" applyBorder="1" applyAlignment="1">
      <alignment wrapText="1"/>
    </xf>
    <xf numFmtId="0" fontId="3" fillId="3" borderId="102" xfId="0" applyFont="1" applyFill="1" applyBorder="1" applyAlignment="1">
      <alignment horizontal="left" vertical="center" wrapText="1"/>
    </xf>
    <xf numFmtId="0" fontId="3" fillId="3" borderId="103" xfId="0" applyFont="1" applyFill="1" applyBorder="1" applyAlignment="1">
      <alignment horizontal="center" vertical="center"/>
    </xf>
    <xf numFmtId="166" fontId="3" fillId="0" borderId="8" xfId="0" applyNumberFormat="1" applyFont="1" applyBorder="1" applyAlignment="1">
      <alignment horizontal="right"/>
    </xf>
    <xf numFmtId="0" fontId="2" fillId="3" borderId="1" xfId="0" applyFont="1" applyFill="1" applyBorder="1" applyAlignment="1">
      <alignment horizontal="justify" vertical="center" wrapText="1"/>
    </xf>
    <xf numFmtId="166" fontId="3" fillId="0" borderId="8" xfId="0" applyNumberFormat="1" applyFont="1" applyFill="1" applyBorder="1" applyAlignment="1">
      <alignment horizontal="center" vertical="center"/>
    </xf>
    <xf numFmtId="166" fontId="2" fillId="15" borderId="11" xfId="0" applyNumberFormat="1" applyFont="1" applyFill="1" applyBorder="1" applyAlignment="1">
      <alignment horizontal="center" vertical="center" wrapText="1"/>
    </xf>
    <xf numFmtId="166" fontId="2" fillId="16" borderId="104" xfId="0" applyNumberFormat="1" applyFont="1" applyFill="1" applyBorder="1" applyAlignment="1">
      <alignment horizontal="center" vertical="center" wrapText="1"/>
    </xf>
    <xf numFmtId="166" fontId="3" fillId="0" borderId="72" xfId="0" applyNumberFormat="1" applyFont="1" applyFill="1" applyBorder="1" applyAlignment="1">
      <alignment horizontal="center" vertical="center"/>
    </xf>
    <xf numFmtId="166" fontId="20" fillId="14" borderId="51" xfId="0" applyNumberFormat="1" applyFont="1" applyFill="1" applyBorder="1" applyAlignment="1">
      <alignment horizontal="center" vertical="center" wrapText="1"/>
    </xf>
    <xf numFmtId="166" fontId="2" fillId="16" borderId="71" xfId="0" applyNumberFormat="1" applyFont="1" applyFill="1" applyBorder="1" applyAlignment="1">
      <alignment horizontal="center" vertical="center" wrapText="1"/>
    </xf>
    <xf numFmtId="166" fontId="3" fillId="0" borderId="72" xfId="0" applyNumberFormat="1" applyFont="1" applyBorder="1" applyAlignment="1">
      <alignment horizontal="center" vertical="center"/>
    </xf>
    <xf numFmtId="166" fontId="2" fillId="16" borderId="72" xfId="0" applyNumberFormat="1" applyFont="1" applyFill="1" applyBorder="1" applyAlignment="1">
      <alignment horizontal="center" vertical="center" wrapText="1"/>
    </xf>
    <xf numFmtId="166" fontId="2" fillId="0" borderId="104" xfId="0" applyNumberFormat="1" applyFont="1" applyFill="1" applyBorder="1" applyAlignment="1">
      <alignment horizontal="center" vertical="center" wrapText="1"/>
    </xf>
    <xf numFmtId="166" fontId="24" fillId="16"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166" fontId="2" fillId="3" borderId="18" xfId="0" applyNumberFormat="1" applyFont="1" applyFill="1" applyBorder="1" applyAlignment="1">
      <alignment horizontal="right" vertical="center" wrapText="1"/>
    </xf>
    <xf numFmtId="41" fontId="3" fillId="0" borderId="8" xfId="3" applyFont="1" applyBorder="1" applyAlignment="1">
      <alignment horizontal="center" vertical="center"/>
    </xf>
    <xf numFmtId="0" fontId="2" fillId="15" borderId="77" xfId="0" applyFont="1" applyFill="1" applyBorder="1" applyAlignment="1">
      <alignment horizontal="center" vertical="center" wrapText="1"/>
    </xf>
    <xf numFmtId="0" fontId="2" fillId="16" borderId="3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14" borderId="41" xfId="0" applyFont="1" applyFill="1" applyBorder="1" applyAlignment="1">
      <alignment horizontal="justify" vertical="center" wrapText="1"/>
    </xf>
    <xf numFmtId="0" fontId="2" fillId="15" borderId="41" xfId="0" applyFont="1" applyFill="1" applyBorder="1" applyAlignment="1">
      <alignment horizontal="center" vertical="center" wrapText="1"/>
    </xf>
    <xf numFmtId="0" fontId="2" fillId="16" borderId="8" xfId="0" applyFont="1" applyFill="1" applyBorder="1" applyAlignment="1">
      <alignment horizontal="center" vertical="center"/>
    </xf>
    <xf numFmtId="0" fontId="3" fillId="5" borderId="77"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2" fillId="33" borderId="52" xfId="0" applyFont="1" applyFill="1" applyBorder="1" applyAlignment="1">
      <alignment horizontal="center" vertical="center" wrapText="1"/>
    </xf>
    <xf numFmtId="41" fontId="3" fillId="0" borderId="8" xfId="3" applyFont="1" applyFill="1" applyBorder="1" applyAlignment="1">
      <alignment horizontal="center" vertical="center"/>
    </xf>
    <xf numFmtId="0" fontId="3" fillId="0" borderId="8" xfId="6" applyNumberFormat="1" applyFont="1" applyFill="1" applyBorder="1" applyAlignment="1">
      <alignment horizontal="center" vertical="center"/>
    </xf>
    <xf numFmtId="41" fontId="3" fillId="0" borderId="8" xfId="0" applyNumberFormat="1" applyFont="1" applyFill="1" applyBorder="1" applyAlignment="1">
      <alignment horizontal="center" vertical="center"/>
    </xf>
    <xf numFmtId="41" fontId="3" fillId="0" borderId="3" xfId="3" applyFont="1" applyFill="1" applyBorder="1" applyAlignment="1">
      <alignment horizontal="center" vertical="center"/>
    </xf>
    <xf numFmtId="0" fontId="2" fillId="12" borderId="1" xfId="0" applyFont="1" applyFill="1" applyBorder="1" applyAlignment="1">
      <alignment horizontal="justify" vertical="center" wrapText="1"/>
    </xf>
    <xf numFmtId="0" fontId="24" fillId="16" borderId="22" xfId="0" applyFont="1" applyFill="1" applyBorder="1" applyAlignment="1">
      <alignment horizontal="justify" vertical="center" wrapText="1"/>
    </xf>
    <xf numFmtId="0" fontId="24" fillId="16" borderId="0" xfId="0" applyFont="1" applyFill="1" applyBorder="1" applyAlignment="1">
      <alignment horizontal="justify" vertical="center" wrapText="1"/>
    </xf>
    <xf numFmtId="0" fontId="3" fillId="0" borderId="105" xfId="0" applyFont="1" applyBorder="1" applyAlignment="1">
      <alignment horizontal="center" vertical="center" wrapText="1"/>
    </xf>
    <xf numFmtId="0" fontId="24" fillId="16" borderId="2" xfId="0" applyFont="1" applyFill="1" applyBorder="1" applyAlignment="1">
      <alignment horizontal="justify" vertical="center" wrapText="1"/>
    </xf>
    <xf numFmtId="0" fontId="2" fillId="12" borderId="101" xfId="0" applyFont="1" applyFill="1" applyBorder="1" applyAlignment="1">
      <alignment horizontal="justify" vertical="center" wrapText="1"/>
    </xf>
    <xf numFmtId="0" fontId="24" fillId="16" borderId="2" xfId="0" applyFont="1" applyFill="1" applyBorder="1" applyAlignment="1">
      <alignment horizontal="center" vertical="center" wrapText="1"/>
    </xf>
    <xf numFmtId="0" fontId="2" fillId="12" borderId="2" xfId="0" applyFont="1" applyFill="1" applyBorder="1" applyAlignment="1">
      <alignment horizontal="justify" vertical="center" wrapText="1"/>
    </xf>
    <xf numFmtId="0" fontId="2" fillId="12" borderId="2" xfId="0" applyFont="1" applyFill="1" applyBorder="1" applyAlignment="1">
      <alignment horizontal="center" vertical="center" wrapText="1"/>
    </xf>
    <xf numFmtId="0" fontId="24" fillId="16" borderId="5" xfId="0" applyFont="1" applyFill="1" applyBorder="1" applyAlignment="1">
      <alignment horizontal="justify" vertical="center" wrapText="1"/>
    </xf>
    <xf numFmtId="0" fontId="24" fillId="16" borderId="5" xfId="0" applyFont="1" applyFill="1" applyBorder="1" applyAlignment="1">
      <alignment horizontal="center" vertical="center" wrapText="1"/>
    </xf>
    <xf numFmtId="166" fontId="24" fillId="16" borderId="74" xfId="0" applyNumberFormat="1" applyFont="1" applyFill="1" applyBorder="1" applyAlignment="1">
      <alignment horizontal="center" vertical="center" wrapText="1"/>
    </xf>
    <xf numFmtId="166" fontId="2" fillId="3" borderId="8" xfId="0" applyNumberFormat="1" applyFont="1" applyFill="1" applyBorder="1" applyAlignment="1">
      <alignment horizontal="right" vertical="center" wrapText="1"/>
    </xf>
    <xf numFmtId="44" fontId="2" fillId="12" borderId="8" xfId="7" applyFont="1" applyFill="1" applyBorder="1" applyAlignment="1">
      <alignment horizontal="right" vertical="center" wrapText="1"/>
    </xf>
    <xf numFmtId="44" fontId="2" fillId="12" borderId="72" xfId="7" applyFont="1" applyFill="1" applyBorder="1" applyAlignment="1">
      <alignment horizontal="right" vertical="center" wrapText="1"/>
    </xf>
    <xf numFmtId="0" fontId="24" fillId="5" borderId="46" xfId="0" applyFont="1" applyFill="1" applyBorder="1" applyAlignment="1">
      <alignment horizontal="justify" vertical="center" wrapText="1"/>
    </xf>
    <xf numFmtId="0" fontId="3" fillId="5" borderId="53" xfId="0" applyFont="1" applyFill="1" applyBorder="1" applyAlignment="1">
      <alignment horizontal="center" vertical="center"/>
    </xf>
    <xf numFmtId="0" fontId="24" fillId="5" borderId="53" xfId="0" applyFont="1" applyFill="1" applyBorder="1" applyAlignment="1">
      <alignment horizontal="center" vertical="center" wrapText="1"/>
    </xf>
    <xf numFmtId="166" fontId="24" fillId="5" borderId="53" xfId="0" applyNumberFormat="1" applyFont="1" applyFill="1" applyBorder="1" applyAlignment="1">
      <alignment horizontal="center" vertical="center" wrapText="1"/>
    </xf>
    <xf numFmtId="166" fontId="24" fillId="5" borderId="96" xfId="0" applyNumberFormat="1" applyFont="1" applyFill="1" applyBorder="1" applyAlignment="1">
      <alignment horizontal="center" vertical="center" wrapText="1"/>
    </xf>
    <xf numFmtId="166" fontId="24" fillId="5" borderId="50" xfId="0" applyNumberFormat="1" applyFont="1" applyFill="1" applyBorder="1" applyAlignment="1">
      <alignment horizontal="center" vertical="center" wrapText="1"/>
    </xf>
    <xf numFmtId="0" fontId="2" fillId="33" borderId="2" xfId="0" applyFont="1" applyFill="1" applyBorder="1" applyAlignment="1">
      <alignment horizontal="justify" vertical="center" wrapText="1"/>
    </xf>
    <xf numFmtId="0" fontId="3" fillId="33" borderId="2" xfId="0" applyFont="1" applyFill="1" applyBorder="1" applyAlignment="1">
      <alignment horizontal="center" vertical="center"/>
    </xf>
    <xf numFmtId="0" fontId="3" fillId="33" borderId="2" xfId="0" applyFont="1" applyFill="1" applyBorder="1" applyAlignment="1">
      <alignment horizontal="center" vertical="center" wrapText="1"/>
    </xf>
    <xf numFmtId="166" fontId="24" fillId="33" borderId="2" xfId="0" applyNumberFormat="1" applyFont="1" applyFill="1" applyBorder="1" applyAlignment="1">
      <alignment horizontal="center" vertical="center" wrapText="1"/>
    </xf>
    <xf numFmtId="166" fontId="24" fillId="16" borderId="8" xfId="0" applyNumberFormat="1" applyFont="1" applyFill="1" applyBorder="1" applyAlignment="1">
      <alignment horizontal="center" vertical="center" wrapText="1"/>
    </xf>
    <xf numFmtId="166" fontId="3" fillId="33" borderId="8" xfId="0" applyNumberFormat="1" applyFont="1" applyFill="1" applyBorder="1" applyAlignment="1">
      <alignment horizontal="center" vertical="center" wrapText="1"/>
    </xf>
    <xf numFmtId="166" fontId="24" fillId="16" borderId="72" xfId="0" applyNumberFormat="1" applyFont="1" applyFill="1" applyBorder="1" applyAlignment="1">
      <alignment horizontal="center" vertical="center" wrapText="1"/>
    </xf>
    <xf numFmtId="166" fontId="3" fillId="33" borderId="72" xfId="0" applyNumberFormat="1" applyFont="1" applyFill="1" applyBorder="1" applyAlignment="1">
      <alignment horizontal="center" vertical="center"/>
    </xf>
    <xf numFmtId="164" fontId="17" fillId="14" borderId="38" xfId="1" applyFont="1" applyFill="1" applyBorder="1" applyAlignment="1">
      <alignment vertical="center"/>
    </xf>
    <xf numFmtId="0" fontId="4" fillId="14" borderId="39" xfId="0" applyFont="1" applyFill="1" applyBorder="1" applyAlignment="1">
      <alignment horizontal="center" vertical="center" wrapText="1"/>
    </xf>
    <xf numFmtId="164" fontId="2" fillId="16" borderId="8" xfId="1" applyFont="1" applyFill="1" applyBorder="1" applyAlignment="1">
      <alignment horizontal="right" vertical="center" wrapText="1"/>
    </xf>
    <xf numFmtId="41" fontId="3" fillId="0" borderId="75" xfId="0" applyNumberFormat="1" applyFont="1" applyFill="1" applyBorder="1" applyAlignment="1">
      <alignment horizontal="center" vertical="center"/>
    </xf>
    <xf numFmtId="41" fontId="2" fillId="0" borderId="8" xfId="0" applyNumberFormat="1" applyFont="1" applyFill="1" applyBorder="1" applyAlignment="1">
      <alignment horizontal="center" vertical="center"/>
    </xf>
    <xf numFmtId="164" fontId="2" fillId="16" borderId="8" xfId="0" applyNumberFormat="1" applyFont="1" applyFill="1" applyBorder="1" applyAlignment="1">
      <alignment horizontal="center" vertical="center"/>
    </xf>
    <xf numFmtId="164" fontId="3" fillId="16" borderId="10" xfId="1" applyFont="1" applyFill="1" applyBorder="1" applyAlignment="1">
      <alignment horizontal="right" vertical="center" wrapText="1"/>
    </xf>
    <xf numFmtId="164" fontId="4" fillId="14" borderId="13" xfId="1" applyFont="1" applyFill="1" applyBorder="1" applyAlignment="1">
      <alignment vertical="center"/>
    </xf>
    <xf numFmtId="164" fontId="2" fillId="15" borderId="11" xfId="1" applyFont="1" applyFill="1" applyBorder="1" applyAlignment="1">
      <alignment horizontal="right" vertical="center" wrapText="1"/>
    </xf>
    <xf numFmtId="164" fontId="2" fillId="16" borderId="104" xfId="1" applyFont="1" applyFill="1" applyBorder="1" applyAlignment="1">
      <alignment horizontal="right" vertical="center" wrapText="1"/>
    </xf>
    <xf numFmtId="41" fontId="3" fillId="0" borderId="72" xfId="3" applyFont="1" applyBorder="1" applyAlignment="1">
      <alignment horizontal="right" vertical="center"/>
    </xf>
    <xf numFmtId="164" fontId="3" fillId="0" borderId="72" xfId="1" applyFont="1" applyBorder="1" applyAlignment="1">
      <alignment horizontal="right" vertical="center"/>
    </xf>
    <xf numFmtId="164" fontId="2" fillId="16" borderId="72" xfId="1" applyFont="1" applyFill="1" applyBorder="1" applyAlignment="1">
      <alignment horizontal="right" vertical="center" wrapText="1"/>
    </xf>
    <xf numFmtId="164" fontId="3" fillId="0" borderId="72" xfId="1" applyFont="1" applyFill="1" applyBorder="1" applyAlignment="1">
      <alignment horizontal="right" vertical="center"/>
    </xf>
    <xf numFmtId="164" fontId="3" fillId="0" borderId="81" xfId="1" applyFont="1" applyFill="1" applyBorder="1" applyAlignment="1">
      <alignment horizontal="right" vertical="center"/>
    </xf>
    <xf numFmtId="164" fontId="2" fillId="16" borderId="72" xfId="0" applyNumberFormat="1" applyFont="1" applyFill="1" applyBorder="1" applyAlignment="1">
      <alignment horizontal="center" vertical="center"/>
    </xf>
    <xf numFmtId="164" fontId="3" fillId="5" borderId="11" xfId="1" applyFont="1" applyFill="1" applyBorder="1" applyAlignment="1">
      <alignment horizontal="right" vertical="center" wrapText="1"/>
    </xf>
    <xf numFmtId="164" fontId="3" fillId="16" borderId="76" xfId="1" applyFont="1" applyFill="1" applyBorder="1" applyAlignment="1">
      <alignment horizontal="right" vertical="center" wrapText="1"/>
    </xf>
    <xf numFmtId="164" fontId="2" fillId="0" borderId="72" xfId="1" applyFont="1" applyFill="1" applyBorder="1" applyAlignment="1">
      <alignment horizontal="right" vertical="center" wrapText="1"/>
    </xf>
    <xf numFmtId="164" fontId="2" fillId="33" borderId="73" xfId="1" applyFont="1" applyFill="1" applyBorder="1" applyAlignment="1">
      <alignment horizontal="right" vertical="center" wrapText="1"/>
    </xf>
    <xf numFmtId="164" fontId="4" fillId="14" borderId="11" xfId="1" applyFont="1" applyFill="1" applyBorder="1" applyAlignment="1">
      <alignment vertical="center"/>
    </xf>
    <xf numFmtId="170" fontId="4" fillId="14" borderId="11" xfId="7" applyNumberFormat="1" applyFont="1" applyFill="1" applyBorder="1" applyAlignment="1">
      <alignment vertical="center" wrapText="1"/>
    </xf>
    <xf numFmtId="0" fontId="2" fillId="16" borderId="29" xfId="0" applyFont="1" applyFill="1" applyBorder="1" applyAlignment="1">
      <alignment horizontal="justify" vertical="center" wrapText="1"/>
    </xf>
    <xf numFmtId="0" fontId="2" fillId="16" borderId="2" xfId="0" applyFont="1" applyFill="1" applyBorder="1"/>
    <xf numFmtId="42" fontId="20" fillId="4" borderId="38" xfId="8" applyFont="1" applyFill="1" applyBorder="1" applyAlignment="1">
      <alignment horizontal="right"/>
    </xf>
    <xf numFmtId="42" fontId="2" fillId="15" borderId="77" xfId="8" applyFont="1" applyFill="1" applyBorder="1" applyAlignment="1">
      <alignment horizontal="right" vertical="center" wrapText="1"/>
    </xf>
    <xf numFmtId="42" fontId="2" fillId="16" borderId="39" xfId="8" applyFont="1" applyFill="1" applyBorder="1" applyAlignment="1">
      <alignment horizontal="right" vertical="center" wrapText="1"/>
    </xf>
    <xf numFmtId="42" fontId="2" fillId="0" borderId="8" xfId="8" applyFont="1" applyFill="1" applyBorder="1" applyAlignment="1">
      <alignment horizontal="right" vertical="center" wrapText="1"/>
    </xf>
    <xf numFmtId="42" fontId="2" fillId="16" borderId="8" xfId="8" applyFont="1" applyFill="1" applyBorder="1" applyAlignment="1">
      <alignment horizontal="right" vertical="center" wrapText="1"/>
    </xf>
    <xf numFmtId="42" fontId="2" fillId="0" borderId="75" xfId="8" applyFont="1" applyFill="1" applyBorder="1" applyAlignment="1">
      <alignment horizontal="right" vertical="center" wrapText="1"/>
    </xf>
    <xf numFmtId="42" fontId="2" fillId="5" borderId="77" xfId="8" applyFont="1" applyFill="1" applyBorder="1" applyAlignment="1">
      <alignment horizontal="right" vertical="center" wrapText="1"/>
    </xf>
    <xf numFmtId="42" fontId="2" fillId="16" borderId="74" xfId="8" applyFont="1" applyFill="1" applyBorder="1" applyAlignment="1">
      <alignment horizontal="right" vertical="center" wrapText="1"/>
    </xf>
    <xf numFmtId="42" fontId="20" fillId="14" borderId="41" xfId="8" applyFont="1" applyFill="1" applyBorder="1" applyAlignment="1">
      <alignment horizontal="right"/>
    </xf>
    <xf numFmtId="42" fontId="2" fillId="15" borderId="11" xfId="8" applyFont="1" applyFill="1" applyBorder="1" applyAlignment="1">
      <alignment horizontal="right" vertical="center" wrapText="1"/>
    </xf>
    <xf numFmtId="42" fontId="2" fillId="16" borderId="71" xfId="8" applyFont="1" applyFill="1" applyBorder="1" applyAlignment="1">
      <alignment horizontal="right" vertical="center" wrapText="1"/>
    </xf>
    <xf numFmtId="42" fontId="2" fillId="0" borderId="72" xfId="8" applyFont="1" applyFill="1" applyBorder="1" applyAlignment="1">
      <alignment horizontal="right" vertical="center" wrapText="1"/>
    </xf>
    <xf numFmtId="42" fontId="2" fillId="16" borderId="72" xfId="8" applyFont="1" applyFill="1" applyBorder="1" applyAlignment="1">
      <alignment horizontal="right" vertical="center" wrapText="1"/>
    </xf>
    <xf numFmtId="42" fontId="2" fillId="0" borderId="81" xfId="8" applyFont="1" applyFill="1" applyBorder="1" applyAlignment="1">
      <alignment horizontal="right" vertical="center" wrapText="1"/>
    </xf>
    <xf numFmtId="42" fontId="2" fillId="5" borderId="11" xfId="8" applyFont="1" applyFill="1" applyBorder="1" applyAlignment="1">
      <alignment horizontal="right" vertical="center" wrapText="1"/>
    </xf>
    <xf numFmtId="42" fontId="2" fillId="16" borderId="104" xfId="8" applyFont="1" applyFill="1" applyBorder="1" applyAlignment="1">
      <alignment horizontal="right" vertical="center" wrapText="1"/>
    </xf>
    <xf numFmtId="42" fontId="2" fillId="33" borderId="73" xfId="8" applyFont="1" applyFill="1" applyBorder="1" applyAlignment="1">
      <alignment horizontal="right" vertical="center" wrapText="1"/>
    </xf>
    <xf numFmtId="42" fontId="20" fillId="14" borderId="51" xfId="8" applyFont="1" applyFill="1" applyBorder="1" applyAlignment="1">
      <alignment horizontal="right"/>
    </xf>
    <xf numFmtId="42" fontId="17" fillId="14" borderId="77" xfId="0" applyNumberFormat="1" applyFont="1" applyFill="1" applyBorder="1" applyAlignment="1">
      <alignment horizontal="center" vertical="center"/>
    </xf>
    <xf numFmtId="42" fontId="2" fillId="15" borderId="11" xfId="8" applyFont="1" applyFill="1" applyBorder="1" applyAlignment="1">
      <alignment horizontal="right" vertical="center"/>
    </xf>
    <xf numFmtId="42" fontId="17" fillId="14" borderId="11" xfId="8" applyFont="1" applyFill="1" applyBorder="1" applyAlignment="1">
      <alignment horizontal="right"/>
    </xf>
    <xf numFmtId="44" fontId="23" fillId="0" borderId="75" xfId="7" applyFont="1" applyFill="1" applyBorder="1" applyAlignment="1">
      <alignment horizontal="center" vertical="center" wrapText="1"/>
    </xf>
    <xf numFmtId="44" fontId="23" fillId="0" borderId="81" xfId="7" applyFont="1" applyBorder="1" applyAlignment="1">
      <alignment horizontal="right"/>
    </xf>
    <xf numFmtId="44" fontId="24" fillId="18" borderId="77" xfId="7" applyFont="1" applyFill="1" applyBorder="1" applyAlignment="1">
      <alignment horizontal="center" vertical="center" wrapText="1"/>
    </xf>
    <xf numFmtId="44" fontId="24" fillId="18" borderId="11" xfId="7" applyFont="1" applyFill="1" applyBorder="1" applyAlignment="1">
      <alignment horizontal="right" vertical="center" wrapText="1"/>
    </xf>
    <xf numFmtId="44" fontId="24" fillId="16" borderId="74" xfId="7" applyFont="1" applyFill="1" applyBorder="1" applyAlignment="1">
      <alignment horizontal="center" vertical="center" wrapText="1"/>
    </xf>
    <xf numFmtId="44" fontId="24" fillId="16" borderId="104" xfId="7" applyFont="1" applyFill="1" applyBorder="1" applyAlignment="1">
      <alignment horizontal="center" vertical="center" wrapText="1"/>
    </xf>
    <xf numFmtId="44" fontId="23" fillId="0" borderId="8" xfId="7" applyFont="1" applyFill="1" applyBorder="1" applyAlignment="1">
      <alignment horizontal="center" vertical="center" wrapText="1"/>
    </xf>
    <xf numFmtId="44" fontId="23" fillId="0" borderId="8" xfId="7" applyFont="1" applyFill="1" applyBorder="1" applyAlignment="1">
      <alignment horizontal="right"/>
    </xf>
    <xf numFmtId="44" fontId="23" fillId="0" borderId="72" xfId="7" applyFont="1" applyFill="1" applyBorder="1" applyAlignment="1">
      <alignment horizontal="right"/>
    </xf>
    <xf numFmtId="44" fontId="24" fillId="16" borderId="8" xfId="7" applyFont="1" applyFill="1" applyBorder="1" applyAlignment="1">
      <alignment horizontal="center" vertical="center" wrapText="1"/>
    </xf>
    <xf numFmtId="44" fontId="24" fillId="16" borderId="72" xfId="7" applyFont="1" applyFill="1" applyBorder="1" applyAlignment="1">
      <alignment horizontal="right" vertical="center" wrapText="1"/>
    </xf>
    <xf numFmtId="44" fontId="23" fillId="0" borderId="73" xfId="7" applyFont="1" applyFill="1" applyBorder="1" applyAlignment="1">
      <alignment horizontal="right"/>
    </xf>
    <xf numFmtId="0" fontId="4" fillId="16" borderId="22" xfId="0" applyFont="1" applyFill="1" applyBorder="1" applyAlignment="1">
      <alignment horizontal="justify" vertical="center" wrapText="1"/>
    </xf>
    <xf numFmtId="0" fontId="20" fillId="16" borderId="7"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6" borderId="23" xfId="0" applyFont="1" applyFill="1" applyBorder="1" applyAlignment="1">
      <alignment horizontal="center" vertical="center" wrapText="1"/>
    </xf>
    <xf numFmtId="0" fontId="4" fillId="18" borderId="29" xfId="0" applyFont="1" applyFill="1" applyBorder="1" applyAlignment="1">
      <alignment horizontal="justify" vertical="center" wrapText="1"/>
    </xf>
    <xf numFmtId="0" fontId="17" fillId="14" borderId="36" xfId="0" applyFont="1" applyFill="1" applyBorder="1" applyAlignment="1">
      <alignment horizontal="center" vertical="center"/>
    </xf>
    <xf numFmtId="0" fontId="4" fillId="0" borderId="0" xfId="0" applyFont="1" applyFill="1" applyAlignment="1">
      <alignment horizontal="center"/>
    </xf>
    <xf numFmtId="0" fontId="0" fillId="0" borderId="0" xfId="0" applyAlignment="1">
      <alignment horizontal="center"/>
    </xf>
    <xf numFmtId="166" fontId="2" fillId="16" borderId="5" xfId="8" applyNumberFormat="1" applyFont="1" applyFill="1" applyBorder="1" applyAlignment="1">
      <alignment horizontal="center" vertical="center" wrapText="1"/>
    </xf>
    <xf numFmtId="166" fontId="2" fillId="0" borderId="1" xfId="0" applyNumberFormat="1" applyFont="1" applyFill="1" applyBorder="1" applyAlignment="1">
      <alignment horizontal="justify" vertical="center" wrapText="1"/>
    </xf>
    <xf numFmtId="166" fontId="3" fillId="0" borderId="2" xfId="7" applyNumberFormat="1" applyFont="1" applyFill="1" applyBorder="1" applyAlignment="1">
      <alignment vertical="center"/>
    </xf>
    <xf numFmtId="166" fontId="2" fillId="0" borderId="5" xfId="0" applyNumberFormat="1" applyFont="1" applyFill="1" applyBorder="1" applyAlignment="1">
      <alignment horizontal="center" vertical="center" wrapText="1"/>
    </xf>
    <xf numFmtId="166" fontId="2" fillId="0" borderId="5" xfId="8" applyNumberFormat="1" applyFont="1" applyFill="1" applyBorder="1" applyAlignment="1">
      <alignment horizontal="center" vertical="center" wrapText="1"/>
    </xf>
    <xf numFmtId="166" fontId="2" fillId="0" borderId="2" xfId="8" applyNumberFormat="1" applyFont="1" applyFill="1" applyBorder="1" applyAlignment="1">
      <alignment horizontal="center" vertical="center" wrapText="1"/>
    </xf>
    <xf numFmtId="166" fontId="2" fillId="0" borderId="6" xfId="0" applyNumberFormat="1" applyFont="1" applyFill="1" applyBorder="1" applyAlignment="1">
      <alignment horizontal="left" vertical="center" wrapText="1"/>
    </xf>
    <xf numFmtId="166" fontId="2" fillId="0" borderId="3" xfId="0" applyNumberFormat="1" applyFont="1" applyFill="1" applyBorder="1" applyAlignment="1">
      <alignment horizontal="center" vertical="center" wrapText="1"/>
    </xf>
    <xf numFmtId="166" fontId="2" fillId="0" borderId="1" xfId="0" applyNumberFormat="1" applyFont="1" applyFill="1" applyBorder="1" applyAlignment="1">
      <alignment horizontal="left" vertical="center" wrapText="1"/>
    </xf>
    <xf numFmtId="166" fontId="3" fillId="0" borderId="2" xfId="8" applyNumberFormat="1" applyFont="1" applyFill="1" applyBorder="1" applyAlignment="1">
      <alignment horizontal="center" vertical="center"/>
    </xf>
    <xf numFmtId="166" fontId="3" fillId="0" borderId="2" xfId="0" applyNumberFormat="1" applyFont="1" applyFill="1" applyBorder="1" applyAlignment="1">
      <alignment vertical="center"/>
    </xf>
    <xf numFmtId="166" fontId="3" fillId="0" borderId="2" xfId="2" applyNumberFormat="1" applyFont="1" applyFill="1" applyBorder="1" applyAlignment="1">
      <alignment horizontal="center" vertical="center" wrapText="1"/>
    </xf>
    <xf numFmtId="3" fontId="37" fillId="0" borderId="2" xfId="0" applyNumberFormat="1" applyFont="1" applyFill="1" applyBorder="1" applyAlignment="1">
      <alignment horizontal="center" vertical="center" wrapText="1"/>
    </xf>
    <xf numFmtId="166" fontId="3" fillId="0" borderId="1" xfId="0" applyNumberFormat="1" applyFont="1" applyFill="1" applyBorder="1" applyAlignment="1">
      <alignment horizontal="justify" vertical="center" wrapText="1"/>
    </xf>
    <xf numFmtId="0" fontId="2" fillId="16" borderId="101" xfId="0" applyFont="1" applyFill="1" applyBorder="1" applyAlignment="1">
      <alignment horizontal="left" vertical="center" wrapText="1"/>
    </xf>
    <xf numFmtId="0" fontId="2" fillId="16" borderId="2" xfId="0" applyFont="1" applyFill="1" applyBorder="1" applyAlignment="1">
      <alignment horizontal="left" vertical="center" wrapText="1"/>
    </xf>
    <xf numFmtId="170" fontId="2" fillId="16" borderId="2" xfId="7" applyNumberFormat="1" applyFont="1" applyFill="1" applyBorder="1" applyAlignment="1">
      <alignment horizontal="left" vertical="center" wrapText="1"/>
    </xf>
    <xf numFmtId="0" fontId="2" fillId="33" borderId="101" xfId="0" applyFont="1" applyFill="1" applyBorder="1" applyAlignment="1">
      <alignment horizontal="left" vertical="center" wrapText="1"/>
    </xf>
    <xf numFmtId="0" fontId="4" fillId="14" borderId="80" xfId="0" applyFont="1" applyFill="1" applyBorder="1" applyAlignment="1">
      <alignment horizontal="center" vertical="center"/>
    </xf>
    <xf numFmtId="0" fontId="3" fillId="16" borderId="44" xfId="0" applyFont="1" applyFill="1" applyBorder="1" applyAlignment="1">
      <alignment horizontal="center" vertical="center" wrapText="1"/>
    </xf>
    <xf numFmtId="167" fontId="3" fillId="16" borderId="44" xfId="0" applyNumberFormat="1" applyFont="1" applyFill="1" applyBorder="1" applyAlignment="1">
      <alignment horizontal="right" vertical="center" wrapText="1"/>
    </xf>
    <xf numFmtId="0" fontId="20" fillId="16" borderId="44" xfId="0" applyFont="1" applyFill="1" applyBorder="1" applyAlignment="1">
      <alignment horizontal="justify" vertical="center" wrapText="1"/>
    </xf>
    <xf numFmtId="0" fontId="20" fillId="33" borderId="85" xfId="0" applyFont="1" applyFill="1" applyBorder="1" applyAlignment="1">
      <alignment horizontal="justify" vertical="center" wrapText="1"/>
    </xf>
    <xf numFmtId="0" fontId="3" fillId="18" borderId="77" xfId="0" applyFont="1" applyFill="1" applyBorder="1" applyAlignment="1">
      <alignment horizontal="center" vertical="center" wrapText="1"/>
    </xf>
    <xf numFmtId="0" fontId="0" fillId="0" borderId="0" xfId="0" applyFont="1" applyAlignment="1">
      <alignment horizontal="right"/>
    </xf>
    <xf numFmtId="0" fontId="3" fillId="18" borderId="37" xfId="2" applyFont="1" applyFill="1" applyBorder="1" applyAlignment="1">
      <alignment horizontal="right" vertical="center"/>
    </xf>
    <xf numFmtId="0" fontId="3" fillId="18" borderId="37" xfId="2" applyFont="1" applyFill="1" applyBorder="1" applyAlignment="1">
      <alignment horizontal="center" vertical="center"/>
    </xf>
    <xf numFmtId="167" fontId="3" fillId="18" borderId="77" xfId="6" applyNumberFormat="1" applyFont="1" applyFill="1" applyBorder="1" applyAlignment="1">
      <alignment horizontal="center" vertical="center"/>
    </xf>
    <xf numFmtId="167" fontId="3" fillId="18" borderId="77" xfId="6" applyNumberFormat="1" applyFont="1" applyFill="1" applyBorder="1" applyAlignment="1">
      <alignment horizontal="right" vertical="center"/>
    </xf>
    <xf numFmtId="167" fontId="3" fillId="18" borderId="37" xfId="6" applyNumberFormat="1" applyFont="1" applyFill="1" applyBorder="1" applyAlignment="1">
      <alignment horizontal="right" vertical="center"/>
    </xf>
    <xf numFmtId="167" fontId="3" fillId="18" borderId="50" xfId="6" applyNumberFormat="1" applyFont="1" applyFill="1" applyBorder="1" applyAlignment="1">
      <alignment horizontal="right" vertical="center"/>
    </xf>
    <xf numFmtId="0" fontId="3" fillId="16" borderId="5" xfId="0" applyFont="1" applyFill="1" applyBorder="1" applyAlignment="1">
      <alignment horizontal="right" vertical="center" wrapText="1"/>
    </xf>
    <xf numFmtId="0" fontId="3" fillId="16" borderId="74" xfId="0" applyFont="1" applyFill="1" applyBorder="1" applyAlignment="1">
      <alignment horizontal="center" vertical="center" wrapText="1"/>
    </xf>
    <xf numFmtId="0" fontId="3" fillId="16" borderId="2" xfId="0" applyFont="1" applyFill="1" applyBorder="1" applyAlignment="1">
      <alignment horizontal="right" vertical="center" wrapText="1"/>
    </xf>
    <xf numFmtId="167" fontId="3" fillId="16" borderId="8" xfId="6" applyNumberFormat="1" applyFont="1" applyFill="1" applyBorder="1" applyAlignment="1">
      <alignment horizontal="center" vertical="center" wrapText="1"/>
    </xf>
    <xf numFmtId="167" fontId="3" fillId="16" borderId="8" xfId="6" applyNumberFormat="1" applyFont="1" applyFill="1" applyBorder="1" applyAlignment="1">
      <alignment horizontal="right" vertical="center" wrapText="1"/>
    </xf>
    <xf numFmtId="167" fontId="3" fillId="0" borderId="72" xfId="6" applyNumberFormat="1" applyFont="1" applyBorder="1" applyAlignment="1">
      <alignment horizontal="right"/>
    </xf>
    <xf numFmtId="0" fontId="3" fillId="0" borderId="1" xfId="2" applyFont="1" applyFill="1" applyBorder="1" applyAlignment="1">
      <alignment horizontal="justify" vertical="center"/>
    </xf>
    <xf numFmtId="167" fontId="3" fillId="0" borderId="72" xfId="6" applyNumberFormat="1" applyFont="1" applyFill="1" applyBorder="1" applyAlignment="1">
      <alignment horizontal="right"/>
    </xf>
    <xf numFmtId="167" fontId="3" fillId="16" borderId="2" xfId="6" applyNumberFormat="1" applyFont="1" applyFill="1" applyBorder="1" applyAlignment="1">
      <alignment horizontal="right" vertical="center" wrapText="1"/>
    </xf>
    <xf numFmtId="167" fontId="3" fillId="0" borderId="72" xfId="6" applyNumberFormat="1" applyFont="1" applyFill="1" applyBorder="1" applyAlignment="1">
      <alignment horizontal="justify" vertical="center"/>
    </xf>
    <xf numFmtId="167" fontId="3" fillId="0" borderId="2" xfId="6" applyNumberFormat="1" applyFont="1" applyFill="1" applyBorder="1" applyAlignment="1">
      <alignment horizontal="justify" vertical="center" wrapText="1"/>
    </xf>
    <xf numFmtId="167" fontId="0" fillId="0" borderId="0" xfId="0" applyNumberFormat="1" applyFont="1" applyFill="1"/>
    <xf numFmtId="43" fontId="0" fillId="0" borderId="0" xfId="6" applyFont="1" applyFill="1"/>
    <xf numFmtId="167" fontId="3" fillId="16" borderId="74" xfId="6" applyNumberFormat="1" applyFont="1" applyFill="1" applyBorder="1" applyAlignment="1">
      <alignment horizontal="center" vertical="center" wrapText="1"/>
    </xf>
    <xf numFmtId="167" fontId="3" fillId="16" borderId="74" xfId="6" applyNumberFormat="1" applyFont="1" applyFill="1" applyBorder="1" applyAlignment="1">
      <alignment horizontal="right" vertical="center" wrapText="1"/>
    </xf>
    <xf numFmtId="167" fontId="3" fillId="16" borderId="5" xfId="6" applyNumberFormat="1" applyFont="1" applyFill="1" applyBorder="1" applyAlignment="1">
      <alignment horizontal="right" vertical="center" wrapText="1"/>
    </xf>
    <xf numFmtId="167" fontId="3" fillId="16" borderId="104" xfId="6" applyNumberFormat="1" applyFont="1" applyFill="1" applyBorder="1" applyAlignment="1">
      <alignment horizontal="right" vertical="center" wrapText="1"/>
    </xf>
    <xf numFmtId="167" fontId="3" fillId="0" borderId="72" xfId="6" applyNumberFormat="1" applyFont="1" applyFill="1" applyBorder="1" applyAlignment="1">
      <alignment horizontal="right" vertical="center" wrapText="1"/>
    </xf>
    <xf numFmtId="167" fontId="3" fillId="18" borderId="11" xfId="6" applyNumberFormat="1" applyFont="1" applyFill="1" applyBorder="1" applyAlignment="1">
      <alignment horizontal="right" vertical="center"/>
    </xf>
    <xf numFmtId="43" fontId="0" fillId="0" borderId="0" xfId="0" applyNumberFormat="1" applyFont="1" applyBorder="1"/>
    <xf numFmtId="0" fontId="0" fillId="0" borderId="0" xfId="0" applyFont="1" applyBorder="1"/>
    <xf numFmtId="43" fontId="0" fillId="0" borderId="0" xfId="0" applyNumberFormat="1" applyFont="1"/>
    <xf numFmtId="0" fontId="3" fillId="0" borderId="1" xfId="0" applyFont="1" applyFill="1" applyBorder="1" applyAlignment="1">
      <alignment horizontal="justify" vertical="center"/>
    </xf>
    <xf numFmtId="167" fontId="3" fillId="0" borderId="0" xfId="0" applyNumberFormat="1" applyFont="1" applyFill="1" applyBorder="1"/>
    <xf numFmtId="167" fontId="0" fillId="0" borderId="0" xfId="0" applyNumberFormat="1" applyFont="1" applyFill="1" applyBorder="1"/>
    <xf numFmtId="0" fontId="0" fillId="0" borderId="0" xfId="0" applyFont="1" applyFill="1" applyBorder="1"/>
    <xf numFmtId="43" fontId="3" fillId="0" borderId="0" xfId="0" applyNumberFormat="1" applyFont="1" applyFill="1"/>
    <xf numFmtId="0" fontId="3" fillId="0" borderId="3" xfId="0" applyFont="1" applyFill="1" applyBorder="1" applyAlignment="1">
      <alignment horizontal="center"/>
    </xf>
    <xf numFmtId="167" fontId="0" fillId="0" borderId="0" xfId="0" applyNumberFormat="1" applyFont="1"/>
    <xf numFmtId="167" fontId="3" fillId="16" borderId="5" xfId="6" applyNumberFormat="1" applyFont="1" applyFill="1" applyBorder="1" applyAlignment="1">
      <alignment horizontal="center" vertical="center" wrapText="1"/>
    </xf>
    <xf numFmtId="167" fontId="3" fillId="0" borderId="3" xfId="6" applyNumberFormat="1" applyFont="1" applyBorder="1" applyAlignment="1">
      <alignment horizontal="right" vertical="center"/>
    </xf>
    <xf numFmtId="167" fontId="3" fillId="18" borderId="37" xfId="6" applyNumberFormat="1" applyFont="1" applyFill="1" applyBorder="1" applyAlignment="1">
      <alignment horizontal="center" vertical="center"/>
    </xf>
    <xf numFmtId="167" fontId="3" fillId="18" borderId="11" xfId="6" applyNumberFormat="1" applyFont="1" applyFill="1" applyBorder="1" applyAlignment="1">
      <alignment horizontal="center" vertical="center"/>
    </xf>
    <xf numFmtId="167" fontId="3" fillId="16" borderId="71" xfId="6" applyNumberFormat="1" applyFont="1" applyFill="1" applyBorder="1" applyAlignment="1">
      <alignment horizontal="right" vertical="center" wrapText="1"/>
    </xf>
    <xf numFmtId="167" fontId="3" fillId="16" borderId="2" xfId="6" applyNumberFormat="1" applyFont="1" applyFill="1" applyBorder="1" applyAlignment="1">
      <alignment horizontal="center" vertical="center" wrapText="1"/>
    </xf>
    <xf numFmtId="167" fontId="3" fillId="16" borderId="72" xfId="6" applyNumberFormat="1" applyFont="1" applyFill="1" applyBorder="1" applyAlignment="1">
      <alignment horizontal="center" vertical="center" wrapText="1"/>
    </xf>
    <xf numFmtId="0" fontId="3" fillId="0" borderId="7" xfId="0" applyFont="1" applyFill="1" applyBorder="1"/>
    <xf numFmtId="167" fontId="3" fillId="0" borderId="10" xfId="6" applyNumberFormat="1" applyFont="1" applyFill="1" applyBorder="1" applyAlignment="1">
      <alignment horizontal="center" vertical="center" wrapText="1"/>
    </xf>
    <xf numFmtId="167" fontId="3" fillId="16" borderId="72" xfId="6" applyNumberFormat="1" applyFont="1" applyFill="1" applyBorder="1" applyAlignment="1">
      <alignment horizontal="right" vertical="center" wrapText="1"/>
    </xf>
    <xf numFmtId="167" fontId="3" fillId="0" borderId="8" xfId="6" applyNumberFormat="1" applyFont="1" applyFill="1" applyBorder="1" applyAlignment="1">
      <alignment horizontal="justify"/>
    </xf>
    <xf numFmtId="0" fontId="3" fillId="33" borderId="19" xfId="0" applyFont="1" applyFill="1" applyBorder="1" applyAlignment="1">
      <alignment horizontal="justify" vertical="center" wrapText="1"/>
    </xf>
    <xf numFmtId="0" fontId="3" fillId="33" borderId="20" xfId="0" applyFont="1" applyFill="1" applyBorder="1" applyAlignment="1">
      <alignment horizontal="justify" vertical="center" wrapText="1"/>
    </xf>
    <xf numFmtId="0" fontId="3" fillId="33" borderId="20" xfId="0" applyFont="1" applyFill="1" applyBorder="1" applyAlignment="1">
      <alignment horizontal="center" vertical="center" wrapText="1"/>
    </xf>
    <xf numFmtId="167" fontId="3" fillId="33" borderId="52" xfId="6" applyNumberFormat="1" applyFont="1" applyFill="1" applyBorder="1" applyAlignment="1">
      <alignment horizontal="center" vertical="center" wrapText="1"/>
    </xf>
    <xf numFmtId="167" fontId="3" fillId="33" borderId="20" xfId="6" applyNumberFormat="1" applyFont="1" applyFill="1" applyBorder="1" applyAlignment="1">
      <alignment horizontal="center" vertical="center" wrapText="1"/>
    </xf>
    <xf numFmtId="167" fontId="3" fillId="33" borderId="73" xfId="6" applyNumberFormat="1" applyFont="1" applyFill="1" applyBorder="1" applyAlignment="1">
      <alignment horizontal="center" vertical="center" wrapText="1"/>
    </xf>
    <xf numFmtId="9" fontId="25" fillId="0" borderId="0" xfId="5" applyFont="1"/>
    <xf numFmtId="43" fontId="25" fillId="0" borderId="0" xfId="6" applyFont="1"/>
    <xf numFmtId="170" fontId="0" fillId="0" borderId="0" xfId="0" applyNumberFormat="1" applyFont="1"/>
    <xf numFmtId="0" fontId="3" fillId="16" borderId="6" xfId="0" applyFont="1" applyFill="1" applyBorder="1" applyAlignment="1">
      <alignment horizontal="justify" vertical="center" wrapText="1"/>
    </xf>
    <xf numFmtId="0" fontId="42" fillId="16" borderId="3" xfId="0" applyFont="1" applyFill="1" applyBorder="1" applyAlignment="1">
      <alignment horizontal="center" vertical="center"/>
    </xf>
    <xf numFmtId="0" fontId="3" fillId="16" borderId="3" xfId="0" applyFont="1" applyFill="1" applyBorder="1" applyAlignment="1">
      <alignment horizontal="center" vertical="center"/>
    </xf>
    <xf numFmtId="167" fontId="3" fillId="16" borderId="75" xfId="6" applyNumberFormat="1" applyFont="1" applyFill="1" applyBorder="1" applyAlignment="1">
      <alignment horizontal="center" vertical="center" wrapText="1"/>
    </xf>
    <xf numFmtId="167" fontId="3" fillId="16" borderId="3" xfId="6" applyNumberFormat="1" applyFont="1" applyFill="1" applyBorder="1" applyAlignment="1">
      <alignment horizontal="center" vertical="center" wrapText="1"/>
    </xf>
    <xf numFmtId="167" fontId="3" fillId="0" borderId="8" xfId="6" applyNumberFormat="1" applyFont="1" applyFill="1" applyBorder="1" applyAlignment="1">
      <alignment horizontal="justify" vertical="center" wrapText="1"/>
    </xf>
    <xf numFmtId="167" fontId="3" fillId="0" borderId="75" xfId="6" applyNumberFormat="1" applyFont="1" applyFill="1" applyBorder="1" applyAlignment="1">
      <alignment horizontal="justify" vertical="center" wrapText="1"/>
    </xf>
    <xf numFmtId="167" fontId="3" fillId="0" borderId="8" xfId="6" applyNumberFormat="1" applyFont="1" applyBorder="1" applyAlignment="1">
      <alignment horizontal="right" vertical="center"/>
    </xf>
    <xf numFmtId="167" fontId="17" fillId="14" borderId="77" xfId="0" applyNumberFormat="1" applyFont="1" applyFill="1" applyBorder="1" applyAlignment="1">
      <alignment horizontal="right"/>
    </xf>
    <xf numFmtId="0" fontId="3" fillId="16" borderId="104" xfId="0" applyFont="1" applyFill="1" applyBorder="1" applyAlignment="1">
      <alignment horizontal="center" vertical="center" wrapText="1"/>
    </xf>
    <xf numFmtId="167" fontId="3" fillId="0" borderId="81" xfId="6" applyNumberFormat="1" applyFont="1" applyFill="1" applyBorder="1" applyAlignment="1">
      <alignment horizontal="justify" vertical="center"/>
    </xf>
    <xf numFmtId="167" fontId="3" fillId="16" borderId="81" xfId="6" applyNumberFormat="1" applyFont="1" applyFill="1" applyBorder="1" applyAlignment="1">
      <alignment horizontal="center" vertical="center" wrapText="1"/>
    </xf>
    <xf numFmtId="167" fontId="17" fillId="14" borderId="11" xfId="0" applyNumberFormat="1" applyFont="1" applyFill="1" applyBorder="1" applyAlignment="1">
      <alignment horizontal="right"/>
    </xf>
    <xf numFmtId="0" fontId="4" fillId="4" borderId="2" xfId="0" applyFont="1" applyFill="1" applyBorder="1" applyAlignment="1">
      <alignment horizontal="left" vertical="center" wrapText="1"/>
    </xf>
    <xf numFmtId="0" fontId="19" fillId="0" borderId="0" xfId="0" applyFont="1" applyBorder="1" applyAlignment="1">
      <alignment horizontal="center"/>
    </xf>
    <xf numFmtId="0" fontId="2" fillId="23" borderId="6" xfId="0" applyFont="1" applyFill="1" applyBorder="1" applyAlignment="1">
      <alignment horizontal="center" vertical="center" wrapText="1"/>
    </xf>
    <xf numFmtId="0" fontId="2" fillId="23" borderId="3" xfId="0" applyFont="1" applyFill="1" applyBorder="1" applyAlignment="1">
      <alignment horizontal="center" vertical="center" wrapText="1"/>
    </xf>
    <xf numFmtId="0" fontId="2" fillId="23" borderId="1" xfId="0" applyFont="1" applyFill="1" applyBorder="1" applyAlignment="1">
      <alignment horizontal="center" vertical="center" wrapText="1"/>
    </xf>
    <xf numFmtId="0" fontId="2" fillId="23" borderId="2" xfId="0" applyFont="1" applyFill="1" applyBorder="1" applyAlignment="1">
      <alignment horizontal="center" vertical="center" wrapText="1"/>
    </xf>
    <xf numFmtId="0" fontId="2" fillId="34" borderId="6" xfId="0" applyFont="1" applyFill="1" applyBorder="1" applyAlignment="1">
      <alignment horizontal="center" vertical="center" wrapText="1"/>
    </xf>
    <xf numFmtId="0" fontId="2" fillId="34" borderId="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2" fillId="18" borderId="1" xfId="0" applyFont="1" applyFill="1" applyBorder="1" applyAlignment="1">
      <alignment horizontal="center" vertical="center" wrapText="1"/>
    </xf>
    <xf numFmtId="0" fontId="2" fillId="18" borderId="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3" xfId="0" applyFont="1" applyFill="1" applyBorder="1" applyAlignment="1">
      <alignment horizontal="center" vertical="center" wrapText="1"/>
    </xf>
    <xf numFmtId="167" fontId="2" fillId="0" borderId="8" xfId="6" applyNumberFormat="1" applyFont="1" applyFill="1" applyBorder="1" applyAlignment="1">
      <alignment horizontal="center" vertical="center" wrapText="1"/>
    </xf>
    <xf numFmtId="170" fontId="0" fillId="0" borderId="2" xfId="0" applyNumberFormat="1" applyFont="1" applyFill="1" applyBorder="1"/>
    <xf numFmtId="170" fontId="0" fillId="0" borderId="8" xfId="0" applyNumberFormat="1" applyFont="1" applyFill="1" applyBorder="1"/>
    <xf numFmtId="0" fontId="18" fillId="13" borderId="5" xfId="0" applyFont="1" applyFill="1" applyBorder="1" applyAlignment="1"/>
    <xf numFmtId="0" fontId="18" fillId="13" borderId="2" xfId="0" applyFont="1" applyFill="1" applyBorder="1" applyAlignment="1"/>
    <xf numFmtId="0" fontId="18" fillId="13" borderId="2" xfId="0" applyFont="1" applyFill="1" applyBorder="1" applyAlignment="1">
      <alignment vertical="center" wrapText="1"/>
    </xf>
    <xf numFmtId="9" fontId="0" fillId="13" borderId="2" xfId="5" applyFont="1" applyFill="1" applyBorder="1"/>
    <xf numFmtId="0" fontId="17" fillId="25" borderId="37" xfId="0" applyFont="1" applyFill="1" applyBorder="1" applyAlignment="1">
      <alignment vertical="center"/>
    </xf>
    <xf numFmtId="167" fontId="17" fillId="25" borderId="37" xfId="0" applyNumberFormat="1" applyFont="1" applyFill="1" applyBorder="1" applyAlignment="1">
      <alignment vertical="center"/>
    </xf>
    <xf numFmtId="0" fontId="17" fillId="33" borderId="37" xfId="0" applyFont="1" applyFill="1" applyBorder="1" applyAlignment="1">
      <alignment vertical="center"/>
    </xf>
    <xf numFmtId="9" fontId="17" fillId="25" borderId="37" xfId="5" applyFont="1" applyFill="1" applyBorder="1" applyAlignment="1">
      <alignment vertical="center"/>
    </xf>
    <xf numFmtId="9" fontId="0" fillId="13" borderId="2" xfId="5" applyFont="1" applyFill="1" applyBorder="1" applyAlignment="1">
      <alignment horizontal="left"/>
    </xf>
    <xf numFmtId="0" fontId="17" fillId="0" borderId="0" xfId="0" applyFont="1" applyBorder="1" applyAlignment="1">
      <alignment horizontal="center" wrapText="1"/>
    </xf>
    <xf numFmtId="0" fontId="4" fillId="0" borderId="0" xfId="0" applyFont="1" applyAlignment="1">
      <alignment horizontal="justify" vertical="center" wrapText="1"/>
    </xf>
    <xf numFmtId="0" fontId="2" fillId="16" borderId="106" xfId="0" applyFont="1" applyFill="1" applyBorder="1" applyAlignment="1">
      <alignment horizontal="justify" vertical="center" wrapText="1"/>
    </xf>
    <xf numFmtId="0" fontId="2" fillId="0" borderId="100" xfId="0" applyFont="1" applyFill="1" applyBorder="1" applyAlignment="1">
      <alignment horizontal="justify" vertical="center" wrapText="1"/>
    </xf>
    <xf numFmtId="42" fontId="2" fillId="16" borderId="8" xfId="0" applyNumberFormat="1" applyFont="1" applyFill="1" applyBorder="1" applyAlignment="1">
      <alignment horizontal="justify" vertical="center" wrapText="1"/>
    </xf>
    <xf numFmtId="42" fontId="2" fillId="16" borderId="72" xfId="0" applyNumberFormat="1" applyFont="1" applyFill="1" applyBorder="1" applyAlignment="1">
      <alignment horizontal="justify" vertical="center" wrapText="1"/>
    </xf>
    <xf numFmtId="0" fontId="4" fillId="16" borderId="2" xfId="0" applyFont="1" applyFill="1" applyBorder="1" applyAlignment="1">
      <alignment horizontal="center" vertical="center" wrapText="1"/>
    </xf>
    <xf numFmtId="0" fontId="24" fillId="0" borderId="6" xfId="0" applyFont="1" applyFill="1" applyBorder="1" applyAlignment="1">
      <alignment horizontal="justify" vertical="center" wrapText="1"/>
    </xf>
    <xf numFmtId="0" fontId="24" fillId="18" borderId="46" xfId="0" applyFont="1" applyFill="1" applyBorder="1" applyAlignment="1">
      <alignment horizontal="justify" vertical="center" wrapText="1"/>
    </xf>
    <xf numFmtId="0" fontId="3" fillId="18" borderId="53" xfId="0" applyFont="1" applyFill="1" applyBorder="1" applyAlignment="1">
      <alignment horizontal="center" vertical="center"/>
    </xf>
    <xf numFmtId="0" fontId="24" fillId="0" borderId="24" xfId="0" applyFont="1" applyFill="1" applyBorder="1" applyAlignment="1">
      <alignment horizontal="justify" vertical="center" wrapText="1"/>
    </xf>
    <xf numFmtId="0" fontId="24" fillId="0" borderId="19" xfId="0" applyFont="1" applyFill="1" applyBorder="1" applyAlignment="1">
      <alignment horizontal="justify" vertical="center" wrapText="1"/>
    </xf>
    <xf numFmtId="1" fontId="17" fillId="14" borderId="50" xfId="0" applyNumberFormat="1" applyFont="1" applyFill="1" applyBorder="1" applyAlignment="1">
      <alignment horizontal="center" vertical="center" wrapText="1"/>
    </xf>
    <xf numFmtId="0" fontId="2" fillId="19" borderId="36" xfId="0" applyFont="1" applyFill="1" applyBorder="1" applyAlignment="1">
      <alignment horizontal="justify" vertical="center" wrapText="1"/>
    </xf>
    <xf numFmtId="0" fontId="2" fillId="19" borderId="22" xfId="0" applyFont="1" applyFill="1" applyBorder="1" applyAlignment="1">
      <alignment horizontal="justify" vertical="center" wrapText="1"/>
    </xf>
    <xf numFmtId="0" fontId="0" fillId="15" borderId="7" xfId="0" applyFill="1" applyBorder="1" applyAlignment="1">
      <alignment horizontal="center" vertical="center"/>
    </xf>
    <xf numFmtId="166" fontId="0" fillId="15" borderId="7" xfId="0" applyNumberFormat="1" applyFill="1" applyBorder="1" applyAlignment="1">
      <alignment horizontal="center" vertical="center"/>
    </xf>
    <xf numFmtId="0" fontId="0" fillId="3" borderId="2" xfId="0" applyFill="1" applyBorder="1" applyAlignment="1">
      <alignment horizontal="center" vertical="center"/>
    </xf>
    <xf numFmtId="166" fontId="0" fillId="0" borderId="2" xfId="0" applyNumberFormat="1" applyBorder="1" applyAlignment="1">
      <alignment horizontal="center" vertical="center"/>
    </xf>
    <xf numFmtId="3" fontId="2" fillId="6" borderId="2" xfId="0" applyNumberFormat="1" applyFont="1" applyFill="1" applyBorder="1" applyAlignment="1">
      <alignment horizontal="center" vertical="center" wrapText="1"/>
    </xf>
    <xf numFmtId="3" fontId="2" fillId="21" borderId="2" xfId="0" applyNumberFormat="1" applyFont="1" applyFill="1" applyBorder="1" applyAlignment="1">
      <alignment horizontal="center" vertical="center" wrapText="1"/>
    </xf>
    <xf numFmtId="166" fontId="0" fillId="15" borderId="10" xfId="0" applyNumberFormat="1" applyFill="1" applyBorder="1" applyAlignment="1">
      <alignment horizontal="center" vertical="center"/>
    </xf>
    <xf numFmtId="166" fontId="17" fillId="14" borderId="41" xfId="0" applyNumberFormat="1" applyFont="1" applyFill="1" applyBorder="1" applyAlignment="1">
      <alignment vertical="center"/>
    </xf>
    <xf numFmtId="166" fontId="0" fillId="15" borderId="50" xfId="0" applyNumberFormat="1" applyFill="1" applyBorder="1" applyAlignment="1">
      <alignment horizontal="center" vertical="center"/>
    </xf>
    <xf numFmtId="166" fontId="0" fillId="0" borderId="72" xfId="0" applyNumberFormat="1" applyBorder="1" applyAlignment="1">
      <alignment vertical="center"/>
    </xf>
    <xf numFmtId="166" fontId="0" fillId="21" borderId="72" xfId="0" applyNumberFormat="1" applyFill="1" applyBorder="1" applyAlignment="1">
      <alignment horizontal="center" vertical="center"/>
    </xf>
    <xf numFmtId="166" fontId="0" fillId="0" borderId="72" xfId="0" applyNumberFormat="1" applyBorder="1" applyAlignment="1">
      <alignment horizontal="center" vertical="center"/>
    </xf>
    <xf numFmtId="0" fontId="0" fillId="0" borderId="24" xfId="0" applyFill="1" applyBorder="1" applyAlignment="1">
      <alignment horizontal="justify" vertical="center"/>
    </xf>
    <xf numFmtId="0" fontId="0" fillId="0" borderId="25" xfId="0" applyFill="1" applyBorder="1" applyAlignment="1">
      <alignment horizontal="center" vertical="center"/>
    </xf>
    <xf numFmtId="166" fontId="0" fillId="0" borderId="25" xfId="0" applyNumberFormat="1" applyBorder="1" applyAlignment="1">
      <alignment vertical="center"/>
    </xf>
    <xf numFmtId="166" fontId="0" fillId="0" borderId="26" xfId="0" applyNumberFormat="1" applyBorder="1" applyAlignment="1">
      <alignment vertical="center"/>
    </xf>
    <xf numFmtId="0" fontId="3" fillId="0" borderId="19" xfId="0" applyFont="1" applyFill="1" applyBorder="1" applyAlignment="1">
      <alignment horizontal="justify" vertical="center" wrapText="1"/>
    </xf>
    <xf numFmtId="3" fontId="2" fillId="0" borderId="20" xfId="0" applyNumberFormat="1" applyFont="1" applyFill="1" applyBorder="1" applyAlignment="1">
      <alignment horizontal="center" vertical="center" wrapText="1"/>
    </xf>
    <xf numFmtId="166" fontId="0" fillId="0" borderId="20" xfId="0" applyNumberFormat="1" applyFill="1" applyBorder="1" applyAlignment="1">
      <alignment horizontal="center" vertical="center"/>
    </xf>
    <xf numFmtId="166" fontId="0" fillId="0" borderId="21" xfId="0" applyNumberFormat="1" applyFill="1" applyBorder="1" applyAlignment="1">
      <alignment horizontal="center" vertical="center"/>
    </xf>
    <xf numFmtId="1" fontId="17" fillId="14" borderId="52" xfId="0" applyNumberFormat="1" applyFont="1" applyFill="1" applyBorder="1" applyAlignment="1">
      <alignment horizontal="center" vertical="center" wrapText="1"/>
    </xf>
    <xf numFmtId="166" fontId="2" fillId="16" borderId="2" xfId="0" applyNumberFormat="1" applyFont="1" applyFill="1" applyBorder="1" applyAlignment="1">
      <alignment horizontal="justify" vertical="center" wrapText="1"/>
    </xf>
    <xf numFmtId="0" fontId="21" fillId="21" borderId="37" xfId="0" applyFont="1" applyFill="1" applyBorder="1" applyAlignment="1">
      <alignment horizontal="center" vertical="center" wrapText="1"/>
    </xf>
    <xf numFmtId="0" fontId="21" fillId="21" borderId="77" xfId="0" applyFont="1" applyFill="1" applyBorder="1" applyAlignment="1">
      <alignment horizontal="center" vertical="center" wrapText="1"/>
    </xf>
    <xf numFmtId="166" fontId="21" fillId="21" borderId="77" xfId="0" applyNumberFormat="1" applyFont="1" applyFill="1" applyBorder="1" applyAlignment="1">
      <alignment horizontal="center" vertical="center" wrapText="1"/>
    </xf>
    <xf numFmtId="167" fontId="21" fillId="21" borderId="38" xfId="6"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0" fontId="0" fillId="0" borderId="20" xfId="0" applyFill="1" applyBorder="1" applyAlignment="1">
      <alignment horizontal="center" vertical="center"/>
    </xf>
    <xf numFmtId="166" fontId="0" fillId="15" borderId="2" xfId="0" applyNumberFormat="1" applyFill="1" applyBorder="1" applyAlignment="1">
      <alignment horizontal="center" vertical="center"/>
    </xf>
    <xf numFmtId="5" fontId="1" fillId="0" borderId="2" xfId="1" applyNumberFormat="1" applyFont="1" applyFill="1" applyBorder="1" applyAlignment="1">
      <alignment horizontal="center" vertical="center"/>
    </xf>
    <xf numFmtId="166" fontId="0" fillId="0" borderId="2" xfId="0" applyNumberFormat="1" applyFill="1" applyBorder="1" applyAlignment="1">
      <alignment horizontal="right" vertical="center"/>
    </xf>
    <xf numFmtId="0" fontId="22" fillId="21" borderId="2" xfId="0" applyFont="1" applyFill="1" applyBorder="1" applyAlignment="1">
      <alignment horizontal="center" vertical="center" wrapText="1"/>
    </xf>
    <xf numFmtId="0" fontId="2" fillId="23" borderId="54"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2" fillId="23" borderId="49" xfId="0" applyFont="1" applyFill="1" applyBorder="1" applyAlignment="1">
      <alignment horizontal="justify" vertical="center" wrapText="1"/>
    </xf>
    <xf numFmtId="0" fontId="3" fillId="0" borderId="100" xfId="0" applyFont="1" applyFill="1" applyBorder="1" applyAlignment="1">
      <alignment horizontal="justify" vertical="center" wrapText="1"/>
    </xf>
    <xf numFmtId="0" fontId="3" fillId="0" borderId="49" xfId="0" applyFont="1" applyFill="1" applyBorder="1" applyAlignment="1">
      <alignment horizontal="justify" vertical="center" wrapText="1"/>
    </xf>
    <xf numFmtId="0" fontId="0" fillId="15" borderId="24" xfId="0" applyFill="1" applyBorder="1" applyAlignment="1">
      <alignment horizontal="center" vertical="center"/>
    </xf>
    <xf numFmtId="0" fontId="0" fillId="15" borderId="25" xfId="0" applyFill="1" applyBorder="1" applyAlignment="1">
      <alignment horizontal="center" vertical="center"/>
    </xf>
    <xf numFmtId="166" fontId="0" fillId="15" borderId="25" xfId="0" applyNumberFormat="1" applyFill="1" applyBorder="1" applyAlignment="1">
      <alignment horizontal="center" vertical="center"/>
    </xf>
    <xf numFmtId="0" fontId="0" fillId="0" borderId="1" xfId="0" applyFill="1" applyBorder="1" applyAlignment="1">
      <alignment horizontal="center" vertical="center"/>
    </xf>
    <xf numFmtId="0" fontId="0" fillId="15" borderId="1" xfId="0" applyFill="1" applyBorder="1" applyAlignment="1">
      <alignment horizontal="center" vertical="center"/>
    </xf>
    <xf numFmtId="0" fontId="22" fillId="21" borderId="1" xfId="0" applyFont="1" applyFill="1" applyBorder="1" applyAlignment="1">
      <alignment horizontal="center" vertical="center" wrapText="1"/>
    </xf>
    <xf numFmtId="0" fontId="0" fillId="0" borderId="19" xfId="0" applyFill="1" applyBorder="1" applyAlignment="1">
      <alignment horizontal="center" vertical="center"/>
    </xf>
    <xf numFmtId="5" fontId="17" fillId="14" borderId="51" xfId="1" applyNumberFormat="1" applyFont="1" applyFill="1" applyBorder="1" applyAlignment="1">
      <alignment horizontal="right" vertical="center"/>
    </xf>
    <xf numFmtId="0" fontId="3" fillId="18" borderId="2" xfId="0" applyNumberFormat="1" applyFont="1" applyFill="1" applyBorder="1" applyAlignment="1">
      <alignment horizontal="center" vertical="center"/>
    </xf>
    <xf numFmtId="0" fontId="2" fillId="18" borderId="24" xfId="2" applyFont="1" applyFill="1" applyBorder="1" applyAlignment="1">
      <alignment horizontal="justify" vertical="center"/>
    </xf>
    <xf numFmtId="0" fontId="3" fillId="18" borderId="25" xfId="0" applyFont="1" applyFill="1" applyBorder="1" applyAlignment="1">
      <alignment horizontal="center" vertical="center"/>
    </xf>
    <xf numFmtId="0" fontId="3" fillId="18" borderId="25" xfId="0" applyNumberFormat="1" applyFont="1" applyFill="1" applyBorder="1" applyAlignment="1">
      <alignment horizontal="center" vertical="center"/>
    </xf>
    <xf numFmtId="43" fontId="3" fillId="18" borderId="25" xfId="0" applyNumberFormat="1" applyFont="1" applyFill="1" applyBorder="1" applyAlignment="1">
      <alignment horizontal="center" vertical="center"/>
    </xf>
    <xf numFmtId="0" fontId="2" fillId="18" borderId="1" xfId="2" applyFont="1" applyFill="1" applyBorder="1" applyAlignment="1">
      <alignment horizontal="justify" vertical="center"/>
    </xf>
    <xf numFmtId="0" fontId="2" fillId="18" borderId="1" xfId="0" applyFont="1" applyFill="1" applyBorder="1" applyAlignment="1">
      <alignment horizontal="justify" vertical="center"/>
    </xf>
    <xf numFmtId="0" fontId="2" fillId="27" borderId="1" xfId="0" applyFont="1" applyFill="1" applyBorder="1" applyAlignment="1">
      <alignment horizontal="justify" vertical="center"/>
    </xf>
    <xf numFmtId="43" fontId="3" fillId="18" borderId="39" xfId="0" applyNumberFormat="1" applyFont="1" applyFill="1" applyBorder="1" applyAlignment="1">
      <alignment horizontal="center" vertical="center"/>
    </xf>
    <xf numFmtId="168" fontId="3" fillId="0" borderId="8" xfId="0" applyNumberFormat="1" applyFont="1" applyFill="1" applyBorder="1" applyAlignment="1">
      <alignment vertical="center"/>
    </xf>
    <xf numFmtId="168" fontId="3" fillId="33" borderId="52" xfId="0" applyNumberFormat="1" applyFont="1" applyFill="1" applyBorder="1" applyAlignment="1">
      <alignment vertical="center"/>
    </xf>
    <xf numFmtId="168" fontId="4" fillId="14" borderId="41" xfId="6" applyNumberFormat="1" applyFont="1" applyFill="1" applyBorder="1" applyAlignment="1">
      <alignment horizontal="justify" vertical="center"/>
    </xf>
    <xf numFmtId="43" fontId="3" fillId="18" borderId="71" xfId="0" applyNumberFormat="1" applyFont="1" applyFill="1" applyBorder="1" applyAlignment="1">
      <alignment horizontal="center" vertical="center"/>
    </xf>
    <xf numFmtId="168" fontId="3" fillId="0" borderId="72" xfId="0" applyNumberFormat="1" applyFont="1" applyFill="1" applyBorder="1" applyAlignment="1">
      <alignment vertical="center"/>
    </xf>
    <xf numFmtId="168" fontId="3" fillId="33" borderId="73" xfId="0" applyNumberFormat="1" applyFont="1" applyFill="1" applyBorder="1" applyAlignment="1">
      <alignment vertical="center"/>
    </xf>
    <xf numFmtId="168" fontId="4" fillId="14" borderId="51" xfId="6" applyNumberFormat="1" applyFont="1" applyFill="1" applyBorder="1" applyAlignment="1">
      <alignment horizontal="justify" vertical="center"/>
    </xf>
    <xf numFmtId="168" fontId="3" fillId="18" borderId="2" xfId="0" applyNumberFormat="1" applyFont="1" applyFill="1" applyBorder="1" applyAlignment="1">
      <alignment vertical="center"/>
    </xf>
    <xf numFmtId="168" fontId="3" fillId="18" borderId="8" xfId="0" applyNumberFormat="1" applyFont="1" applyFill="1" applyBorder="1" applyAlignment="1">
      <alignment vertical="center"/>
    </xf>
    <xf numFmtId="168" fontId="3" fillId="18" borderId="72" xfId="0" applyNumberFormat="1" applyFont="1" applyFill="1" applyBorder="1" applyAlignment="1">
      <alignment vertical="center"/>
    </xf>
    <xf numFmtId="167" fontId="0" fillId="4" borderId="17" xfId="6" applyNumberFormat="1" applyFont="1" applyFill="1" applyBorder="1"/>
    <xf numFmtId="167" fontId="0" fillId="4" borderId="37" xfId="6" applyNumberFormat="1" applyFont="1" applyFill="1" applyBorder="1"/>
    <xf numFmtId="167" fontId="0" fillId="4" borderId="38" xfId="6" applyNumberFormat="1" applyFont="1" applyFill="1" applyBorder="1"/>
    <xf numFmtId="9" fontId="8" fillId="13" borderId="77" xfId="5" applyFont="1" applyFill="1" applyBorder="1" applyAlignment="1">
      <alignment horizontal="center" vertical="center"/>
    </xf>
    <xf numFmtId="41" fontId="8" fillId="17" borderId="104" xfId="1" applyNumberFormat="1" applyFont="1" applyFill="1" applyBorder="1" applyAlignment="1">
      <alignment horizontal="center" vertical="center"/>
    </xf>
    <xf numFmtId="41" fontId="8" fillId="17" borderId="72" xfId="1" applyNumberFormat="1" applyFont="1" applyFill="1" applyBorder="1" applyAlignment="1">
      <alignment horizontal="center" vertical="center"/>
    </xf>
    <xf numFmtId="3" fontId="39" fillId="16" borderId="72" xfId="1" applyNumberFormat="1" applyFont="1" applyFill="1" applyBorder="1" applyAlignment="1">
      <alignment horizontal="right" vertical="center"/>
    </xf>
    <xf numFmtId="3" fontId="8" fillId="16" borderId="72" xfId="1" applyNumberFormat="1" applyFont="1" applyFill="1" applyBorder="1" applyAlignment="1">
      <alignment horizontal="right" vertical="center"/>
    </xf>
    <xf numFmtId="3" fontId="39" fillId="17" borderId="72" xfId="1" applyNumberFormat="1" applyFont="1" applyFill="1" applyBorder="1" applyAlignment="1">
      <alignment horizontal="right" vertical="center"/>
    </xf>
    <xf numFmtId="3" fontId="8" fillId="17" borderId="72" xfId="1" applyNumberFormat="1" applyFont="1" applyFill="1" applyBorder="1" applyAlignment="1">
      <alignment horizontal="right" vertical="center"/>
    </xf>
    <xf numFmtId="167" fontId="18" fillId="0" borderId="2" xfId="0" applyNumberFormat="1" applyFont="1" applyBorder="1" applyAlignment="1">
      <alignment vertical="center"/>
    </xf>
    <xf numFmtId="164" fontId="8" fillId="13" borderId="76" xfId="0" applyNumberFormat="1" applyFont="1" applyFill="1" applyBorder="1" applyAlignment="1">
      <alignment vertical="center"/>
    </xf>
    <xf numFmtId="3" fontId="39" fillId="28" borderId="17" xfId="0" applyNumberFormat="1" applyFont="1" applyFill="1" applyBorder="1"/>
    <xf numFmtId="3" fontId="39" fillId="28" borderId="38" xfId="0" applyNumberFormat="1" applyFont="1" applyFill="1" applyBorder="1"/>
    <xf numFmtId="0" fontId="30" fillId="0" borderId="0" xfId="0" applyFont="1" applyBorder="1" applyAlignment="1">
      <alignment horizontal="center" wrapText="1"/>
    </xf>
    <xf numFmtId="0" fontId="20" fillId="0" borderId="1" xfId="0" applyFont="1" applyFill="1" applyBorder="1" applyAlignment="1">
      <alignment horizontal="justify" vertical="center" wrapText="1"/>
    </xf>
    <xf numFmtId="0" fontId="3" fillId="0" borderId="5" xfId="0" applyFont="1" applyBorder="1" applyAlignment="1">
      <alignment horizontal="center" vertical="center" wrapText="1"/>
    </xf>
    <xf numFmtId="0" fontId="3" fillId="0" borderId="44" xfId="0" applyFont="1" applyFill="1" applyBorder="1" applyAlignment="1">
      <alignment horizontal="center" vertical="center" wrapText="1"/>
    </xf>
    <xf numFmtId="0" fontId="3" fillId="0" borderId="44" xfId="0" applyFont="1" applyFill="1" applyBorder="1" applyAlignment="1">
      <alignment horizontal="right" vertical="center" wrapText="1"/>
    </xf>
    <xf numFmtId="167" fontId="3" fillId="0" borderId="0" xfId="0" applyNumberFormat="1" applyFont="1" applyAlignment="1">
      <alignment horizontal="right"/>
    </xf>
    <xf numFmtId="0" fontId="3" fillId="16" borderId="4" xfId="0" applyFont="1" applyFill="1" applyBorder="1" applyAlignment="1">
      <alignment horizontal="justify" vertical="center" wrapText="1"/>
    </xf>
    <xf numFmtId="166" fontId="17" fillId="14" borderId="36" xfId="0" applyNumberFormat="1" applyFont="1" applyFill="1" applyBorder="1" applyAlignment="1">
      <alignment horizontal="right" vertical="center"/>
    </xf>
    <xf numFmtId="166" fontId="17" fillId="14" borderId="37" xfId="0" applyNumberFormat="1" applyFont="1" applyFill="1" applyBorder="1" applyAlignment="1">
      <alignment horizontal="right" vertical="center"/>
    </xf>
    <xf numFmtId="166" fontId="17" fillId="14" borderId="38" xfId="0" applyNumberFormat="1" applyFont="1" applyFill="1" applyBorder="1" applyAlignment="1">
      <alignment horizontal="right" vertical="center"/>
    </xf>
    <xf numFmtId="166" fontId="3" fillId="18" borderId="38" xfId="0" applyNumberFormat="1" applyFont="1" applyFill="1" applyBorder="1" applyAlignment="1">
      <alignment horizontal="right" vertical="center"/>
    </xf>
    <xf numFmtId="0" fontId="3" fillId="0" borderId="3" xfId="0" applyFont="1" applyFill="1" applyBorder="1" applyAlignment="1">
      <alignment vertical="center"/>
    </xf>
    <xf numFmtId="166" fontId="17" fillId="0" borderId="0" xfId="0" applyNumberFormat="1" applyFont="1" applyFill="1" applyBorder="1" applyAlignment="1">
      <alignment vertical="center"/>
    </xf>
    <xf numFmtId="0" fontId="2" fillId="0" borderId="46" xfId="0" applyFont="1" applyFill="1" applyBorder="1" applyAlignment="1">
      <alignment horizontal="justify" vertical="center"/>
    </xf>
    <xf numFmtId="0" fontId="3" fillId="0" borderId="53" xfId="0" applyFont="1" applyFill="1" applyBorder="1" applyAlignment="1">
      <alignment horizontal="center" vertical="center"/>
    </xf>
    <xf numFmtId="41" fontId="3" fillId="0" borderId="53"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166" fontId="3" fillId="16" borderId="45" xfId="0" applyNumberFormat="1" applyFont="1" applyFill="1" applyBorder="1" applyAlignment="1">
      <alignment horizontal="right" vertical="center" wrapText="1"/>
    </xf>
    <xf numFmtId="166" fontId="3" fillId="0" borderId="18" xfId="0" applyNumberFormat="1" applyFont="1" applyFill="1" applyBorder="1" applyAlignment="1">
      <alignment horizontal="center" vertical="center" wrapText="1"/>
    </xf>
    <xf numFmtId="167" fontId="2" fillId="33" borderId="85" xfId="6" applyNumberFormat="1" applyFont="1" applyFill="1" applyBorder="1" applyAlignment="1">
      <alignment horizontal="right" vertical="center" wrapText="1"/>
    </xf>
    <xf numFmtId="0" fontId="2" fillId="0" borderId="2" xfId="2" applyFont="1" applyFill="1" applyBorder="1" applyAlignment="1">
      <alignment horizontal="center" vertical="center" wrapText="1"/>
    </xf>
    <xf numFmtId="49" fontId="2" fillId="16" borderId="2" xfId="0" applyNumberFormat="1" applyFont="1" applyFill="1" applyBorder="1"/>
    <xf numFmtId="49" fontId="2" fillId="0" borderId="0" xfId="0" applyNumberFormat="1" applyFont="1"/>
    <xf numFmtId="49" fontId="2" fillId="0" borderId="0" xfId="0" applyNumberFormat="1" applyFont="1" applyFill="1"/>
    <xf numFmtId="49" fontId="3" fillId="16" borderId="2" xfId="0" applyNumberFormat="1" applyFont="1" applyFill="1" applyBorder="1"/>
    <xf numFmtId="49" fontId="3" fillId="0" borderId="0" xfId="0" applyNumberFormat="1" applyFont="1"/>
    <xf numFmtId="49" fontId="3" fillId="0" borderId="0" xfId="0" applyNumberFormat="1" applyFont="1" applyAlignment="1">
      <alignment vertical="center"/>
    </xf>
    <xf numFmtId="49" fontId="3" fillId="0" borderId="0" xfId="0" applyNumberFormat="1" applyFont="1" applyFill="1" applyAlignment="1">
      <alignment vertical="center"/>
    </xf>
    <xf numFmtId="49" fontId="3" fillId="0" borderId="0" xfId="0" applyNumberFormat="1" applyFont="1" applyFill="1"/>
    <xf numFmtId="49" fontId="3" fillId="16" borderId="8" xfId="0" applyNumberFormat="1" applyFont="1" applyFill="1" applyBorder="1"/>
    <xf numFmtId="49" fontId="4" fillId="16" borderId="8" xfId="0" applyNumberFormat="1" applyFont="1" applyFill="1" applyBorder="1" applyAlignment="1">
      <alignment horizontal="center" vertical="center" wrapText="1"/>
    </xf>
    <xf numFmtId="49" fontId="0" fillId="0" borderId="0" xfId="0" applyNumberFormat="1" applyFont="1" applyFill="1"/>
    <xf numFmtId="49" fontId="34" fillId="0" borderId="0" xfId="0" applyNumberFormat="1" applyFont="1" applyFill="1"/>
    <xf numFmtId="49" fontId="34" fillId="0" borderId="0" xfId="0" applyNumberFormat="1" applyFont="1"/>
    <xf numFmtId="49" fontId="3" fillId="16" borderId="2" xfId="0" applyNumberFormat="1" applyFont="1" applyFill="1" applyBorder="1" applyAlignment="1">
      <alignment horizontal="justify" vertical="center" wrapText="1"/>
    </xf>
    <xf numFmtId="49" fontId="0" fillId="0" borderId="0" xfId="0" applyNumberFormat="1" applyFont="1" applyFill="1" applyAlignment="1">
      <alignment vertical="center"/>
    </xf>
    <xf numFmtId="49" fontId="0" fillId="0" borderId="0" xfId="0" applyNumberFormat="1" applyFont="1" applyAlignment="1">
      <alignment vertical="center"/>
    </xf>
    <xf numFmtId="49" fontId="34" fillId="0" borderId="0" xfId="0" applyNumberFormat="1" applyFont="1" applyFill="1" applyAlignment="1">
      <alignment vertical="center"/>
    </xf>
    <xf numFmtId="49" fontId="0" fillId="0" borderId="0" xfId="0" applyNumberFormat="1" applyFill="1"/>
    <xf numFmtId="49" fontId="0" fillId="0" borderId="0" xfId="0" applyNumberFormat="1"/>
    <xf numFmtId="49" fontId="0" fillId="0" borderId="0" xfId="0" applyNumberFormat="1" applyFont="1"/>
    <xf numFmtId="49" fontId="2" fillId="16" borderId="5" xfId="0" applyNumberFormat="1" applyFont="1" applyFill="1" applyBorder="1" applyAlignment="1">
      <alignment horizontal="justify" vertical="center" wrapText="1"/>
    </xf>
    <xf numFmtId="49" fontId="0" fillId="0" borderId="0" xfId="0" applyNumberFormat="1" applyFill="1" applyAlignment="1">
      <alignment vertical="center"/>
    </xf>
    <xf numFmtId="49" fontId="2" fillId="16" borderId="8" xfId="0" applyNumberFormat="1" applyFont="1" applyFill="1" applyBorder="1" applyAlignment="1">
      <alignment horizontal="justify" vertical="center" wrapText="1"/>
    </xf>
    <xf numFmtId="49" fontId="2" fillId="16" borderId="18" xfId="0" applyNumberFormat="1" applyFont="1" applyFill="1" applyBorder="1" applyAlignment="1">
      <alignment horizontal="justify" vertical="center" wrapText="1"/>
    </xf>
    <xf numFmtId="49" fontId="0" fillId="0" borderId="0" xfId="0" applyNumberFormat="1" applyAlignment="1">
      <alignment vertical="center"/>
    </xf>
    <xf numFmtId="49" fontId="3" fillId="16" borderId="8" xfId="6" applyNumberFormat="1" applyFont="1" applyFill="1" applyBorder="1" applyAlignment="1">
      <alignment horizontal="center" vertical="center" wrapText="1"/>
    </xf>
    <xf numFmtId="49" fontId="2" fillId="16" borderId="2" xfId="0" applyNumberFormat="1" applyFont="1" applyFill="1" applyBorder="1" applyAlignment="1">
      <alignment horizontal="justify" vertical="center" wrapText="1"/>
    </xf>
    <xf numFmtId="49" fontId="0" fillId="16" borderId="2" xfId="0" applyNumberFormat="1" applyFill="1" applyBorder="1"/>
    <xf numFmtId="49" fontId="0" fillId="16" borderId="8" xfId="0" applyNumberFormat="1" applyFill="1" applyBorder="1"/>
    <xf numFmtId="0" fontId="4" fillId="0" borderId="0" xfId="0" applyFont="1" applyAlignment="1">
      <alignment horizontal="center"/>
    </xf>
    <xf numFmtId="0" fontId="0" fillId="0" borderId="0" xfId="0" applyFill="1" applyBorder="1"/>
    <xf numFmtId="167" fontId="3" fillId="0" borderId="8" xfId="6" applyNumberFormat="1" applyFont="1" applyFill="1" applyBorder="1" applyAlignment="1">
      <alignment horizontal="right" vertical="center" wrapText="1"/>
    </xf>
    <xf numFmtId="43" fontId="0" fillId="0" borderId="0" xfId="0" applyNumberFormat="1" applyFont="1" applyFill="1" applyBorder="1"/>
    <xf numFmtId="43" fontId="0" fillId="0" borderId="0" xfId="0" applyNumberFormat="1" applyFont="1" applyFill="1"/>
    <xf numFmtId="44" fontId="3" fillId="0" borderId="0" xfId="7" applyFont="1" applyFill="1"/>
    <xf numFmtId="49" fontId="2" fillId="16" borderId="18" xfId="0" applyNumberFormat="1" applyFont="1" applyFill="1" applyBorder="1"/>
    <xf numFmtId="166" fontId="3" fillId="30" borderId="2" xfId="0" applyNumberFormat="1" applyFont="1" applyFill="1" applyBorder="1" applyAlignment="1">
      <alignment horizontal="center" vertical="center"/>
    </xf>
    <xf numFmtId="0" fontId="3" fillId="0" borderId="0" xfId="0" applyNumberFormat="1" applyFont="1" applyFill="1"/>
    <xf numFmtId="49" fontId="43" fillId="0" borderId="0" xfId="0" applyNumberFormat="1" applyFont="1" applyFill="1" applyAlignment="1">
      <alignment vertical="center"/>
    </xf>
    <xf numFmtId="167" fontId="17" fillId="14" borderId="37" xfId="0" applyNumberFormat="1" applyFont="1" applyFill="1" applyBorder="1"/>
    <xf numFmtId="167" fontId="17" fillId="14" borderId="38" xfId="0" applyNumberFormat="1" applyFont="1" applyFill="1" applyBorder="1"/>
    <xf numFmtId="44" fontId="2" fillId="0" borderId="8" xfId="7" applyFont="1" applyFill="1" applyBorder="1" applyAlignment="1">
      <alignment horizontal="center" vertical="center"/>
    </xf>
    <xf numFmtId="0" fontId="24" fillId="0" borderId="4" xfId="0" applyFont="1" applyFill="1" applyBorder="1" applyAlignment="1">
      <alignment horizontal="center" vertical="center" wrapText="1"/>
    </xf>
    <xf numFmtId="164" fontId="3" fillId="0" borderId="0" xfId="0" applyNumberFormat="1" applyFont="1" applyAlignment="1">
      <alignment vertical="center"/>
    </xf>
    <xf numFmtId="0" fontId="2" fillId="0" borderId="5" xfId="0" applyNumberFormat="1" applyFont="1" applyFill="1" applyBorder="1" applyAlignment="1">
      <alignment horizontal="center" vertical="center" wrapText="1"/>
    </xf>
    <xf numFmtId="43" fontId="3" fillId="0" borderId="18" xfId="6" applyFont="1" applyFill="1" applyBorder="1" applyAlignment="1">
      <alignment horizontal="right" vertical="center"/>
    </xf>
    <xf numFmtId="44" fontId="3" fillId="0" borderId="2" xfId="7" applyFont="1" applyFill="1" applyBorder="1" applyAlignment="1">
      <alignment horizontal="center" vertical="center" wrapText="1"/>
    </xf>
    <xf numFmtId="170" fontId="3" fillId="0" borderId="2" xfId="7" applyNumberFormat="1" applyFont="1" applyFill="1" applyBorder="1" applyAlignment="1">
      <alignment horizontal="center" vertical="center" wrapText="1"/>
    </xf>
    <xf numFmtId="166" fontId="3" fillId="0" borderId="0" xfId="0" applyNumberFormat="1" applyFont="1" applyFill="1"/>
    <xf numFmtId="0" fontId="2" fillId="0" borderId="2" xfId="0" applyFont="1" applyFill="1" applyBorder="1" applyAlignment="1">
      <alignment horizontal="center"/>
    </xf>
    <xf numFmtId="0" fontId="4" fillId="14" borderId="11" xfId="0" applyFont="1" applyFill="1" applyBorder="1" applyAlignment="1">
      <alignment horizontal="center" vertical="center" wrapText="1"/>
    </xf>
    <xf numFmtId="0" fontId="20" fillId="14" borderId="48" xfId="0" applyFont="1" applyFill="1" applyBorder="1" applyAlignment="1">
      <alignment horizontal="center" vertical="center" wrapText="1"/>
    </xf>
    <xf numFmtId="0" fontId="45" fillId="0" borderId="0" xfId="0" applyFont="1"/>
    <xf numFmtId="0" fontId="21" fillId="0" borderId="2" xfId="0" applyFont="1" applyFill="1" applyBorder="1" applyAlignment="1">
      <alignment horizontal="center" vertical="center" wrapText="1"/>
    </xf>
    <xf numFmtId="166" fontId="21" fillId="0" borderId="2"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8" xfId="0" applyFont="1" applyFill="1" applyBorder="1" applyAlignment="1">
      <alignment horizontal="center" vertical="center" wrapText="1"/>
    </xf>
    <xf numFmtId="166" fontId="21" fillId="0" borderId="7" xfId="0" applyNumberFormat="1" applyFont="1" applyFill="1" applyBorder="1" applyAlignment="1">
      <alignment horizontal="center" vertical="center" wrapText="1"/>
    </xf>
    <xf numFmtId="0" fontId="3" fillId="0" borderId="103" xfId="0" applyFont="1" applyFill="1" applyBorder="1" applyAlignment="1">
      <alignment horizontal="center" vertical="center"/>
    </xf>
    <xf numFmtId="166" fontId="3" fillId="0" borderId="8" xfId="0" applyNumberFormat="1" applyFont="1" applyFill="1" applyBorder="1" applyAlignment="1">
      <alignment horizontal="right"/>
    </xf>
    <xf numFmtId="166" fontId="2" fillId="0" borderId="2" xfId="8" applyNumberFormat="1" applyFont="1" applyFill="1" applyBorder="1" applyAlignment="1">
      <alignment horizontal="center" vertical="center"/>
    </xf>
    <xf numFmtId="42" fontId="2" fillId="0" borderId="2" xfId="8" applyNumberFormat="1" applyFont="1" applyFill="1" applyBorder="1" applyAlignment="1">
      <alignment horizontal="center" vertical="center"/>
    </xf>
    <xf numFmtId="167" fontId="3" fillId="0" borderId="0" xfId="6" applyNumberFormat="1" applyFont="1"/>
    <xf numFmtId="170" fontId="3" fillId="0" borderId="0" xfId="7" applyNumberFormat="1" applyFont="1" applyFill="1"/>
    <xf numFmtId="44" fontId="0" fillId="0" borderId="0" xfId="7" applyFont="1"/>
    <xf numFmtId="0" fontId="17" fillId="0" borderId="0" xfId="0" applyFont="1"/>
    <xf numFmtId="167" fontId="0" fillId="0" borderId="0" xfId="0" applyNumberFormat="1" applyFont="1" applyAlignment="1">
      <alignment horizontal="right"/>
    </xf>
    <xf numFmtId="166" fontId="3" fillId="0" borderId="8"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166" fontId="2" fillId="0" borderId="74" xfId="0" applyNumberFormat="1" applyFont="1" applyFill="1" applyBorder="1" applyAlignment="1">
      <alignment horizontal="right" vertical="center" wrapText="1"/>
    </xf>
    <xf numFmtId="0" fontId="2" fillId="0" borderId="101" xfId="0" applyFont="1" applyFill="1" applyBorder="1" applyAlignment="1">
      <alignment horizontal="justify" vertical="center" wrapText="1"/>
    </xf>
    <xf numFmtId="0" fontId="46" fillId="0" borderId="0" xfId="0" applyFont="1" applyAlignment="1">
      <alignment horizontal="center" vertical="center"/>
    </xf>
    <xf numFmtId="0" fontId="20" fillId="0" borderId="0" xfId="0" applyFont="1"/>
    <xf numFmtId="44" fontId="23" fillId="0" borderId="52" xfId="7" applyFont="1" applyFill="1" applyBorder="1" applyAlignment="1">
      <alignment horizontal="center" vertical="center" wrapText="1"/>
    </xf>
    <xf numFmtId="44" fontId="0" fillId="0" borderId="0" xfId="0" applyNumberFormat="1" applyFont="1"/>
    <xf numFmtId="3" fontId="0" fillId="0" borderId="0" xfId="0" applyNumberFormat="1" applyFont="1"/>
    <xf numFmtId="42" fontId="34" fillId="0" borderId="0" xfId="0" applyNumberFormat="1" applyFont="1" applyAlignment="1">
      <alignment horizontal="right"/>
    </xf>
    <xf numFmtId="0" fontId="0" fillId="0" borderId="0" xfId="0" applyAlignment="1">
      <alignment horizontal="center" vertical="center" wrapText="1"/>
    </xf>
    <xf numFmtId="0" fontId="17" fillId="0" borderId="0" xfId="0" applyFont="1" applyAlignment="1">
      <alignment horizontal="center" vertical="center" wrapText="1"/>
    </xf>
    <xf numFmtId="44" fontId="0" fillId="0" borderId="0" xfId="7" applyFont="1" applyAlignment="1">
      <alignment wrapText="1"/>
    </xf>
    <xf numFmtId="170" fontId="0" fillId="0" borderId="0" xfId="7" applyNumberFormat="1" applyFont="1" applyFill="1" applyAlignment="1">
      <alignment vertical="center"/>
    </xf>
    <xf numFmtId="170" fontId="3" fillId="0" borderId="0" xfId="0" applyNumberFormat="1" applyFont="1"/>
    <xf numFmtId="167" fontId="3" fillId="0" borderId="34" xfId="6" applyNumberFormat="1" applyFont="1" applyFill="1" applyBorder="1" applyAlignment="1">
      <alignment horizontal="center" vertical="center" wrapText="1"/>
    </xf>
    <xf numFmtId="167" fontId="0" fillId="0" borderId="0" xfId="6" applyNumberFormat="1" applyFont="1" applyFill="1"/>
    <xf numFmtId="0" fontId="24" fillId="18" borderId="33" xfId="0" applyFont="1" applyFill="1" applyBorder="1" applyAlignment="1">
      <alignment horizontal="justify" vertical="center" wrapText="1"/>
    </xf>
    <xf numFmtId="0" fontId="24" fillId="18" borderId="34" xfId="0" applyFont="1" applyFill="1" applyBorder="1" applyAlignment="1">
      <alignment horizontal="justify" vertical="center" wrapText="1"/>
    </xf>
    <xf numFmtId="0" fontId="24" fillId="18" borderId="34" xfId="0" applyFont="1" applyFill="1" applyBorder="1" applyAlignment="1">
      <alignment horizontal="center" vertical="center" wrapText="1"/>
    </xf>
    <xf numFmtId="0" fontId="24" fillId="18" borderId="41" xfId="0" applyFont="1" applyFill="1" applyBorder="1" applyAlignment="1">
      <alignment horizontal="center" vertical="center" wrapText="1"/>
    </xf>
    <xf numFmtId="166" fontId="24" fillId="18" borderId="41" xfId="0" applyNumberFormat="1" applyFont="1" applyFill="1" applyBorder="1" applyAlignment="1">
      <alignment horizontal="center" vertical="center" wrapText="1"/>
    </xf>
    <xf numFmtId="166" fontId="24" fillId="18" borderId="51" xfId="0" applyNumberFormat="1" applyFont="1" applyFill="1" applyBorder="1" applyAlignment="1">
      <alignment horizontal="center" vertical="center" wrapText="1"/>
    </xf>
    <xf numFmtId="0" fontId="0" fillId="0" borderId="2" xfId="0" applyFill="1" applyBorder="1"/>
    <xf numFmtId="171" fontId="0" fillId="0" borderId="0" xfId="0" applyNumberFormat="1" applyFill="1" applyAlignment="1">
      <alignment horizontal="center" vertical="center"/>
    </xf>
    <xf numFmtId="49" fontId="0" fillId="0" borderId="0" xfId="0" applyNumberFormat="1" applyFill="1" applyAlignment="1">
      <alignment horizontal="center" vertical="center"/>
    </xf>
    <xf numFmtId="42" fontId="0" fillId="0" borderId="0" xfId="8" applyFont="1" applyFill="1"/>
    <xf numFmtId="166" fontId="0" fillId="0" borderId="0" xfId="0" applyNumberFormat="1" applyFill="1" applyAlignment="1">
      <alignment horizontal="right" vertical="center"/>
    </xf>
    <xf numFmtId="164" fontId="2" fillId="0" borderId="2" xfId="1" applyFont="1" applyFill="1" applyBorder="1" applyAlignment="1">
      <alignment horizontal="center" vertical="center"/>
    </xf>
    <xf numFmtId="42" fontId="2" fillId="4" borderId="0" xfId="0" applyNumberFormat="1" applyFont="1" applyFill="1"/>
    <xf numFmtId="42" fontId="2" fillId="0" borderId="0" xfId="0" applyNumberFormat="1" applyFont="1"/>
    <xf numFmtId="164" fontId="4" fillId="4" borderId="0" xfId="0" applyNumberFormat="1" applyFont="1" applyFill="1"/>
    <xf numFmtId="167" fontId="3" fillId="0" borderId="2" xfId="6" applyNumberFormat="1" applyFont="1" applyFill="1" applyBorder="1" applyAlignment="1">
      <alignment horizontal="right" vertical="center" wrapText="1"/>
    </xf>
    <xf numFmtId="166" fontId="3" fillId="0" borderId="0" xfId="0" applyNumberFormat="1" applyFont="1"/>
    <xf numFmtId="0" fontId="3" fillId="37" borderId="1" xfId="0" applyFont="1" applyFill="1" applyBorder="1" applyAlignment="1">
      <alignment horizontal="justify" vertical="center" wrapText="1"/>
    </xf>
    <xf numFmtId="0" fontId="3" fillId="37" borderId="1" xfId="2" applyFont="1" applyFill="1" applyBorder="1" applyAlignment="1">
      <alignment horizontal="justify" vertical="center"/>
    </xf>
    <xf numFmtId="0" fontId="3" fillId="37" borderId="1" xfId="0" applyFont="1" applyFill="1" applyBorder="1" applyAlignment="1">
      <alignment horizontal="justify" vertical="center"/>
    </xf>
    <xf numFmtId="0" fontId="3" fillId="37" borderId="35" xfId="0" applyFont="1" applyFill="1" applyBorder="1" applyAlignment="1">
      <alignment horizontal="justify" vertical="center" wrapText="1"/>
    </xf>
    <xf numFmtId="0" fontId="3" fillId="37" borderId="6" xfId="0" applyFont="1" applyFill="1" applyBorder="1" applyAlignment="1">
      <alignment horizontal="justify" vertical="center" wrapText="1"/>
    </xf>
    <xf numFmtId="3" fontId="24" fillId="0" borderId="23" xfId="0" applyNumberFormat="1" applyFont="1" applyFill="1" applyBorder="1" applyAlignment="1">
      <alignment horizontal="right" vertical="center" wrapText="1"/>
    </xf>
    <xf numFmtId="0" fontId="24" fillId="0" borderId="22" xfId="0" applyFont="1" applyFill="1" applyBorder="1" applyAlignment="1">
      <alignment horizontal="justify" vertical="center" wrapText="1"/>
    </xf>
    <xf numFmtId="164" fontId="3" fillId="15" borderId="96" xfId="1" applyFont="1" applyFill="1" applyBorder="1" applyAlignment="1">
      <alignment horizontal="center" vertical="center"/>
    </xf>
    <xf numFmtId="41" fontId="0" fillId="0" borderId="39" xfId="0" applyNumberFormat="1" applyFill="1" applyBorder="1" applyAlignment="1">
      <alignment horizontal="center" vertical="center"/>
    </xf>
    <xf numFmtId="41" fontId="0" fillId="0" borderId="8" xfId="0" applyNumberFormat="1" applyFill="1" applyBorder="1" applyAlignment="1">
      <alignment horizontal="center" vertical="center"/>
    </xf>
    <xf numFmtId="41" fontId="0" fillId="0" borderId="75" xfId="0" applyNumberFormat="1" applyFill="1" applyBorder="1" applyAlignment="1">
      <alignment horizontal="center" vertical="center"/>
    </xf>
    <xf numFmtId="164" fontId="3" fillId="18" borderId="96" xfId="0" applyNumberFormat="1" applyFont="1" applyFill="1" applyBorder="1" applyAlignment="1">
      <alignment horizontal="center" vertical="center"/>
    </xf>
    <xf numFmtId="164" fontId="0" fillId="0" borderId="39" xfId="1" applyFont="1" applyFill="1" applyBorder="1" applyAlignment="1">
      <alignment horizontal="center" vertical="center"/>
    </xf>
    <xf numFmtId="164" fontId="0" fillId="0" borderId="52" xfId="1" applyFont="1" applyFill="1" applyBorder="1" applyAlignment="1">
      <alignment horizontal="center" vertical="center"/>
    </xf>
    <xf numFmtId="164" fontId="3" fillId="15" borderId="55" xfId="1" applyFont="1" applyFill="1" applyBorder="1" applyAlignment="1">
      <alignment horizontal="center" vertical="center"/>
    </xf>
    <xf numFmtId="164" fontId="3" fillId="15" borderId="50" xfId="1" applyFont="1" applyFill="1" applyBorder="1" applyAlignment="1">
      <alignment horizontal="center" vertical="center"/>
    </xf>
    <xf numFmtId="41" fontId="0" fillId="0" borderId="71" xfId="0" applyNumberFormat="1" applyFill="1" applyBorder="1" applyAlignment="1">
      <alignment horizontal="center" vertical="center"/>
    </xf>
    <xf numFmtId="41" fontId="0" fillId="0" borderId="72" xfId="0" applyNumberFormat="1" applyFill="1" applyBorder="1" applyAlignment="1">
      <alignment horizontal="center" vertical="center"/>
    </xf>
    <xf numFmtId="41" fontId="0" fillId="0" borderId="81" xfId="0" applyNumberFormat="1" applyFill="1" applyBorder="1" applyAlignment="1">
      <alignment horizontal="center" vertical="center"/>
    </xf>
    <xf numFmtId="164" fontId="3" fillId="18" borderId="50" xfId="1" applyFont="1" applyFill="1" applyBorder="1" applyAlignment="1">
      <alignment horizontal="center" vertical="center"/>
    </xf>
    <xf numFmtId="164" fontId="0" fillId="0" borderId="71" xfId="1" applyFont="1" applyFill="1" applyBorder="1" applyAlignment="1">
      <alignment horizontal="center" vertical="center"/>
    </xf>
    <xf numFmtId="164" fontId="0" fillId="0" borderId="73" xfId="1" applyFont="1" applyFill="1" applyBorder="1" applyAlignment="1">
      <alignment horizontal="center" vertical="center"/>
    </xf>
    <xf numFmtId="166" fontId="2" fillId="0" borderId="8" xfId="0" applyNumberFormat="1" applyFont="1" applyFill="1" applyBorder="1" applyAlignment="1">
      <alignment horizontal="right" vertical="center" wrapText="1"/>
    </xf>
    <xf numFmtId="0" fontId="3" fillId="0" borderId="102" xfId="0" applyFont="1" applyFill="1" applyBorder="1" applyAlignment="1">
      <alignment horizontal="left" vertical="center" wrapText="1"/>
    </xf>
    <xf numFmtId="42" fontId="2" fillId="0" borderId="2" xfId="8" applyFont="1" applyFill="1" applyBorder="1" applyAlignment="1">
      <alignment horizontal="right" vertical="center" wrapText="1"/>
    </xf>
    <xf numFmtId="164" fontId="2" fillId="0" borderId="0" xfId="0" applyNumberFormat="1" applyFont="1" applyFill="1" applyAlignment="1">
      <alignment vertical="center"/>
    </xf>
    <xf numFmtId="0" fontId="2" fillId="0" borderId="1" xfId="0" applyFont="1" applyFill="1" applyBorder="1" applyAlignment="1">
      <alignment horizontal="center" vertical="center" wrapText="1"/>
    </xf>
    <xf numFmtId="42" fontId="3" fillId="0" borderId="72" xfId="8" applyFont="1" applyFill="1" applyBorder="1" applyAlignment="1">
      <alignment horizontal="right" vertical="center" wrapText="1"/>
    </xf>
    <xf numFmtId="0" fontId="0" fillId="0" borderId="2" xfId="0"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166" fontId="3" fillId="0" borderId="2" xfId="0" applyNumberFormat="1" applyFont="1" applyBorder="1" applyAlignment="1">
      <alignment horizontal="right" vertical="center" wrapText="1"/>
    </xf>
    <xf numFmtId="1" fontId="0" fillId="0" borderId="0" xfId="0" applyNumberFormat="1" applyFont="1"/>
    <xf numFmtId="42" fontId="0" fillId="0" borderId="0" xfId="0" applyNumberFormat="1"/>
    <xf numFmtId="0" fontId="2" fillId="0" borderId="2" xfId="0" applyFont="1" applyFill="1" applyBorder="1" applyAlignment="1">
      <alignment horizontal="center" vertical="center" wrapText="1"/>
    </xf>
    <xf numFmtId="42" fontId="34" fillId="0" borderId="0" xfId="0" applyNumberFormat="1" applyFont="1"/>
    <xf numFmtId="3" fontId="2" fillId="0" borderId="0" xfId="0" applyNumberFormat="1" applyFont="1" applyFill="1"/>
    <xf numFmtId="3" fontId="2" fillId="0" borderId="0" xfId="0" applyNumberFormat="1" applyFont="1"/>
    <xf numFmtId="3" fontId="3" fillId="0" borderId="0" xfId="0" applyNumberFormat="1" applyFont="1" applyFill="1"/>
    <xf numFmtId="3" fontId="0" fillId="0" borderId="0" xfId="0" applyNumberFormat="1" applyFont="1" applyFill="1"/>
    <xf numFmtId="0" fontId="2" fillId="0" borderId="2" xfId="0" applyFont="1" applyFill="1" applyBorder="1" applyAlignment="1">
      <alignment horizontal="center" vertical="center" wrapText="1"/>
    </xf>
    <xf numFmtId="166" fontId="2" fillId="0" borderId="2" xfId="3" applyNumberFormat="1" applyFont="1" applyFill="1" applyBorder="1" applyAlignment="1">
      <alignment horizontal="center" vertical="center" wrapText="1"/>
    </xf>
    <xf numFmtId="166" fontId="2" fillId="0" borderId="3" xfId="8" applyNumberFormat="1" applyFont="1" applyFill="1" applyBorder="1" applyAlignment="1">
      <alignment horizontal="center" vertical="center"/>
    </xf>
    <xf numFmtId="44" fontId="2" fillId="0" borderId="2" xfId="7" applyFont="1" applyFill="1" applyBorder="1" applyAlignment="1">
      <alignment horizontal="center" vertical="center" wrapText="1"/>
    </xf>
    <xf numFmtId="170" fontId="2" fillId="0" borderId="2" xfId="7"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14" borderId="11" xfId="0"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0" fontId="4" fillId="14" borderId="11" xfId="0" applyFont="1" applyFill="1" applyBorder="1" applyAlignment="1">
      <alignment vertical="center" wrapText="1"/>
    </xf>
    <xf numFmtId="166" fontId="50" fillId="4" borderId="12" xfId="0" applyNumberFormat="1" applyFont="1" applyFill="1" applyBorder="1" applyAlignment="1">
      <alignment horizontal="center" vertical="center" wrapText="1"/>
    </xf>
    <xf numFmtId="166" fontId="50" fillId="4" borderId="38" xfId="0" applyNumberFormat="1" applyFont="1" applyFill="1" applyBorder="1" applyAlignment="1">
      <alignment horizontal="center" vertical="center" wrapText="1"/>
    </xf>
    <xf numFmtId="0" fontId="28" fillId="0" borderId="0" xfId="0" applyFont="1"/>
    <xf numFmtId="0" fontId="2" fillId="0" borderId="7" xfId="0" applyFont="1" applyFill="1" applyBorder="1" applyAlignment="1">
      <alignment horizontal="center" vertical="center" wrapText="1"/>
    </xf>
    <xf numFmtId="166" fontId="3" fillId="16" borderId="74" xfId="0" applyNumberFormat="1" applyFont="1" applyFill="1" applyBorder="1" applyAlignment="1">
      <alignment horizontal="center" vertical="center" wrapText="1"/>
    </xf>
    <xf numFmtId="0" fontId="17" fillId="14" borderId="11" xfId="0" applyFont="1" applyFill="1" applyBorder="1" applyAlignment="1">
      <alignment vertical="center"/>
    </xf>
    <xf numFmtId="0" fontId="4" fillId="14" borderId="11" xfId="0" applyFont="1" applyFill="1" applyBorder="1"/>
    <xf numFmtId="0" fontId="3" fillId="37" borderId="35" xfId="0" applyFont="1" applyFill="1" applyBorder="1" applyAlignment="1">
      <alignment horizontal="justify" vertical="center"/>
    </xf>
    <xf numFmtId="0" fontId="3"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166" fontId="2" fillId="0" borderId="18" xfId="0" applyNumberFormat="1" applyFont="1" applyFill="1" applyBorder="1" applyAlignment="1">
      <alignment horizontal="center" vertical="center"/>
    </xf>
    <xf numFmtId="0" fontId="20" fillId="1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pplyAlignment="1">
      <alignment horizontal="center"/>
    </xf>
    <xf numFmtId="0" fontId="20" fillId="14" borderId="49" xfId="0" applyFont="1" applyFill="1" applyBorder="1" applyAlignment="1">
      <alignment horizontal="center" vertical="center" wrapText="1"/>
    </xf>
    <xf numFmtId="41" fontId="14" fillId="17" borderId="2" xfId="1" applyNumberFormat="1" applyFont="1" applyFill="1" applyBorder="1" applyAlignment="1">
      <alignment horizontal="center" vertical="center"/>
    </xf>
    <xf numFmtId="0" fontId="4" fillId="14" borderId="11"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4" borderId="51" xfId="0" applyFont="1" applyFill="1" applyBorder="1" applyAlignment="1">
      <alignment horizontal="center" vertical="center" wrapText="1"/>
    </xf>
    <xf numFmtId="0" fontId="20" fillId="14" borderId="11" xfId="0" applyFont="1" applyFill="1" applyBorder="1" applyAlignment="1">
      <alignment horizontal="center" vertical="center" wrapText="1"/>
    </xf>
    <xf numFmtId="42" fontId="20" fillId="14" borderId="11" xfId="8" applyNumberFormat="1" applyFont="1" applyFill="1" applyBorder="1" applyAlignment="1">
      <alignment horizontal="center" vertical="center" wrapText="1"/>
    </xf>
    <xf numFmtId="166" fontId="4" fillId="14" borderId="11" xfId="0" applyNumberFormat="1" applyFont="1" applyFill="1" applyBorder="1" applyAlignment="1">
      <alignment horizontal="center" vertical="center" wrapText="1"/>
    </xf>
    <xf numFmtId="1" fontId="17" fillId="14" borderId="11" xfId="0" applyNumberFormat="1" applyFont="1" applyFill="1" applyBorder="1" applyAlignment="1">
      <alignment horizontal="center" vertical="center" wrapText="1"/>
    </xf>
    <xf numFmtId="1" fontId="17" fillId="14" borderId="50" xfId="0" applyNumberFormat="1" applyFont="1" applyFill="1" applyBorder="1" applyAlignment="1">
      <alignment horizontal="center" vertical="center" wrapText="1"/>
    </xf>
    <xf numFmtId="0" fontId="0" fillId="0" borderId="0" xfId="0" applyAlignment="1">
      <alignment horizontal="center"/>
    </xf>
    <xf numFmtId="0" fontId="2" fillId="16" borderId="5" xfId="0" applyFont="1" applyFill="1" applyBorder="1"/>
    <xf numFmtId="49" fontId="2" fillId="16" borderId="43" xfId="0" applyNumberFormat="1" applyFont="1" applyFill="1" applyBorder="1"/>
    <xf numFmtId="0" fontId="0" fillId="0" borderId="82" xfId="0" applyBorder="1"/>
    <xf numFmtId="41" fontId="3" fillId="0" borderId="44" xfId="0" applyNumberFormat="1" applyFont="1" applyFill="1" applyBorder="1" applyAlignment="1">
      <alignment horizontal="center" vertical="center"/>
    </xf>
    <xf numFmtId="41" fontId="3" fillId="33" borderId="52" xfId="0" applyNumberFormat="1" applyFont="1" applyFill="1" applyBorder="1" applyAlignment="1">
      <alignment horizontal="center" vertical="center"/>
    </xf>
    <xf numFmtId="41" fontId="3" fillId="33" borderId="73" xfId="0" applyNumberFormat="1" applyFont="1" applyFill="1" applyBorder="1" applyAlignment="1">
      <alignment horizontal="center" vertical="center"/>
    </xf>
    <xf numFmtId="41" fontId="3" fillId="33" borderId="27" xfId="0" applyNumberFormat="1" applyFont="1" applyFill="1" applyBorder="1" applyAlignment="1">
      <alignment horizontal="center" vertical="center"/>
    </xf>
    <xf numFmtId="41" fontId="3" fillId="33" borderId="21" xfId="0" applyNumberFormat="1" applyFont="1" applyFill="1" applyBorder="1" applyAlignment="1">
      <alignment horizontal="center" vertical="center"/>
    </xf>
    <xf numFmtId="0" fontId="20" fillId="14" borderId="76" xfId="0" applyFont="1" applyFill="1" applyBorder="1" applyAlignment="1">
      <alignment vertical="center" wrapText="1"/>
    </xf>
    <xf numFmtId="3" fontId="20" fillId="14" borderId="11" xfId="0" applyNumberFormat="1" applyFont="1" applyFill="1" applyBorder="1" applyAlignment="1">
      <alignment vertical="center" wrapText="1"/>
    </xf>
    <xf numFmtId="166" fontId="0" fillId="0" borderId="2" xfId="0" applyNumberFormat="1" applyBorder="1"/>
    <xf numFmtId="166" fontId="4" fillId="14" borderId="11" xfId="0" applyNumberFormat="1" applyFont="1" applyFill="1" applyBorder="1" applyAlignment="1">
      <alignment vertical="center" wrapText="1"/>
    </xf>
    <xf numFmtId="0" fontId="29" fillId="14" borderId="50" xfId="0" applyFont="1" applyFill="1" applyBorder="1" applyAlignment="1">
      <alignment horizontal="center" vertical="center" wrapText="1"/>
    </xf>
    <xf numFmtId="0" fontId="29" fillId="14" borderId="54" xfId="0" applyFont="1" applyFill="1" applyBorder="1" applyAlignment="1">
      <alignment horizontal="center" vertical="center" wrapText="1"/>
    </xf>
    <xf numFmtId="41" fontId="14" fillId="17" borderId="26" xfId="1" applyNumberFormat="1" applyFont="1" applyFill="1" applyBorder="1" applyAlignment="1">
      <alignment horizontal="center" vertical="center"/>
    </xf>
    <xf numFmtId="41" fontId="14" fillId="17" borderId="18" xfId="1" applyNumberFormat="1" applyFont="1" applyFill="1" applyBorder="1" applyAlignment="1">
      <alignment horizontal="center" vertical="center"/>
    </xf>
    <xf numFmtId="3" fontId="27" fillId="16" borderId="18" xfId="1" applyNumberFormat="1" applyFont="1" applyFill="1" applyBorder="1" applyAlignment="1">
      <alignment horizontal="right" vertical="center"/>
    </xf>
    <xf numFmtId="3" fontId="14" fillId="16" borderId="18" xfId="1" applyNumberFormat="1" applyFont="1" applyFill="1" applyBorder="1" applyAlignment="1">
      <alignment horizontal="right" vertical="center"/>
    </xf>
    <xf numFmtId="3" fontId="27" fillId="17" borderId="18" xfId="1" applyNumberFormat="1" applyFont="1" applyFill="1" applyBorder="1" applyAlignment="1">
      <alignment horizontal="right" vertical="center"/>
    </xf>
    <xf numFmtId="3" fontId="14" fillId="17" borderId="18" xfId="1" applyNumberFormat="1" applyFont="1" applyFill="1" applyBorder="1" applyAlignment="1">
      <alignment horizontal="right" vertical="center"/>
    </xf>
    <xf numFmtId="3" fontId="14" fillId="16" borderId="45" xfId="1" applyNumberFormat="1" applyFont="1" applyFill="1" applyBorder="1" applyAlignment="1">
      <alignment horizontal="right" vertical="center"/>
    </xf>
    <xf numFmtId="3" fontId="39" fillId="28" borderId="12" xfId="0" applyNumberFormat="1" applyFont="1" applyFill="1" applyBorder="1"/>
    <xf numFmtId="0" fontId="8" fillId="26" borderId="21" xfId="0" applyFont="1" applyFill="1" applyBorder="1" applyAlignment="1">
      <alignment horizontal="center" vertical="center"/>
    </xf>
    <xf numFmtId="3" fontId="8" fillId="16" borderId="81" xfId="1" applyNumberFormat="1" applyFont="1" applyFill="1" applyBorder="1" applyAlignment="1">
      <alignment horizontal="right" vertical="center"/>
    </xf>
    <xf numFmtId="3" fontId="27" fillId="28" borderId="37" xfId="0" applyNumberFormat="1" applyFont="1" applyFill="1" applyBorder="1"/>
    <xf numFmtId="3" fontId="27" fillId="28" borderId="17" xfId="0" applyNumberFormat="1" applyFont="1" applyFill="1" applyBorder="1"/>
    <xf numFmtId="3" fontId="27" fillId="28" borderId="38" xfId="0" applyNumberFormat="1" applyFont="1" applyFill="1" applyBorder="1"/>
    <xf numFmtId="0" fontId="0" fillId="0" borderId="100" xfId="0" applyBorder="1"/>
    <xf numFmtId="164" fontId="17" fillId="14" borderId="82" xfId="1" applyFont="1" applyFill="1" applyBorder="1" applyAlignment="1">
      <alignment vertical="center"/>
    </xf>
    <xf numFmtId="164" fontId="0" fillId="15" borderId="38" xfId="0" applyNumberFormat="1" applyFill="1" applyBorder="1" applyAlignment="1">
      <alignment vertical="center"/>
    </xf>
    <xf numFmtId="3" fontId="0" fillId="0" borderId="18" xfId="0" applyNumberFormat="1" applyFill="1" applyBorder="1" applyAlignment="1">
      <alignment vertical="center"/>
    </xf>
    <xf numFmtId="3" fontId="0" fillId="0" borderId="45" xfId="0" applyNumberFormat="1" applyFill="1" applyBorder="1" applyAlignment="1">
      <alignment vertical="center"/>
    </xf>
    <xf numFmtId="3" fontId="0" fillId="0" borderId="23" xfId="1" applyNumberFormat="1" applyFont="1" applyFill="1" applyBorder="1" applyAlignment="1">
      <alignment vertical="center"/>
    </xf>
    <xf numFmtId="3" fontId="0" fillId="0" borderId="71" xfId="0" applyNumberFormat="1" applyFill="1" applyBorder="1" applyAlignment="1">
      <alignment vertical="center"/>
    </xf>
    <xf numFmtId="3" fontId="0" fillId="0" borderId="72" xfId="0" applyNumberFormat="1" applyFill="1" applyBorder="1" applyAlignment="1">
      <alignment vertical="center"/>
    </xf>
    <xf numFmtId="3" fontId="0" fillId="0" borderId="81" xfId="0" applyNumberFormat="1" applyFill="1" applyBorder="1" applyAlignment="1">
      <alignment vertical="center"/>
    </xf>
    <xf numFmtId="3" fontId="0" fillId="5" borderId="11" xfId="0" applyNumberFormat="1" applyFill="1" applyBorder="1" applyAlignment="1">
      <alignment vertical="center"/>
    </xf>
    <xf numFmtId="3" fontId="0" fillId="0" borderId="76" xfId="1" applyNumberFormat="1" applyFont="1" applyFill="1" applyBorder="1" applyAlignment="1">
      <alignment vertical="center"/>
    </xf>
    <xf numFmtId="164" fontId="17" fillId="14" borderId="11" xfId="1" applyFont="1" applyFill="1" applyBorder="1" applyAlignment="1">
      <alignment vertical="center"/>
    </xf>
    <xf numFmtId="164" fontId="0" fillId="15" borderId="13" xfId="0" applyNumberFormat="1" applyFill="1" applyBorder="1" applyAlignment="1">
      <alignment vertical="center"/>
    </xf>
    <xf numFmtId="164" fontId="0" fillId="15" borderId="11" xfId="0" applyNumberFormat="1" applyFill="1" applyBorder="1" applyAlignment="1">
      <alignment vertical="center"/>
    </xf>
    <xf numFmtId="3" fontId="0" fillId="0" borderId="104" xfId="0" applyNumberFormat="1" applyFill="1" applyBorder="1" applyAlignment="1">
      <alignment vertical="center"/>
    </xf>
    <xf numFmtId="3" fontId="0" fillId="0" borderId="73" xfId="0" applyNumberFormat="1" applyFill="1" applyBorder="1" applyAlignment="1">
      <alignment vertical="center"/>
    </xf>
    <xf numFmtId="3" fontId="0" fillId="0" borderId="51" xfId="1" applyNumberFormat="1" applyFont="1" applyFill="1" applyBorder="1" applyAlignment="1">
      <alignment vertical="center"/>
    </xf>
    <xf numFmtId="41" fontId="3" fillId="0" borderId="23" xfId="5" applyNumberFormat="1" applyFont="1" applyFill="1" applyBorder="1" applyAlignment="1">
      <alignment horizontal="center" vertical="center" wrapText="1"/>
    </xf>
    <xf numFmtId="41" fontId="3" fillId="0" borderId="79" xfId="0" applyNumberFormat="1" applyFont="1" applyFill="1" applyBorder="1" applyAlignment="1">
      <alignment horizontal="center" vertical="center"/>
    </xf>
    <xf numFmtId="41" fontId="3" fillId="17" borderId="82" xfId="0" applyNumberFormat="1" applyFont="1" applyFill="1" applyBorder="1" applyAlignment="1">
      <alignment horizontal="center" vertical="center" wrapText="1"/>
    </xf>
    <xf numFmtId="41" fontId="3" fillId="0" borderId="97" xfId="0" applyNumberFormat="1" applyFont="1" applyFill="1" applyBorder="1" applyAlignment="1">
      <alignment horizontal="center" vertical="center" wrapText="1"/>
    </xf>
    <xf numFmtId="41" fontId="3" fillId="18" borderId="82" xfId="0" applyNumberFormat="1" applyFont="1" applyFill="1" applyBorder="1" applyAlignment="1">
      <alignment horizontal="center" vertical="center" wrapText="1"/>
    </xf>
    <xf numFmtId="41" fontId="3" fillId="0" borderId="79" xfId="0" applyNumberFormat="1" applyFont="1" applyFill="1" applyBorder="1" applyAlignment="1">
      <alignment horizontal="center" vertical="center" wrapText="1"/>
    </xf>
    <xf numFmtId="41" fontId="3" fillId="0" borderId="83" xfId="0" applyNumberFormat="1" applyFont="1" applyFill="1" applyBorder="1" applyAlignment="1">
      <alignment horizontal="center" vertical="center" wrapText="1"/>
    </xf>
    <xf numFmtId="41" fontId="2" fillId="0" borderId="79" xfId="0" applyNumberFormat="1" applyFont="1" applyFill="1" applyBorder="1" applyAlignment="1">
      <alignment horizontal="center" vertical="center" wrapText="1"/>
    </xf>
    <xf numFmtId="41" fontId="2" fillId="0" borderId="83" xfId="0" applyNumberFormat="1" applyFont="1" applyFill="1" applyBorder="1" applyAlignment="1">
      <alignment horizontal="center" vertical="center" wrapText="1"/>
    </xf>
    <xf numFmtId="41" fontId="3" fillId="0" borderId="97" xfId="5" applyNumberFormat="1" applyFont="1" applyFill="1" applyBorder="1" applyAlignment="1">
      <alignment horizontal="center" vertical="center" wrapText="1"/>
    </xf>
    <xf numFmtId="41" fontId="3" fillId="18" borderId="82" xfId="0" applyNumberFormat="1" applyFont="1" applyFill="1" applyBorder="1" applyAlignment="1">
      <alignment horizontal="center" vertical="center"/>
    </xf>
    <xf numFmtId="41" fontId="3" fillId="33" borderId="95" xfId="0" applyNumberFormat="1" applyFont="1" applyFill="1" applyBorder="1" applyAlignment="1">
      <alignment horizontal="center" vertical="center"/>
    </xf>
    <xf numFmtId="41" fontId="17" fillId="14" borderId="82" xfId="0" applyNumberFormat="1" applyFont="1" applyFill="1" applyBorder="1" applyAlignment="1">
      <alignment vertical="center"/>
    </xf>
    <xf numFmtId="0" fontId="20" fillId="17" borderId="36" xfId="0" applyFont="1" applyFill="1" applyBorder="1" applyAlignment="1">
      <alignment horizontal="center" vertical="center"/>
    </xf>
    <xf numFmtId="0" fontId="20" fillId="16" borderId="44" xfId="0" applyFont="1" applyFill="1" applyBorder="1" applyAlignment="1">
      <alignment horizontal="center" vertical="center" wrapText="1"/>
    </xf>
    <xf numFmtId="0" fontId="3" fillId="0" borderId="4" xfId="0" applyFont="1" applyFill="1" applyBorder="1" applyAlignment="1">
      <alignment horizontal="center" vertical="center" wrapText="1"/>
    </xf>
    <xf numFmtId="167" fontId="4" fillId="18" borderId="36" xfId="6" applyNumberFormat="1" applyFont="1" applyFill="1" applyBorder="1" applyAlignment="1">
      <alignment horizontal="center" vertical="center" wrapText="1"/>
    </xf>
    <xf numFmtId="167" fontId="20" fillId="16" borderId="4" xfId="6" applyNumberFormat="1" applyFont="1" applyFill="1" applyBorder="1" applyAlignment="1">
      <alignment horizontal="center" vertical="center" wrapText="1"/>
    </xf>
    <xf numFmtId="167" fontId="4" fillId="17" borderId="36" xfId="6" applyNumberFormat="1" applyFont="1" applyFill="1" applyBorder="1" applyAlignment="1">
      <alignment horizontal="center" vertical="center" wrapText="1"/>
    </xf>
    <xf numFmtId="167" fontId="20" fillId="16" borderId="44" xfId="6" applyNumberFormat="1" applyFont="1" applyFill="1" applyBorder="1" applyAlignment="1">
      <alignment horizontal="center" vertical="center" wrapText="1"/>
    </xf>
    <xf numFmtId="166" fontId="3" fillId="0" borderId="9" xfId="0" applyNumberFormat="1" applyFont="1" applyFill="1" applyBorder="1" applyAlignment="1">
      <alignment horizontal="right" vertical="center" wrapText="1"/>
    </xf>
    <xf numFmtId="170" fontId="3" fillId="0" borderId="4" xfId="7" applyNumberFormat="1" applyFont="1" applyFill="1" applyBorder="1" applyAlignment="1">
      <alignment horizontal="center" vertical="center" wrapText="1"/>
    </xf>
    <xf numFmtId="44" fontId="3" fillId="0" borderId="4" xfId="7"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3" fillId="0" borderId="32" xfId="0" applyFont="1" applyFill="1" applyBorder="1" applyAlignment="1">
      <alignment horizontal="center" vertical="center" wrapText="1"/>
    </xf>
    <xf numFmtId="167" fontId="3" fillId="0" borderId="4" xfId="0" applyNumberFormat="1" applyFont="1" applyFill="1" applyBorder="1" applyAlignment="1">
      <alignment horizontal="center" vertical="center" wrapText="1"/>
    </xf>
    <xf numFmtId="0" fontId="20" fillId="16" borderId="4" xfId="0" applyFont="1" applyFill="1" applyBorder="1" applyAlignment="1">
      <alignment horizontal="justify" vertical="center" wrapText="1"/>
    </xf>
    <xf numFmtId="0" fontId="2" fillId="16" borderId="4" xfId="0" applyFont="1" applyFill="1" applyBorder="1" applyAlignment="1">
      <alignment horizontal="center" vertical="center" wrapText="1"/>
    </xf>
    <xf numFmtId="0" fontId="3" fillId="18" borderId="36" xfId="0" applyFont="1" applyFill="1" applyBorder="1" applyAlignment="1">
      <alignment horizontal="center" vertical="center" wrapText="1"/>
    </xf>
    <xf numFmtId="0" fontId="3" fillId="0" borderId="9" xfId="0" applyFont="1" applyFill="1" applyBorder="1" applyAlignment="1">
      <alignment horizontal="center" vertical="center" wrapText="1"/>
    </xf>
    <xf numFmtId="167" fontId="4" fillId="18" borderId="36" xfId="6" applyNumberFormat="1" applyFont="1" applyFill="1" applyBorder="1" applyAlignment="1">
      <alignment horizontal="center" vertical="center"/>
    </xf>
    <xf numFmtId="0" fontId="20" fillId="33" borderId="44" xfId="0" applyFont="1" applyFill="1" applyBorder="1" applyAlignment="1">
      <alignment horizontal="justify" vertical="center" wrapText="1"/>
    </xf>
    <xf numFmtId="166" fontId="4" fillId="14" borderId="80" xfId="0" applyNumberFormat="1" applyFont="1" applyFill="1" applyBorder="1" applyAlignment="1">
      <alignment horizontal="right" vertical="center"/>
    </xf>
    <xf numFmtId="167" fontId="20" fillId="17" borderId="38" xfId="6" applyNumberFormat="1" applyFont="1" applyFill="1" applyBorder="1" applyAlignment="1">
      <alignment horizontal="center" vertical="center"/>
    </xf>
    <xf numFmtId="167" fontId="20" fillId="16" borderId="43" xfId="6" applyNumberFormat="1" applyFont="1" applyFill="1" applyBorder="1" applyAlignment="1">
      <alignment horizontal="center" vertical="center" wrapText="1"/>
    </xf>
    <xf numFmtId="1" fontId="3" fillId="0" borderId="18" xfId="6" applyNumberFormat="1" applyFont="1" applyFill="1" applyBorder="1" applyAlignment="1">
      <alignment horizontal="center" vertical="center" wrapText="1"/>
    </xf>
    <xf numFmtId="167" fontId="3" fillId="0" borderId="18" xfId="6" applyNumberFormat="1" applyFont="1" applyFill="1" applyBorder="1" applyAlignment="1">
      <alignment horizontal="center" vertical="center" wrapText="1"/>
    </xf>
    <xf numFmtId="167" fontId="4" fillId="18" borderId="38" xfId="6" applyNumberFormat="1" applyFont="1" applyFill="1" applyBorder="1" applyAlignment="1">
      <alignment horizontal="center" vertical="center" wrapText="1"/>
    </xf>
    <xf numFmtId="167" fontId="20" fillId="16" borderId="18" xfId="6" applyNumberFormat="1" applyFont="1" applyFill="1" applyBorder="1" applyAlignment="1">
      <alignment horizontal="center" vertical="center" wrapText="1"/>
    </xf>
    <xf numFmtId="167" fontId="4" fillId="17" borderId="38" xfId="6" applyNumberFormat="1" applyFont="1" applyFill="1" applyBorder="1" applyAlignment="1">
      <alignment horizontal="center" vertical="center" wrapText="1"/>
    </xf>
    <xf numFmtId="167" fontId="2" fillId="17" borderId="38" xfId="6" applyNumberFormat="1" applyFont="1" applyFill="1" applyBorder="1" applyAlignment="1">
      <alignment horizontal="center" vertical="center" wrapText="1"/>
    </xf>
    <xf numFmtId="167" fontId="3" fillId="0" borderId="45" xfId="6" applyNumberFormat="1" applyFont="1" applyFill="1" applyBorder="1" applyAlignment="1">
      <alignment horizontal="center" vertical="center" wrapText="1"/>
    </xf>
    <xf numFmtId="167" fontId="3" fillId="0" borderId="18" xfId="6" applyNumberFormat="1" applyFont="1" applyFill="1" applyBorder="1" applyAlignment="1">
      <alignment horizontal="right" vertical="center" wrapText="1"/>
    </xf>
    <xf numFmtId="167" fontId="2" fillId="16" borderId="18" xfId="6" applyNumberFormat="1" applyFont="1" applyFill="1" applyBorder="1" applyAlignment="1">
      <alignment horizontal="center" vertical="center" wrapText="1"/>
    </xf>
    <xf numFmtId="167" fontId="3" fillId="18" borderId="38" xfId="6" applyNumberFormat="1" applyFont="1" applyFill="1" applyBorder="1" applyAlignment="1">
      <alignment horizontal="center" vertical="center" wrapText="1"/>
    </xf>
    <xf numFmtId="167" fontId="3" fillId="0" borderId="18" xfId="0" applyNumberFormat="1" applyFont="1" applyFill="1" applyBorder="1" applyAlignment="1">
      <alignment horizontal="center" vertical="center" wrapText="1"/>
    </xf>
    <xf numFmtId="167" fontId="4" fillId="18" borderId="38" xfId="6" applyNumberFormat="1" applyFont="1" applyFill="1" applyBorder="1" applyAlignment="1">
      <alignment horizontal="center" vertical="center"/>
    </xf>
    <xf numFmtId="167" fontId="3" fillId="16" borderId="79" xfId="0" applyNumberFormat="1" applyFont="1" applyFill="1" applyBorder="1" applyAlignment="1">
      <alignment horizontal="right" vertical="center" wrapText="1"/>
    </xf>
    <xf numFmtId="167" fontId="2" fillId="33" borderId="110" xfId="6" applyNumberFormat="1" applyFont="1" applyFill="1" applyBorder="1" applyAlignment="1">
      <alignment horizontal="right" vertical="center" wrapText="1"/>
    </xf>
    <xf numFmtId="167" fontId="20" fillId="17" borderId="77" xfId="6" applyNumberFormat="1" applyFont="1" applyFill="1" applyBorder="1" applyAlignment="1">
      <alignment horizontal="center" vertical="center"/>
    </xf>
    <xf numFmtId="167" fontId="20" fillId="16" borderId="74" xfId="6" applyNumberFormat="1" applyFont="1" applyFill="1" applyBorder="1" applyAlignment="1">
      <alignment horizontal="center" vertical="center" wrapText="1"/>
    </xf>
    <xf numFmtId="1" fontId="3" fillId="0" borderId="8" xfId="6" applyNumberFormat="1" applyFont="1" applyFill="1" applyBorder="1" applyAlignment="1">
      <alignment horizontal="center" vertical="center" wrapText="1"/>
    </xf>
    <xf numFmtId="167" fontId="4" fillId="18" borderId="77" xfId="6" applyNumberFormat="1" applyFont="1" applyFill="1" applyBorder="1" applyAlignment="1">
      <alignment horizontal="center" vertical="center" wrapText="1"/>
    </xf>
    <xf numFmtId="167" fontId="20" fillId="16" borderId="8" xfId="6" applyNumberFormat="1" applyFont="1" applyFill="1" applyBorder="1" applyAlignment="1">
      <alignment horizontal="center" vertical="center" wrapText="1"/>
    </xf>
    <xf numFmtId="167" fontId="4" fillId="17" borderId="77" xfId="6" applyNumberFormat="1" applyFont="1" applyFill="1" applyBorder="1" applyAlignment="1">
      <alignment horizontal="center" vertical="center" wrapText="1"/>
    </xf>
    <xf numFmtId="167" fontId="2" fillId="17" borderId="77" xfId="6" applyNumberFormat="1" applyFont="1" applyFill="1" applyBorder="1" applyAlignment="1">
      <alignment horizontal="center" vertical="center" wrapText="1"/>
    </xf>
    <xf numFmtId="167" fontId="2" fillId="16" borderId="74" xfId="6" applyNumberFormat="1" applyFont="1" applyFill="1" applyBorder="1" applyAlignment="1">
      <alignment horizontal="center" vertical="center" wrapText="1"/>
    </xf>
    <xf numFmtId="167" fontId="2" fillId="16" borderId="8" xfId="6" applyNumberFormat="1" applyFont="1" applyFill="1" applyBorder="1" applyAlignment="1">
      <alignment horizontal="center" vertical="center" wrapText="1"/>
    </xf>
    <xf numFmtId="167" fontId="3" fillId="18" borderId="77" xfId="6" applyNumberFormat="1" applyFont="1" applyFill="1" applyBorder="1" applyAlignment="1">
      <alignment horizontal="center" vertical="center" wrapText="1"/>
    </xf>
    <xf numFmtId="167" fontId="4" fillId="18" borderId="77" xfId="6" applyNumberFormat="1" applyFont="1" applyFill="1" applyBorder="1" applyAlignment="1">
      <alignment horizontal="center" vertical="center"/>
    </xf>
    <xf numFmtId="167" fontId="3" fillId="16" borderId="109" xfId="0" applyNumberFormat="1" applyFont="1" applyFill="1" applyBorder="1" applyAlignment="1">
      <alignment horizontal="right" vertical="center" wrapText="1"/>
    </xf>
    <xf numFmtId="167" fontId="2" fillId="33" borderId="111" xfId="6" applyNumberFormat="1" applyFont="1" applyFill="1" applyBorder="1" applyAlignment="1">
      <alignment horizontal="right" vertical="center" wrapText="1"/>
    </xf>
    <xf numFmtId="166" fontId="4" fillId="14" borderId="41" xfId="0" applyNumberFormat="1" applyFont="1" applyFill="1" applyBorder="1" applyAlignment="1">
      <alignment horizontal="right" vertical="center"/>
    </xf>
    <xf numFmtId="167" fontId="20" fillId="17" borderId="11" xfId="6" applyNumberFormat="1" applyFont="1" applyFill="1" applyBorder="1" applyAlignment="1">
      <alignment horizontal="center" vertical="center"/>
    </xf>
    <xf numFmtId="167" fontId="20" fillId="16" borderId="104" xfId="6" applyNumberFormat="1" applyFont="1" applyFill="1" applyBorder="1" applyAlignment="1">
      <alignment horizontal="center" vertical="center" wrapText="1"/>
    </xf>
    <xf numFmtId="1" fontId="3" fillId="0" borderId="72" xfId="6" applyNumberFormat="1" applyFont="1" applyFill="1" applyBorder="1" applyAlignment="1">
      <alignment horizontal="center" vertical="center" wrapText="1"/>
    </xf>
    <xf numFmtId="167" fontId="4" fillId="18" borderId="11" xfId="6" applyNumberFormat="1" applyFont="1" applyFill="1" applyBorder="1" applyAlignment="1">
      <alignment horizontal="center" vertical="center" wrapText="1"/>
    </xf>
    <xf numFmtId="167" fontId="20" fillId="16" borderId="72" xfId="6" applyNumberFormat="1" applyFont="1" applyFill="1" applyBorder="1" applyAlignment="1">
      <alignment horizontal="center" vertical="center" wrapText="1"/>
    </xf>
    <xf numFmtId="167" fontId="4" fillId="17" borderId="11" xfId="6" applyNumberFormat="1" applyFont="1" applyFill="1" applyBorder="1" applyAlignment="1">
      <alignment horizontal="center" vertical="center" wrapText="1"/>
    </xf>
    <xf numFmtId="167" fontId="2" fillId="17" borderId="11" xfId="6" applyNumberFormat="1" applyFont="1" applyFill="1" applyBorder="1" applyAlignment="1">
      <alignment horizontal="center" vertical="center" wrapText="1"/>
    </xf>
    <xf numFmtId="167" fontId="2" fillId="16" borderId="104" xfId="6" applyNumberFormat="1" applyFont="1" applyFill="1" applyBorder="1" applyAlignment="1">
      <alignment horizontal="center" vertical="center" wrapText="1"/>
    </xf>
    <xf numFmtId="167" fontId="2" fillId="16" borderId="72" xfId="6" applyNumberFormat="1" applyFont="1" applyFill="1" applyBorder="1" applyAlignment="1">
      <alignment horizontal="center" vertical="center" wrapText="1"/>
    </xf>
    <xf numFmtId="167" fontId="3" fillId="18" borderId="11" xfId="6" applyNumberFormat="1" applyFont="1" applyFill="1" applyBorder="1" applyAlignment="1">
      <alignment horizontal="center" vertical="center" wrapText="1"/>
    </xf>
    <xf numFmtId="1" fontId="3" fillId="0" borderId="76" xfId="6" applyNumberFormat="1" applyFont="1" applyFill="1" applyBorder="1" applyAlignment="1">
      <alignment horizontal="center" vertical="center" wrapText="1"/>
    </xf>
    <xf numFmtId="167" fontId="4" fillId="18" borderId="11" xfId="6" applyNumberFormat="1" applyFont="1" applyFill="1" applyBorder="1" applyAlignment="1">
      <alignment horizontal="center" vertical="center"/>
    </xf>
    <xf numFmtId="167" fontId="3" fillId="16" borderId="104" xfId="0" applyNumberFormat="1" applyFont="1" applyFill="1" applyBorder="1" applyAlignment="1">
      <alignment horizontal="right" vertical="center" wrapText="1"/>
    </xf>
    <xf numFmtId="167" fontId="2" fillId="33" borderId="104" xfId="6" applyNumberFormat="1" applyFont="1" applyFill="1" applyBorder="1" applyAlignment="1">
      <alignment horizontal="right" vertical="center" wrapText="1"/>
    </xf>
    <xf numFmtId="166" fontId="4" fillId="14" borderId="51"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32" xfId="0" applyNumberFormat="1" applyFont="1" applyFill="1" applyBorder="1" applyAlignment="1">
      <alignment horizontal="right" vertical="center"/>
    </xf>
    <xf numFmtId="3" fontId="2" fillId="15" borderId="36" xfId="0" applyNumberFormat="1" applyFont="1" applyFill="1" applyBorder="1" applyAlignment="1">
      <alignment horizontal="right" vertical="center"/>
    </xf>
    <xf numFmtId="3" fontId="2" fillId="0" borderId="44" xfId="0" applyNumberFormat="1" applyFont="1" applyFill="1" applyBorder="1" applyAlignment="1">
      <alignment horizontal="right" vertical="center"/>
    </xf>
    <xf numFmtId="3" fontId="2" fillId="5" borderId="36" xfId="0" applyNumberFormat="1" applyFont="1" applyFill="1" applyBorder="1" applyAlignment="1">
      <alignment horizontal="right" vertical="center"/>
    </xf>
    <xf numFmtId="3" fontId="2" fillId="33" borderId="32" xfId="0" applyNumberFormat="1" applyFont="1" applyFill="1" applyBorder="1" applyAlignment="1">
      <alignment horizontal="right" vertical="center"/>
    </xf>
    <xf numFmtId="3" fontId="17" fillId="14" borderId="82" xfId="0" applyNumberFormat="1" applyFont="1" applyFill="1" applyBorder="1" applyAlignment="1">
      <alignment horizontal="right" vertical="center"/>
    </xf>
    <xf numFmtId="3" fontId="2" fillId="33" borderId="45" xfId="0" applyNumberFormat="1" applyFont="1" applyFill="1" applyBorder="1" applyAlignment="1">
      <alignment horizontal="right" vertical="center"/>
    </xf>
    <xf numFmtId="3" fontId="2" fillId="33" borderId="21" xfId="0" applyNumberFormat="1" applyFont="1" applyFill="1" applyBorder="1" applyAlignment="1">
      <alignment horizontal="right" vertical="center"/>
    </xf>
    <xf numFmtId="3" fontId="2" fillId="33" borderId="108" xfId="0" applyNumberFormat="1" applyFont="1" applyFill="1" applyBorder="1" applyAlignment="1">
      <alignment horizontal="right" vertical="center"/>
    </xf>
    <xf numFmtId="3" fontId="2" fillId="33" borderId="19" xfId="0" applyNumberFormat="1" applyFont="1" applyFill="1" applyBorder="1" applyAlignment="1">
      <alignment horizontal="right" vertical="center"/>
    </xf>
    <xf numFmtId="3" fontId="2" fillId="15" borderId="82" xfId="0" applyNumberFormat="1" applyFont="1" applyFill="1" applyBorder="1" applyAlignment="1">
      <alignment horizontal="right" vertical="center"/>
    </xf>
    <xf numFmtId="3" fontId="2" fillId="5" borderId="82" xfId="0" applyNumberFormat="1" applyFont="1" applyFill="1" applyBorder="1" applyAlignment="1">
      <alignment horizontal="right" vertical="center"/>
    </xf>
    <xf numFmtId="3" fontId="2" fillId="0" borderId="72" xfId="0" applyNumberFormat="1" applyFont="1" applyFill="1" applyBorder="1" applyAlignment="1">
      <alignment horizontal="right" vertical="center"/>
    </xf>
    <xf numFmtId="3" fontId="2" fillId="0" borderId="81" xfId="0" applyNumberFormat="1" applyFont="1" applyFill="1" applyBorder="1" applyAlignment="1">
      <alignment horizontal="right" vertical="center"/>
    </xf>
    <xf numFmtId="3" fontId="2" fillId="15" borderId="11" xfId="0" applyNumberFormat="1" applyFont="1" applyFill="1" applyBorder="1" applyAlignment="1">
      <alignment horizontal="right" vertical="center"/>
    </xf>
    <xf numFmtId="3" fontId="2" fillId="0" borderId="104" xfId="0" applyNumberFormat="1" applyFont="1" applyFill="1" applyBorder="1" applyAlignment="1">
      <alignment horizontal="right" vertical="center"/>
    </xf>
    <xf numFmtId="3" fontId="2" fillId="5" borderId="11" xfId="0" applyNumberFormat="1" applyFont="1" applyFill="1" applyBorder="1" applyAlignment="1">
      <alignment horizontal="right" vertical="center"/>
    </xf>
    <xf numFmtId="0" fontId="34" fillId="0" borderId="11" xfId="0" applyFont="1" applyBorder="1"/>
    <xf numFmtId="42" fontId="2" fillId="5" borderId="36" xfId="8" applyNumberFormat="1" applyFont="1" applyFill="1" applyBorder="1" applyAlignment="1">
      <alignment horizontal="center" vertical="center"/>
    </xf>
    <xf numFmtId="42" fontId="2" fillId="16" borderId="4" xfId="0" applyNumberFormat="1" applyFont="1" applyFill="1" applyBorder="1" applyAlignment="1">
      <alignment horizontal="center" vertical="center" wrapText="1"/>
    </xf>
    <xf numFmtId="166" fontId="2" fillId="0" borderId="4" xfId="0" applyNumberFormat="1" applyFont="1" applyFill="1" applyBorder="1" applyAlignment="1">
      <alignment horizontal="center" vertical="center" wrapText="1"/>
    </xf>
    <xf numFmtId="0" fontId="2" fillId="16" borderId="4" xfId="0" applyFont="1" applyFill="1" applyBorder="1" applyAlignment="1">
      <alignment horizontal="left" vertical="center" wrapText="1"/>
    </xf>
    <xf numFmtId="0" fontId="2" fillId="33" borderId="32" xfId="0" applyFont="1" applyFill="1" applyBorder="1" applyAlignment="1">
      <alignment horizontal="center" vertical="center" wrapText="1"/>
    </xf>
    <xf numFmtId="42" fontId="2" fillId="16" borderId="18" xfId="0" applyNumberFormat="1" applyFont="1" applyFill="1" applyBorder="1" applyAlignment="1">
      <alignment horizontal="center" vertical="center" wrapText="1"/>
    </xf>
    <xf numFmtId="170" fontId="2" fillId="16" borderId="18" xfId="7" applyNumberFormat="1" applyFont="1" applyFill="1" applyBorder="1" applyAlignment="1">
      <alignment horizontal="left" vertical="center" wrapText="1"/>
    </xf>
    <xf numFmtId="42" fontId="2" fillId="33" borderId="21" xfId="8" applyNumberFormat="1" applyFont="1" applyFill="1" applyBorder="1" applyAlignment="1">
      <alignment horizontal="center" vertical="center" wrapText="1"/>
    </xf>
    <xf numFmtId="42" fontId="2" fillId="0" borderId="78" xfId="0" applyNumberFormat="1" applyFont="1" applyFill="1" applyBorder="1" applyAlignment="1">
      <alignment horizontal="right" vertical="center"/>
    </xf>
    <xf numFmtId="42" fontId="2" fillId="33" borderId="83" xfId="8" applyNumberFormat="1" applyFont="1" applyFill="1" applyBorder="1" applyAlignment="1">
      <alignment horizontal="center" vertical="center" wrapText="1"/>
    </xf>
    <xf numFmtId="42" fontId="20" fillId="14" borderId="82" xfId="8" applyNumberFormat="1" applyFont="1" applyFill="1" applyBorder="1" applyAlignment="1">
      <alignment horizontal="center" vertical="center" wrapText="1"/>
    </xf>
    <xf numFmtId="42" fontId="2" fillId="5" borderId="82" xfId="8" applyNumberFormat="1" applyFont="1" applyFill="1" applyBorder="1" applyAlignment="1">
      <alignment horizontal="center" vertical="center"/>
    </xf>
    <xf numFmtId="42" fontId="2" fillId="16" borderId="78" xfId="0" applyNumberFormat="1" applyFont="1" applyFill="1" applyBorder="1" applyAlignment="1">
      <alignment horizontal="center" vertical="center" wrapText="1"/>
    </xf>
    <xf numFmtId="170" fontId="2" fillId="16" borderId="78" xfId="7" applyNumberFormat="1" applyFont="1" applyFill="1" applyBorder="1" applyAlignment="1">
      <alignment horizontal="left" vertical="center" wrapText="1"/>
    </xf>
    <xf numFmtId="42" fontId="2" fillId="5" borderId="11" xfId="8" applyNumberFormat="1" applyFont="1" applyFill="1" applyBorder="1" applyAlignment="1">
      <alignment horizontal="center" vertical="center"/>
    </xf>
    <xf numFmtId="42" fontId="2" fillId="16" borderId="72" xfId="0" applyNumberFormat="1" applyFont="1" applyFill="1" applyBorder="1" applyAlignment="1">
      <alignment horizontal="center" vertical="center" wrapText="1"/>
    </xf>
    <xf numFmtId="42" fontId="2" fillId="0" borderId="72" xfId="0" applyNumberFormat="1" applyFont="1" applyFill="1" applyBorder="1" applyAlignment="1">
      <alignment horizontal="right" vertical="center"/>
    </xf>
    <xf numFmtId="170" fontId="2" fillId="16" borderId="72" xfId="7" applyNumberFormat="1" applyFont="1" applyFill="1" applyBorder="1" applyAlignment="1">
      <alignment horizontal="left" vertical="center" wrapText="1"/>
    </xf>
    <xf numFmtId="42" fontId="2" fillId="33" borderId="81" xfId="8" applyNumberFormat="1" applyFont="1" applyFill="1" applyBorder="1" applyAlignment="1">
      <alignment horizontal="center" vertical="center" wrapText="1"/>
    </xf>
    <xf numFmtId="41" fontId="3" fillId="0" borderId="39" xfId="0" applyNumberFormat="1" applyFont="1" applyFill="1" applyBorder="1" applyAlignment="1">
      <alignment horizontal="center" vertical="center" wrapText="1"/>
    </xf>
    <xf numFmtId="41" fontId="3" fillId="0" borderId="8" xfId="0" applyNumberFormat="1" applyFont="1" applyFill="1" applyBorder="1" applyAlignment="1">
      <alignment horizontal="center" vertical="center" wrapText="1"/>
    </xf>
    <xf numFmtId="41" fontId="3" fillId="0" borderId="52" xfId="0" applyNumberFormat="1" applyFont="1" applyFill="1" applyBorder="1" applyAlignment="1">
      <alignment horizontal="center" vertical="center" wrapText="1"/>
    </xf>
    <xf numFmtId="41" fontId="3" fillId="0" borderId="29" xfId="0" applyNumberFormat="1" applyFont="1" applyFill="1" applyBorder="1" applyAlignment="1">
      <alignment horizontal="center" vertical="center" wrapText="1"/>
    </xf>
    <xf numFmtId="41" fontId="3" fillId="0" borderId="27" xfId="0" applyNumberFormat="1" applyFont="1" applyFill="1" applyBorder="1" applyAlignment="1">
      <alignment horizontal="center" vertical="center" wrapText="1"/>
    </xf>
    <xf numFmtId="41" fontId="3" fillId="0" borderId="11" xfId="0" applyNumberFormat="1" applyFont="1" applyFill="1" applyBorder="1" applyAlignment="1">
      <alignment horizontal="center" vertical="center" wrapText="1"/>
    </xf>
    <xf numFmtId="41" fontId="3" fillId="0" borderId="38" xfId="0" applyNumberFormat="1" applyFont="1" applyFill="1" applyBorder="1" applyAlignment="1">
      <alignment horizontal="center" vertical="center" wrapText="1"/>
    </xf>
    <xf numFmtId="41" fontId="3" fillId="0" borderId="40" xfId="0" applyNumberFormat="1" applyFont="1" applyFill="1" applyBorder="1" applyAlignment="1">
      <alignment horizontal="center" vertical="center" wrapText="1"/>
    </xf>
    <xf numFmtId="41" fontId="3" fillId="18" borderId="40" xfId="0" applyNumberFormat="1" applyFont="1" applyFill="1" applyBorder="1" applyAlignment="1">
      <alignment horizontal="center" vertical="center"/>
    </xf>
    <xf numFmtId="41" fontId="3" fillId="0" borderId="47" xfId="0" applyNumberFormat="1" applyFont="1" applyFill="1" applyBorder="1" applyAlignment="1">
      <alignment horizontal="center" vertical="center" wrapText="1"/>
    </xf>
    <xf numFmtId="41" fontId="3" fillId="0" borderId="78" xfId="0" applyNumberFormat="1" applyFont="1" applyFill="1" applyBorder="1" applyAlignment="1">
      <alignment horizontal="center" vertical="center" wrapText="1"/>
    </xf>
    <xf numFmtId="41" fontId="3" fillId="0" borderId="95" xfId="0" applyNumberFormat="1" applyFont="1" applyFill="1" applyBorder="1" applyAlignment="1">
      <alignment horizontal="center" vertical="center" wrapText="1"/>
    </xf>
    <xf numFmtId="41" fontId="3" fillId="0" borderId="47" xfId="0" applyNumberFormat="1" applyFont="1" applyFill="1" applyBorder="1" applyAlignment="1">
      <alignment horizontal="center" vertical="center"/>
    </xf>
    <xf numFmtId="41" fontId="3" fillId="0" borderId="95" xfId="0" applyNumberFormat="1" applyFont="1" applyFill="1" applyBorder="1" applyAlignment="1">
      <alignment horizontal="center" vertical="center"/>
    </xf>
    <xf numFmtId="41" fontId="3" fillId="18" borderId="55" xfId="0" applyNumberFormat="1" applyFont="1" applyFill="1" applyBorder="1" applyAlignment="1">
      <alignment horizontal="center" vertical="center" wrapText="1"/>
    </xf>
    <xf numFmtId="3" fontId="17" fillId="14" borderId="38" xfId="0" applyNumberFormat="1" applyFont="1" applyFill="1" applyBorder="1" applyAlignment="1">
      <alignment vertical="center"/>
    </xf>
    <xf numFmtId="166" fontId="0" fillId="0" borderId="81" xfId="0" applyNumberFormat="1" applyBorder="1" applyAlignment="1">
      <alignment horizontal="center" vertical="center"/>
    </xf>
    <xf numFmtId="166" fontId="17" fillId="14" borderId="11" xfId="0" applyNumberFormat="1" applyFont="1" applyFill="1" applyBorder="1" applyAlignment="1">
      <alignment vertical="center"/>
    </xf>
    <xf numFmtId="166" fontId="17" fillId="14" borderId="82" xfId="0" applyNumberFormat="1" applyFont="1" applyFill="1" applyBorder="1" applyAlignment="1">
      <alignment vertical="center"/>
    </xf>
    <xf numFmtId="166" fontId="2" fillId="16" borderId="24" xfId="0" applyNumberFormat="1" applyFont="1" applyFill="1" applyBorder="1" applyAlignment="1">
      <alignment horizontal="center" vertical="center" wrapText="1"/>
    </xf>
    <xf numFmtId="166" fontId="2" fillId="16" borderId="15" xfId="0" applyNumberFormat="1" applyFont="1" applyFill="1" applyBorder="1" applyAlignment="1">
      <alignment horizontal="center" vertical="center" wrapText="1"/>
    </xf>
    <xf numFmtId="166" fontId="3" fillId="0" borderId="75" xfId="0" applyNumberFormat="1" applyFont="1" applyFill="1" applyBorder="1" applyAlignment="1">
      <alignment horizontal="right" vertical="center"/>
    </xf>
    <xf numFmtId="166" fontId="2" fillId="20" borderId="77" xfId="0" applyNumberFormat="1" applyFont="1" applyFill="1" applyBorder="1" applyAlignment="1">
      <alignment horizontal="right" vertical="center" wrapText="1"/>
    </xf>
    <xf numFmtId="166" fontId="2" fillId="0" borderId="8" xfId="0" applyNumberFormat="1" applyFont="1" applyFill="1" applyBorder="1" applyAlignment="1">
      <alignment horizontal="right" vertical="center"/>
    </xf>
    <xf numFmtId="166" fontId="2" fillId="16" borderId="74" xfId="0" applyNumberFormat="1" applyFont="1" applyFill="1" applyBorder="1" applyAlignment="1">
      <alignment horizontal="right" vertical="center" wrapText="1"/>
    </xf>
    <xf numFmtId="166" fontId="2" fillId="16" borderId="8" xfId="0" applyNumberFormat="1" applyFont="1" applyFill="1" applyBorder="1" applyAlignment="1">
      <alignment horizontal="right" vertical="center" wrapText="1"/>
    </xf>
    <xf numFmtId="175" fontId="3" fillId="0" borderId="8" xfId="0" applyNumberFormat="1" applyFont="1" applyFill="1" applyBorder="1" applyAlignment="1">
      <alignment horizontal="right" vertical="center"/>
    </xf>
    <xf numFmtId="166" fontId="3" fillId="0" borderId="52" xfId="0" applyNumberFormat="1" applyFont="1" applyFill="1" applyBorder="1" applyAlignment="1">
      <alignment horizontal="right" vertical="center"/>
    </xf>
    <xf numFmtId="166" fontId="4" fillId="14" borderId="77" xfId="0" applyNumberFormat="1" applyFont="1" applyFill="1" applyBorder="1" applyAlignment="1">
      <alignment horizontal="right" vertical="center" wrapText="1"/>
    </xf>
    <xf numFmtId="166" fontId="3" fillId="0" borderId="81" xfId="0" applyNumberFormat="1" applyFont="1" applyFill="1" applyBorder="1" applyAlignment="1">
      <alignment horizontal="right" vertical="center"/>
    </xf>
    <xf numFmtId="166" fontId="2" fillId="20" borderId="11" xfId="0" applyNumberFormat="1" applyFont="1" applyFill="1" applyBorder="1" applyAlignment="1">
      <alignment horizontal="right" vertical="center" wrapText="1"/>
    </xf>
    <xf numFmtId="166" fontId="2" fillId="16" borderId="104" xfId="0" applyNumberFormat="1" applyFont="1" applyFill="1" applyBorder="1" applyAlignment="1">
      <alignment horizontal="right" vertical="center" wrapText="1"/>
    </xf>
    <xf numFmtId="166" fontId="2" fillId="16" borderId="72" xfId="0" applyNumberFormat="1" applyFont="1" applyFill="1" applyBorder="1" applyAlignment="1">
      <alignment horizontal="right" vertical="center" wrapText="1"/>
    </xf>
    <xf numFmtId="166" fontId="3" fillId="0" borderId="73" xfId="0" applyNumberFormat="1" applyFont="1" applyFill="1" applyBorder="1" applyAlignment="1">
      <alignment horizontal="right" vertical="center"/>
    </xf>
    <xf numFmtId="166" fontId="4" fillId="14" borderId="11" xfId="0" applyNumberFormat="1" applyFont="1" applyFill="1" applyBorder="1" applyAlignment="1">
      <alignment horizontal="right" vertical="center" wrapText="1"/>
    </xf>
    <xf numFmtId="166" fontId="0" fillId="15" borderId="47" xfId="0" applyNumberFormat="1" applyFill="1" applyBorder="1" applyAlignment="1">
      <alignment horizontal="center" vertical="center"/>
    </xf>
    <xf numFmtId="5" fontId="1" fillId="0" borderId="78" xfId="1" applyNumberFormat="1" applyFont="1" applyFill="1" applyBorder="1" applyAlignment="1">
      <alignment horizontal="center" vertical="center"/>
    </xf>
    <xf numFmtId="166" fontId="0" fillId="15" borderId="78" xfId="0" applyNumberFormat="1" applyFill="1" applyBorder="1" applyAlignment="1">
      <alignment horizontal="right" vertical="center"/>
    </xf>
    <xf numFmtId="166" fontId="0" fillId="21" borderId="78" xfId="0" applyNumberFormat="1" applyFill="1" applyBorder="1" applyAlignment="1">
      <alignment horizontal="center" vertical="center"/>
    </xf>
    <xf numFmtId="166" fontId="0" fillId="0" borderId="2" xfId="0" applyNumberFormat="1" applyFill="1" applyBorder="1" applyAlignment="1">
      <alignment horizontal="center" vertical="center"/>
    </xf>
    <xf numFmtId="166" fontId="0" fillId="15" borderId="18" xfId="0" applyNumberFormat="1" applyFill="1" applyBorder="1" applyAlignment="1">
      <alignment horizontal="center" vertical="center"/>
    </xf>
    <xf numFmtId="5" fontId="1" fillId="0" borderId="18" xfId="1" applyNumberFormat="1" applyFont="1" applyFill="1" applyBorder="1" applyAlignment="1">
      <alignment horizontal="center" vertical="center"/>
    </xf>
    <xf numFmtId="166" fontId="0" fillId="15" borderId="4" xfId="0" applyNumberFormat="1" applyFill="1" applyBorder="1" applyAlignment="1">
      <alignment horizontal="center" vertical="center"/>
    </xf>
    <xf numFmtId="5" fontId="1" fillId="0" borderId="4" xfId="1" applyNumberFormat="1" applyFont="1" applyFill="1" applyBorder="1" applyAlignment="1">
      <alignment horizontal="center" vertical="center"/>
    </xf>
    <xf numFmtId="166" fontId="0" fillId="0" borderId="4" xfId="0" applyNumberFormat="1" applyFill="1" applyBorder="1" applyAlignment="1">
      <alignment horizontal="right" vertical="center"/>
    </xf>
    <xf numFmtId="166" fontId="0" fillId="21" borderId="4" xfId="0" applyNumberFormat="1" applyFill="1" applyBorder="1" applyAlignment="1">
      <alignment horizontal="center" vertical="center"/>
    </xf>
    <xf numFmtId="166" fontId="0" fillId="0" borderId="4" xfId="0" applyNumberFormat="1" applyFill="1" applyBorder="1" applyAlignment="1">
      <alignment horizontal="center" vertical="center"/>
    </xf>
    <xf numFmtId="166" fontId="0" fillId="15" borderId="18" xfId="0" applyNumberFormat="1" applyFill="1" applyBorder="1" applyAlignment="1">
      <alignment horizontal="right" vertical="center"/>
    </xf>
    <xf numFmtId="166" fontId="0" fillId="0" borderId="18" xfId="0" applyNumberFormat="1" applyFill="1" applyBorder="1" applyAlignment="1">
      <alignment horizontal="right" vertical="center"/>
    </xf>
    <xf numFmtId="166" fontId="0" fillId="0" borderId="18" xfId="0" applyNumberFormat="1" applyFill="1" applyBorder="1" applyAlignment="1">
      <alignment horizontal="center" vertical="center"/>
    </xf>
    <xf numFmtId="166" fontId="0" fillId="15" borderId="43" xfId="0" applyNumberFormat="1" applyFill="1" applyBorder="1" applyAlignment="1">
      <alignment horizontal="center" vertical="center"/>
    </xf>
    <xf numFmtId="166" fontId="0" fillId="15" borderId="5" xfId="0" applyNumberFormat="1" applyFill="1" applyBorder="1" applyAlignment="1">
      <alignment horizontal="center" vertical="center"/>
    </xf>
    <xf numFmtId="166" fontId="0" fillId="15" borderId="24" xfId="0" applyNumberFormat="1" applyFill="1" applyBorder="1" applyAlignment="1">
      <alignment horizontal="center" vertical="center"/>
    </xf>
    <xf numFmtId="166" fontId="0" fillId="15" borderId="17" xfId="0" applyNumberFormat="1" applyFill="1" applyBorder="1" applyAlignment="1">
      <alignment horizontal="center" vertical="center"/>
    </xf>
    <xf numFmtId="166" fontId="2" fillId="16" borderId="8" xfId="0" applyNumberFormat="1" applyFont="1" applyFill="1" applyBorder="1" applyAlignment="1">
      <alignment horizontal="justify" vertical="center" wrapText="1"/>
    </xf>
    <xf numFmtId="166" fontId="0" fillId="15" borderId="12" xfId="0" applyNumberFormat="1" applyFill="1" applyBorder="1" applyAlignment="1">
      <alignment horizontal="center" vertical="center"/>
    </xf>
    <xf numFmtId="167" fontId="2" fillId="23" borderId="77" xfId="6" applyNumberFormat="1" applyFont="1" applyFill="1" applyBorder="1" applyAlignment="1">
      <alignment horizontal="center" vertical="center" wrapText="1"/>
    </xf>
    <xf numFmtId="167" fontId="21" fillId="21" borderId="77" xfId="6" applyNumberFormat="1" applyFont="1" applyFill="1" applyBorder="1" applyAlignment="1">
      <alignment horizontal="center" vertical="center" wrapText="1"/>
    </xf>
    <xf numFmtId="167" fontId="17" fillId="14" borderId="77" xfId="0" applyNumberFormat="1" applyFont="1" applyFill="1" applyBorder="1"/>
    <xf numFmtId="167" fontId="2" fillId="23" borderId="11" xfId="6" applyNumberFormat="1" applyFont="1" applyFill="1" applyBorder="1" applyAlignment="1">
      <alignment horizontal="center" vertical="center" wrapText="1"/>
    </xf>
    <xf numFmtId="166" fontId="3" fillId="0" borderId="72" xfId="0" applyNumberFormat="1" applyFont="1" applyFill="1" applyBorder="1" applyAlignment="1">
      <alignment horizontal="right" vertical="center"/>
    </xf>
    <xf numFmtId="167" fontId="21" fillId="21" borderId="11" xfId="6" applyNumberFormat="1" applyFont="1" applyFill="1" applyBorder="1" applyAlignment="1">
      <alignment horizontal="center" vertical="center" wrapText="1"/>
    </xf>
    <xf numFmtId="41" fontId="3" fillId="18" borderId="53" xfId="0" applyNumberFormat="1" applyFont="1" applyFill="1" applyBorder="1" applyAlignment="1">
      <alignment horizontal="center" vertical="center"/>
    </xf>
    <xf numFmtId="41" fontId="3" fillId="0" borderId="51" xfId="0" applyNumberFormat="1" applyFont="1" applyFill="1" applyBorder="1" applyAlignment="1">
      <alignment horizontal="center" vertical="center" wrapText="1"/>
    </xf>
    <xf numFmtId="41" fontId="3" fillId="0" borderId="72"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3" fillId="17" borderId="36" xfId="0" applyNumberFormat="1" applyFont="1" applyFill="1" applyBorder="1" applyAlignment="1">
      <alignment horizontal="center" vertical="center" wrapText="1"/>
    </xf>
    <xf numFmtId="41" fontId="3" fillId="0" borderId="28" xfId="0" applyNumberFormat="1" applyFont="1" applyFill="1" applyBorder="1" applyAlignment="1">
      <alignment horizontal="center" vertical="center" wrapText="1"/>
    </xf>
    <xf numFmtId="41" fontId="3" fillId="17" borderId="36" xfId="0" applyNumberFormat="1" applyFont="1" applyFill="1" applyBorder="1" applyAlignment="1">
      <alignment horizontal="center" vertical="center"/>
    </xf>
    <xf numFmtId="41" fontId="3" fillId="0" borderId="36" xfId="0" applyNumberFormat="1" applyFont="1" applyFill="1" applyBorder="1" applyAlignment="1">
      <alignment horizontal="center" vertical="center" wrapText="1"/>
    </xf>
    <xf numFmtId="41" fontId="3" fillId="17" borderId="99" xfId="0" applyNumberFormat="1" applyFont="1" applyFill="1" applyBorder="1" applyAlignment="1">
      <alignment horizontal="center" vertical="center"/>
    </xf>
    <xf numFmtId="41" fontId="3" fillId="0" borderId="4" xfId="0" applyNumberFormat="1" applyFont="1" applyFill="1" applyBorder="1" applyAlignment="1">
      <alignment horizontal="center" vertical="center"/>
    </xf>
    <xf numFmtId="41" fontId="3" fillId="18" borderId="28" xfId="0" applyNumberFormat="1" applyFont="1" applyFill="1" applyBorder="1" applyAlignment="1">
      <alignment horizontal="center" vertical="center"/>
    </xf>
    <xf numFmtId="164" fontId="3" fillId="15" borderId="28" xfId="0" applyNumberFormat="1" applyFont="1" applyFill="1" applyBorder="1" applyAlignment="1">
      <alignment horizontal="center" vertical="center"/>
    </xf>
    <xf numFmtId="41" fontId="17" fillId="14" borderId="80" xfId="0" applyNumberFormat="1" applyFont="1" applyFill="1" applyBorder="1" applyAlignment="1">
      <alignment vertical="center"/>
    </xf>
    <xf numFmtId="41" fontId="3" fillId="17" borderId="38" xfId="0" applyNumberFormat="1" applyFont="1" applyFill="1" applyBorder="1" applyAlignment="1">
      <alignment horizontal="center" vertical="center"/>
    </xf>
    <xf numFmtId="41" fontId="3" fillId="17" borderId="40" xfId="0" applyNumberFormat="1" applyFont="1" applyFill="1" applyBorder="1" applyAlignment="1">
      <alignment horizontal="center" vertical="center"/>
    </xf>
    <xf numFmtId="41" fontId="3" fillId="18" borderId="23" xfId="0" applyNumberFormat="1" applyFont="1" applyFill="1" applyBorder="1" applyAlignment="1">
      <alignment horizontal="center" vertical="center"/>
    </xf>
    <xf numFmtId="164" fontId="3" fillId="15" borderId="23" xfId="0" applyNumberFormat="1" applyFont="1" applyFill="1" applyBorder="1" applyAlignment="1">
      <alignment horizontal="center" vertical="center"/>
    </xf>
    <xf numFmtId="41" fontId="17" fillId="14" borderId="42" xfId="0" applyNumberFormat="1" applyFont="1" applyFill="1" applyBorder="1" applyAlignment="1">
      <alignment vertical="center"/>
    </xf>
    <xf numFmtId="41" fontId="3" fillId="17" borderId="11" xfId="0" applyNumberFormat="1" applyFont="1" applyFill="1" applyBorder="1" applyAlignment="1">
      <alignment horizontal="center" vertical="center" wrapText="1"/>
    </xf>
    <xf numFmtId="41" fontId="3" fillId="0" borderId="76" xfId="0" applyNumberFormat="1" applyFont="1" applyFill="1" applyBorder="1" applyAlignment="1">
      <alignment horizontal="center" vertical="center" wrapText="1"/>
    </xf>
    <xf numFmtId="41" fontId="3" fillId="17" borderId="11" xfId="0" applyNumberFormat="1" applyFont="1" applyFill="1" applyBorder="1" applyAlignment="1">
      <alignment horizontal="center" vertical="center"/>
    </xf>
    <xf numFmtId="41" fontId="3" fillId="17" borderId="50" xfId="0" applyNumberFormat="1" applyFont="1" applyFill="1" applyBorder="1" applyAlignment="1">
      <alignment horizontal="center" vertical="center"/>
    </xf>
    <xf numFmtId="41" fontId="3" fillId="18" borderId="50" xfId="0" applyNumberFormat="1" applyFont="1" applyFill="1" applyBorder="1" applyAlignment="1">
      <alignment horizontal="center" vertical="center"/>
    </xf>
    <xf numFmtId="41" fontId="3" fillId="0" borderId="81" xfId="0" applyNumberFormat="1" applyFont="1" applyFill="1" applyBorder="1" applyAlignment="1">
      <alignment horizontal="center" vertical="center" wrapText="1"/>
    </xf>
    <xf numFmtId="41" fontId="3" fillId="18" borderId="76" xfId="0" applyNumberFormat="1" applyFont="1" applyFill="1" applyBorder="1" applyAlignment="1">
      <alignment horizontal="center" vertical="center"/>
    </xf>
    <xf numFmtId="164" fontId="3" fillId="15" borderId="76" xfId="0" applyNumberFormat="1" applyFont="1" applyFill="1" applyBorder="1" applyAlignment="1">
      <alignment horizontal="center" vertical="center"/>
    </xf>
    <xf numFmtId="41" fontId="3" fillId="0" borderId="71" xfId="0" applyNumberFormat="1" applyFont="1" applyFill="1" applyBorder="1" applyAlignment="1">
      <alignment horizontal="center" vertical="center" wrapText="1"/>
    </xf>
    <xf numFmtId="41" fontId="17" fillId="14" borderId="51" xfId="0" applyNumberFormat="1" applyFont="1" applyFill="1" applyBorder="1" applyAlignment="1">
      <alignment vertical="center"/>
    </xf>
    <xf numFmtId="41" fontId="3" fillId="0" borderId="99" xfId="0" applyNumberFormat="1" applyFont="1" applyFill="1" applyBorder="1" applyAlignment="1">
      <alignment horizontal="center" vertical="center" wrapText="1"/>
    </xf>
    <xf numFmtId="41" fontId="3" fillId="18" borderId="36" xfId="0" applyNumberFormat="1" applyFont="1" applyFill="1" applyBorder="1" applyAlignment="1">
      <alignment horizontal="center" vertical="center"/>
    </xf>
    <xf numFmtId="166" fontId="3" fillId="17" borderId="82" xfId="2" applyNumberFormat="1" applyFont="1" applyFill="1" applyBorder="1" applyAlignment="1">
      <alignment horizontal="center" vertical="center"/>
    </xf>
    <xf numFmtId="166" fontId="3" fillId="16" borderId="44" xfId="0" applyNumberFormat="1" applyFont="1" applyFill="1" applyBorder="1" applyAlignment="1">
      <alignment horizontal="center" vertical="center" wrapText="1"/>
    </xf>
    <xf numFmtId="166" fontId="3" fillId="0" borderId="78" xfId="0" applyNumberFormat="1" applyFont="1" applyFill="1" applyBorder="1" applyAlignment="1">
      <alignment horizontal="center" vertical="center"/>
    </xf>
    <xf numFmtId="166" fontId="3" fillId="16" borderId="79" xfId="0" applyNumberFormat="1" applyFont="1" applyFill="1" applyBorder="1" applyAlignment="1">
      <alignment horizontal="center" vertical="center" wrapText="1"/>
    </xf>
    <xf numFmtId="166" fontId="3" fillId="18" borderId="82" xfId="0" applyNumberFormat="1" applyFont="1" applyFill="1" applyBorder="1" applyAlignment="1">
      <alignment horizontal="center" vertical="center"/>
    </xf>
    <xf numFmtId="166" fontId="3" fillId="16" borderId="78" xfId="0" applyNumberFormat="1" applyFont="1" applyFill="1" applyBorder="1" applyAlignment="1">
      <alignment horizontal="center" vertical="center" wrapText="1"/>
    </xf>
    <xf numFmtId="166" fontId="3" fillId="16" borderId="4" xfId="0" applyNumberFormat="1" applyFont="1" applyFill="1" applyBorder="1" applyAlignment="1">
      <alignment horizontal="center" vertical="center" wrapText="1"/>
    </xf>
    <xf numFmtId="166" fontId="3" fillId="18" borderId="82" xfId="0" applyNumberFormat="1" applyFont="1" applyFill="1" applyBorder="1" applyAlignment="1">
      <alignment horizontal="right" vertical="center"/>
    </xf>
    <xf numFmtId="166" fontId="3" fillId="15" borderId="82" xfId="0" applyNumberFormat="1" applyFont="1" applyFill="1" applyBorder="1" applyAlignment="1">
      <alignment horizontal="center" vertical="center" wrapText="1"/>
    </xf>
    <xf numFmtId="166" fontId="3" fillId="0" borderId="45" xfId="0" applyNumberFormat="1" applyFont="1" applyFill="1" applyBorder="1" applyAlignment="1">
      <alignment horizontal="center" vertical="center" wrapText="1"/>
    </xf>
    <xf numFmtId="166" fontId="17" fillId="14" borderId="11" xfId="0" applyNumberFormat="1" applyFont="1" applyFill="1" applyBorder="1" applyAlignment="1">
      <alignment horizontal="center" vertical="center"/>
    </xf>
    <xf numFmtId="166" fontId="3" fillId="16" borderId="24" xfId="0" applyNumberFormat="1" applyFont="1" applyFill="1" applyBorder="1" applyAlignment="1">
      <alignment horizontal="center" vertical="center" wrapText="1"/>
    </xf>
    <xf numFmtId="166" fontId="3" fillId="0" borderId="78" xfId="0" applyNumberFormat="1" applyFont="1" applyFill="1" applyBorder="1" applyAlignment="1">
      <alignment vertical="center"/>
    </xf>
    <xf numFmtId="166" fontId="2" fillId="16" borderId="71" xfId="0" applyNumberFormat="1" applyFont="1" applyFill="1" applyBorder="1" applyAlignment="1">
      <alignment vertical="center" wrapText="1"/>
    </xf>
    <xf numFmtId="166" fontId="3" fillId="0" borderId="72" xfId="0" applyNumberFormat="1" applyFont="1" applyFill="1" applyBorder="1" applyAlignment="1">
      <alignment horizontal="center" vertical="center" wrapText="1"/>
    </xf>
    <xf numFmtId="166" fontId="2" fillId="17" borderId="11" xfId="2" applyNumberFormat="1" applyFont="1" applyFill="1" applyBorder="1" applyAlignment="1">
      <alignment vertical="center"/>
    </xf>
    <xf numFmtId="166" fontId="2" fillId="16" borderId="104" xfId="0" applyNumberFormat="1" applyFont="1" applyFill="1" applyBorder="1" applyAlignment="1">
      <alignment vertical="center" wrapText="1"/>
    </xf>
    <xf numFmtId="166" fontId="3" fillId="0" borderId="72" xfId="0" applyNumberFormat="1" applyFont="1" applyFill="1" applyBorder="1" applyAlignment="1">
      <alignment horizontal="right" vertical="center" wrapText="1"/>
    </xf>
    <xf numFmtId="166" fontId="2" fillId="18" borderId="77" xfId="2" applyNumberFormat="1" applyFont="1" applyFill="1" applyBorder="1" applyAlignment="1">
      <alignment vertical="center"/>
    </xf>
    <xf numFmtId="166" fontId="2" fillId="18" borderId="11" xfId="2" applyNumberFormat="1" applyFont="1" applyFill="1" applyBorder="1" applyAlignment="1">
      <alignment vertical="center"/>
    </xf>
    <xf numFmtId="3" fontId="0" fillId="15" borderId="82" xfId="0" applyNumberFormat="1" applyFill="1" applyBorder="1" applyAlignment="1">
      <alignment vertical="center"/>
    </xf>
    <xf numFmtId="3" fontId="0" fillId="0" borderId="97" xfId="0" applyNumberFormat="1" applyFill="1" applyBorder="1" applyAlignment="1">
      <alignment vertical="center"/>
    </xf>
    <xf numFmtId="164" fontId="0" fillId="5" borderId="82" xfId="0" applyNumberFormat="1" applyFill="1" applyBorder="1" applyAlignment="1">
      <alignment vertical="center"/>
    </xf>
    <xf numFmtId="164" fontId="0" fillId="0" borderId="79" xfId="0" applyNumberFormat="1" applyFill="1" applyBorder="1" applyAlignment="1">
      <alignment vertical="center"/>
    </xf>
    <xf numFmtId="164" fontId="0" fillId="33" borderId="27" xfId="1" applyFont="1" applyFill="1" applyBorder="1" applyAlignment="1">
      <alignment vertical="center"/>
    </xf>
    <xf numFmtId="164" fontId="17" fillId="14" borderId="82" xfId="0" applyNumberFormat="1" applyFont="1" applyFill="1" applyBorder="1"/>
    <xf numFmtId="164" fontId="0" fillId="0" borderId="43" xfId="1" applyFont="1" applyFill="1" applyBorder="1" applyAlignment="1">
      <alignment vertical="center"/>
    </xf>
    <xf numFmtId="164" fontId="0" fillId="33" borderId="21" xfId="1" applyFont="1" applyFill="1" applyBorder="1" applyAlignment="1">
      <alignment vertical="center"/>
    </xf>
    <xf numFmtId="3" fontId="2" fillId="15" borderId="82" xfId="0" applyNumberFormat="1" applyFont="1" applyFill="1" applyBorder="1" applyAlignment="1">
      <alignment horizontal="center" vertical="center" wrapText="1"/>
    </xf>
    <xf numFmtId="167" fontId="2" fillId="16" borderId="44" xfId="0" applyNumberFormat="1" applyFont="1" applyFill="1" applyBorder="1" applyAlignment="1">
      <alignment horizontal="center" vertical="center" wrapText="1"/>
    </xf>
    <xf numFmtId="167" fontId="3" fillId="0" borderId="78" xfId="6" applyNumberFormat="1" applyFont="1" applyFill="1" applyBorder="1" applyAlignment="1">
      <alignment horizontal="right"/>
    </xf>
    <xf numFmtId="167" fontId="2" fillId="5" borderId="82" xfId="6" applyNumberFormat="1" applyFont="1" applyFill="1" applyBorder="1" applyAlignment="1">
      <alignment horizontal="justify" vertical="center" wrapText="1"/>
    </xf>
    <xf numFmtId="167" fontId="2" fillId="16" borderId="79" xfId="6" applyNumberFormat="1" applyFont="1" applyFill="1" applyBorder="1" applyAlignment="1">
      <alignment horizontal="justify" vertical="center" wrapText="1"/>
    </xf>
    <xf numFmtId="167" fontId="2" fillId="16" borderId="44" xfId="6" applyNumberFormat="1" applyFont="1" applyFill="1" applyBorder="1" applyAlignment="1">
      <alignment horizontal="justify" vertical="center" wrapText="1"/>
    </xf>
    <xf numFmtId="167" fontId="3" fillId="33" borderId="83" xfId="6" applyNumberFormat="1" applyFont="1" applyFill="1" applyBorder="1" applyAlignment="1">
      <alignment horizontal="right"/>
    </xf>
    <xf numFmtId="167" fontId="2" fillId="16" borderId="43" xfId="0" applyNumberFormat="1" applyFont="1" applyFill="1" applyBorder="1" applyAlignment="1">
      <alignment horizontal="center" vertical="center" wrapText="1"/>
    </xf>
    <xf numFmtId="167" fontId="3" fillId="0" borderId="23" xfId="6" applyNumberFormat="1" applyFont="1" applyFill="1" applyBorder="1" applyAlignment="1">
      <alignment horizontal="center" vertical="center" wrapText="1"/>
    </xf>
    <xf numFmtId="167" fontId="2" fillId="33" borderId="21" xfId="6" applyNumberFormat="1" applyFont="1" applyFill="1" applyBorder="1" applyAlignment="1">
      <alignment horizontal="right" vertical="center" wrapText="1"/>
    </xf>
    <xf numFmtId="167" fontId="2" fillId="16" borderId="72" xfId="6" applyNumberFormat="1" applyFont="1" applyFill="1" applyBorder="1" applyAlignment="1">
      <alignment horizontal="justify" vertical="center" wrapText="1"/>
    </xf>
    <xf numFmtId="167" fontId="2" fillId="16" borderId="71" xfId="0" applyNumberFormat="1" applyFont="1" applyFill="1" applyBorder="1" applyAlignment="1">
      <alignment horizontal="center" vertical="center" wrapText="1"/>
    </xf>
    <xf numFmtId="3" fontId="17" fillId="14" borderId="80" xfId="0" applyNumberFormat="1" applyFont="1" applyFill="1" applyBorder="1" applyAlignment="1">
      <alignment horizontal="center" vertical="center"/>
    </xf>
    <xf numFmtId="3" fontId="2" fillId="15" borderId="36" xfId="0" applyNumberFormat="1" applyFont="1" applyFill="1" applyBorder="1" applyAlignment="1">
      <alignment horizontal="center" vertical="center" wrapText="1"/>
    </xf>
    <xf numFmtId="167" fontId="3" fillId="0" borderId="4" xfId="6" applyNumberFormat="1" applyFont="1" applyFill="1" applyBorder="1" applyAlignment="1">
      <alignment horizontal="center" vertical="center" wrapText="1"/>
    </xf>
    <xf numFmtId="167" fontId="2" fillId="5" borderId="36" xfId="6" applyNumberFormat="1" applyFont="1" applyFill="1" applyBorder="1" applyAlignment="1">
      <alignment horizontal="justify" vertical="center" wrapText="1"/>
    </xf>
    <xf numFmtId="167" fontId="3" fillId="0" borderId="4" xfId="6" applyNumberFormat="1" applyFont="1" applyFill="1" applyBorder="1" applyAlignment="1">
      <alignment horizontal="right"/>
    </xf>
    <xf numFmtId="167" fontId="2" fillId="33" borderId="27" xfId="6" applyNumberFormat="1" applyFont="1" applyFill="1" applyBorder="1" applyAlignment="1">
      <alignment horizontal="right" vertical="center" wrapText="1"/>
    </xf>
    <xf numFmtId="0" fontId="2" fillId="15" borderId="38"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33" borderId="21" xfId="0" applyFont="1" applyFill="1" applyBorder="1" applyAlignment="1">
      <alignment horizontal="center" vertical="center" wrapText="1"/>
    </xf>
    <xf numFmtId="166" fontId="3" fillId="18" borderId="82" xfId="0" applyNumberFormat="1" applyFont="1" applyFill="1" applyBorder="1" applyAlignment="1">
      <alignment horizontal="right" vertical="center" wrapText="1"/>
    </xf>
    <xf numFmtId="166" fontId="2" fillId="16" borderId="79" xfId="0" applyNumberFormat="1" applyFont="1" applyFill="1" applyBorder="1" applyAlignment="1">
      <alignment horizontal="right" vertical="center" wrapText="1"/>
    </xf>
    <xf numFmtId="166" fontId="3" fillId="0" borderId="78" xfId="0" applyNumberFormat="1" applyFont="1" applyFill="1" applyBorder="1" applyAlignment="1">
      <alignment horizontal="right" vertical="center"/>
    </xf>
    <xf numFmtId="166" fontId="2" fillId="16" borderId="78" xfId="0" applyNumberFormat="1" applyFont="1" applyFill="1" applyBorder="1" applyAlignment="1">
      <alignment horizontal="right" vertical="center" wrapText="1"/>
    </xf>
    <xf numFmtId="166" fontId="3" fillId="16" borderId="83" xfId="0" applyNumberFormat="1" applyFont="1" applyFill="1" applyBorder="1" applyAlignment="1">
      <alignment horizontal="right"/>
    </xf>
    <xf numFmtId="166" fontId="3" fillId="0" borderId="83" xfId="0" applyNumberFormat="1" applyFont="1" applyFill="1" applyBorder="1" applyAlignment="1">
      <alignment horizontal="right"/>
    </xf>
    <xf numFmtId="166" fontId="3" fillId="16" borderId="83" xfId="0" applyNumberFormat="1" applyFont="1" applyFill="1" applyBorder="1" applyAlignment="1">
      <alignment horizontal="right" vertical="center" wrapText="1"/>
    </xf>
    <xf numFmtId="166" fontId="17" fillId="14" borderId="82" xfId="0" applyNumberFormat="1" applyFont="1" applyFill="1" applyBorder="1" applyAlignment="1">
      <alignment horizontal="right"/>
    </xf>
    <xf numFmtId="166" fontId="3" fillId="18" borderId="11" xfId="0" applyNumberFormat="1" applyFont="1" applyFill="1" applyBorder="1" applyAlignment="1">
      <alignment horizontal="center" vertical="center" wrapText="1"/>
    </xf>
    <xf numFmtId="0" fontId="2" fillId="16" borderId="104"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2" fillId="16" borderId="72" xfId="0" applyFont="1" applyFill="1" applyBorder="1" applyAlignment="1">
      <alignment horizontal="center" vertical="center" wrapText="1"/>
    </xf>
    <xf numFmtId="166" fontId="3" fillId="16" borderId="81" xfId="0" applyNumberFormat="1" applyFont="1" applyFill="1" applyBorder="1" applyAlignment="1">
      <alignment horizontal="center" vertical="center" wrapText="1"/>
    </xf>
    <xf numFmtId="166" fontId="17" fillId="14" borderId="11" xfId="0" applyNumberFormat="1" applyFont="1" applyFill="1" applyBorder="1" applyAlignment="1">
      <alignment horizontal="right"/>
    </xf>
    <xf numFmtId="164" fontId="0" fillId="29" borderId="40" xfId="0" applyNumberFormat="1" applyFill="1" applyBorder="1" applyAlignment="1">
      <alignment wrapText="1"/>
    </xf>
    <xf numFmtId="164" fontId="3" fillId="15" borderId="38" xfId="0" applyNumberFormat="1" applyFont="1" applyFill="1" applyBorder="1" applyAlignment="1">
      <alignment horizontal="center" vertical="center" wrapText="1"/>
    </xf>
    <xf numFmtId="164" fontId="0" fillId="29" borderId="42" xfId="0" applyNumberFormat="1" applyFill="1" applyBorder="1" applyAlignment="1">
      <alignment wrapText="1"/>
    </xf>
    <xf numFmtId="164" fontId="0" fillId="29" borderId="50" xfId="0" applyNumberFormat="1" applyFill="1" applyBorder="1" applyAlignment="1">
      <alignment wrapText="1"/>
    </xf>
    <xf numFmtId="164" fontId="3" fillId="15" borderId="11" xfId="0" applyNumberFormat="1" applyFont="1" applyFill="1" applyBorder="1" applyAlignment="1">
      <alignment horizontal="center" vertical="center" wrapText="1"/>
    </xf>
    <xf numFmtId="164" fontId="0" fillId="29" borderId="76" xfId="0" applyNumberFormat="1" applyFill="1" applyBorder="1" applyAlignment="1">
      <alignment wrapText="1"/>
    </xf>
    <xf numFmtId="41" fontId="17" fillId="14" borderId="11" xfId="0" applyNumberFormat="1" applyFont="1" applyFill="1" applyBorder="1" applyAlignment="1">
      <alignment vertical="center" wrapText="1"/>
    </xf>
    <xf numFmtId="164" fontId="2" fillId="18" borderId="82" xfId="1" applyFont="1" applyFill="1" applyBorder="1" applyAlignment="1">
      <alignment horizontal="justify" vertical="center"/>
    </xf>
    <xf numFmtId="3" fontId="0" fillId="0" borderId="79" xfId="0" applyNumberFormat="1" applyFill="1" applyBorder="1" applyAlignment="1">
      <alignment vertical="center"/>
    </xf>
    <xf numFmtId="3" fontId="0" fillId="0" borderId="95" xfId="0" applyNumberFormat="1" applyFill="1" applyBorder="1" applyAlignment="1">
      <alignment vertical="center"/>
    </xf>
    <xf numFmtId="0" fontId="0" fillId="0" borderId="23" xfId="0" applyFill="1" applyBorder="1" applyAlignment="1">
      <alignment vertical="center"/>
    </xf>
    <xf numFmtId="164" fontId="0" fillId="18" borderId="38" xfId="0" applyNumberFormat="1" applyFill="1" applyBorder="1" applyAlignment="1">
      <alignment vertical="center"/>
    </xf>
    <xf numFmtId="164" fontId="3" fillId="0" borderId="43" xfId="1" applyFont="1" applyFill="1" applyBorder="1" applyAlignment="1">
      <alignment vertical="center"/>
    </xf>
    <xf numFmtId="41" fontId="3" fillId="0" borderId="21" xfId="1" applyNumberFormat="1" applyFont="1" applyFill="1" applyBorder="1" applyAlignment="1">
      <alignment vertical="center"/>
    </xf>
    <xf numFmtId="164" fontId="3" fillId="18" borderId="11" xfId="1" applyFont="1" applyFill="1" applyBorder="1" applyAlignment="1">
      <alignment horizontal="center" vertical="center"/>
    </xf>
    <xf numFmtId="41" fontId="0" fillId="0" borderId="73" xfId="0" applyNumberFormat="1" applyFill="1" applyBorder="1" applyAlignment="1">
      <alignment horizontal="center" vertical="center"/>
    </xf>
    <xf numFmtId="41" fontId="0" fillId="0" borderId="2" xfId="0" applyNumberFormat="1" applyFill="1" applyBorder="1" applyAlignment="1">
      <alignment horizontal="center" vertical="center"/>
    </xf>
    <xf numFmtId="41" fontId="0" fillId="0" borderId="5" xfId="0" applyNumberFormat="1" applyFill="1" applyBorder="1" applyAlignment="1">
      <alignment horizontal="center" vertical="center"/>
    </xf>
    <xf numFmtId="164" fontId="3" fillId="15" borderId="77" xfId="1" applyFont="1" applyFill="1" applyBorder="1" applyAlignment="1">
      <alignment horizontal="center" vertical="center"/>
    </xf>
    <xf numFmtId="41" fontId="0" fillId="0" borderId="78" xfId="0" applyNumberFormat="1" applyFill="1" applyBorder="1" applyAlignment="1">
      <alignment horizontal="center" vertical="center"/>
    </xf>
    <xf numFmtId="41" fontId="17" fillId="14" borderId="98" xfId="0" applyNumberFormat="1" applyFont="1" applyFill="1" applyBorder="1" applyAlignment="1">
      <alignment vertical="center"/>
    </xf>
    <xf numFmtId="41" fontId="0" fillId="0" borderId="47" xfId="0" applyNumberFormat="1" applyFill="1" applyBorder="1" applyAlignment="1">
      <alignment horizontal="center" vertical="center"/>
    </xf>
    <xf numFmtId="41" fontId="0" fillId="0" borderId="95" xfId="0" applyNumberFormat="1" applyFill="1" applyBorder="1" applyAlignment="1">
      <alignment horizontal="center" vertical="center"/>
    </xf>
    <xf numFmtId="164" fontId="0" fillId="0" borderId="5" xfId="1" applyFont="1" applyFill="1" applyBorder="1" applyAlignment="1">
      <alignment horizontal="center" vertical="center"/>
    </xf>
    <xf numFmtId="164" fontId="0" fillId="0" borderId="104" xfId="1" applyFont="1" applyFill="1" applyBorder="1" applyAlignment="1">
      <alignment horizontal="center" vertical="center"/>
    </xf>
    <xf numFmtId="41" fontId="0" fillId="0" borderId="79" xfId="0" applyNumberFormat="1" applyFill="1" applyBorder="1" applyAlignment="1">
      <alignment horizontal="center" vertical="center"/>
    </xf>
    <xf numFmtId="164" fontId="3" fillId="18" borderId="37" xfId="0" applyNumberFormat="1" applyFont="1" applyFill="1" applyBorder="1" applyAlignment="1">
      <alignment horizontal="center" vertical="center"/>
    </xf>
    <xf numFmtId="164" fontId="3" fillId="18" borderId="82" xfId="1" applyFont="1" applyFill="1" applyBorder="1" applyAlignment="1">
      <alignment horizontal="center" vertical="center"/>
    </xf>
    <xf numFmtId="164" fontId="0" fillId="0" borderId="20" xfId="1" applyFont="1" applyFill="1" applyBorder="1" applyAlignment="1">
      <alignment horizontal="center" vertical="center"/>
    </xf>
    <xf numFmtId="166" fontId="2" fillId="16" borderId="18" xfId="0" applyNumberFormat="1" applyFont="1" applyFill="1" applyBorder="1" applyAlignment="1">
      <alignment horizontal="center" vertical="center" wrapText="1"/>
    </xf>
    <xf numFmtId="166" fontId="24" fillId="16" borderId="79" xfId="0" applyNumberFormat="1" applyFont="1" applyFill="1" applyBorder="1" applyAlignment="1">
      <alignment horizontal="center" vertical="center" wrapText="1"/>
    </xf>
    <xf numFmtId="0" fontId="0" fillId="0" borderId="100" xfId="0" applyFont="1" applyFill="1" applyBorder="1"/>
    <xf numFmtId="167" fontId="3" fillId="18" borderId="38" xfId="6" applyNumberFormat="1" applyFont="1" applyFill="1" applyBorder="1" applyAlignment="1">
      <alignment horizontal="right" vertical="center"/>
    </xf>
    <xf numFmtId="170" fontId="0" fillId="0" borderId="100" xfId="7" applyNumberFormat="1" applyFont="1" applyBorder="1"/>
    <xf numFmtId="0" fontId="3" fillId="16" borderId="106" xfId="0" applyFont="1" applyFill="1" applyBorder="1" applyAlignment="1">
      <alignment horizontal="center" vertical="center" wrapText="1"/>
    </xf>
    <xf numFmtId="167" fontId="3" fillId="16" borderId="104" xfId="0" applyNumberFormat="1" applyFont="1" applyFill="1" applyBorder="1" applyAlignment="1">
      <alignment horizontal="center" vertical="center" wrapText="1"/>
    </xf>
    <xf numFmtId="167" fontId="3" fillId="16" borderId="108" xfId="6"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26" borderId="3" xfId="0" applyFont="1" applyFill="1" applyBorder="1" applyAlignment="1">
      <alignment horizontal="center" vertical="center"/>
    </xf>
    <xf numFmtId="0" fontId="8" fillId="26" borderId="45"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7" xfId="0" applyFont="1" applyFill="1" applyBorder="1" applyAlignment="1">
      <alignment horizontal="justify" vertical="center" wrapText="1"/>
    </xf>
    <xf numFmtId="166" fontId="3" fillId="0" borderId="1" xfId="0" applyNumberFormat="1" applyFont="1" applyFill="1" applyBorder="1" applyAlignment="1">
      <alignment vertical="center" wrapText="1"/>
    </xf>
    <xf numFmtId="167" fontId="3" fillId="0" borderId="3" xfId="6" applyNumberFormat="1" applyFont="1" applyFill="1" applyBorder="1" applyAlignment="1">
      <alignment horizontal="justify" vertical="center" wrapText="1"/>
    </xf>
    <xf numFmtId="41" fontId="14" fillId="17" borderId="16" xfId="1" applyNumberFormat="1" applyFont="1" applyFill="1" applyBorder="1" applyAlignment="1">
      <alignment horizontal="center" vertical="center"/>
    </xf>
    <xf numFmtId="41" fontId="14" fillId="17" borderId="9" xfId="1" applyNumberFormat="1" applyFont="1" applyFill="1" applyBorder="1" applyAlignment="1">
      <alignment horizontal="center" vertical="center"/>
    </xf>
    <xf numFmtId="3" fontId="27" fillId="17" borderId="9" xfId="1" applyNumberFormat="1" applyFont="1" applyFill="1" applyBorder="1" applyAlignment="1">
      <alignment horizontal="right" vertical="center"/>
    </xf>
    <xf numFmtId="3" fontId="14" fillId="17" borderId="9" xfId="1" applyNumberFormat="1" applyFont="1" applyFill="1" applyBorder="1" applyAlignment="1">
      <alignment horizontal="right" vertical="center"/>
    </xf>
    <xf numFmtId="164" fontId="4" fillId="13" borderId="99" xfId="0" applyNumberFormat="1" applyFont="1" applyFill="1" applyBorder="1" applyAlignment="1">
      <alignment vertical="center"/>
    </xf>
    <xf numFmtId="164" fontId="4" fillId="13" borderId="53" xfId="0" applyNumberFormat="1" applyFont="1" applyFill="1" applyBorder="1" applyAlignment="1">
      <alignment vertical="center"/>
    </xf>
    <xf numFmtId="164" fontId="4" fillId="13" borderId="37" xfId="0" applyNumberFormat="1" applyFont="1" applyFill="1" applyBorder="1" applyAlignment="1">
      <alignment vertical="center"/>
    </xf>
    <xf numFmtId="164" fontId="4" fillId="13" borderId="40" xfId="0" applyNumberFormat="1" applyFont="1" applyFill="1" applyBorder="1" applyAlignment="1">
      <alignment vertical="center"/>
    </xf>
    <xf numFmtId="3" fontId="27" fillId="17" borderId="72" xfId="1" applyNumberFormat="1" applyFont="1" applyFill="1" applyBorder="1" applyAlignment="1">
      <alignment horizontal="right" vertical="center"/>
    </xf>
    <xf numFmtId="3" fontId="27" fillId="17" borderId="73" xfId="1" applyNumberFormat="1" applyFont="1" applyFill="1" applyBorder="1" applyAlignment="1">
      <alignment horizontal="right" vertical="center"/>
    </xf>
    <xf numFmtId="3" fontId="39" fillId="28" borderId="80" xfId="0" applyNumberFormat="1" applyFont="1" applyFill="1" applyBorder="1"/>
    <xf numFmtId="164" fontId="8" fillId="13" borderId="12" xfId="0" applyNumberFormat="1" applyFont="1" applyFill="1" applyBorder="1" applyAlignment="1">
      <alignment vertical="center"/>
    </xf>
    <xf numFmtId="164" fontId="8" fillId="13" borderId="77" xfId="0" applyNumberFormat="1" applyFont="1" applyFill="1" applyBorder="1" applyAlignment="1">
      <alignment vertical="center"/>
    </xf>
    <xf numFmtId="164" fontId="8" fillId="13" borderId="82" xfId="0" applyNumberFormat="1" applyFont="1" applyFill="1" applyBorder="1" applyAlignment="1">
      <alignment vertical="center"/>
    </xf>
    <xf numFmtId="167" fontId="10" fillId="17" borderId="26" xfId="10" applyNumberFormat="1" applyFont="1" applyFill="1" applyBorder="1" applyAlignment="1">
      <alignment horizontal="center" vertical="center" wrapText="1"/>
    </xf>
    <xf numFmtId="167" fontId="10" fillId="17" borderId="18" xfId="10" applyNumberFormat="1" applyFont="1" applyFill="1" applyBorder="1" applyAlignment="1">
      <alignment horizontal="center" vertical="center" wrapText="1"/>
    </xf>
    <xf numFmtId="167" fontId="27" fillId="16" borderId="18" xfId="10" applyNumberFormat="1" applyFont="1" applyFill="1" applyBorder="1" applyAlignment="1">
      <alignment horizontal="center" vertical="center" wrapText="1"/>
    </xf>
    <xf numFmtId="167" fontId="10" fillId="16" borderId="18" xfId="10" applyNumberFormat="1" applyFont="1" applyFill="1" applyBorder="1" applyAlignment="1">
      <alignment horizontal="center" vertical="center" wrapText="1"/>
    </xf>
    <xf numFmtId="44" fontId="0" fillId="0" borderId="0" xfId="0" applyNumberFormat="1" applyAlignment="1">
      <alignment horizontal="right"/>
    </xf>
    <xf numFmtId="0" fontId="3" fillId="0" borderId="2" xfId="0" applyFont="1" applyFill="1" applyBorder="1" applyAlignment="1">
      <alignment horizontal="center" vertical="center" wrapText="1"/>
    </xf>
    <xf numFmtId="166" fontId="2" fillId="0" borderId="22" xfId="0" applyNumberFormat="1" applyFont="1" applyFill="1" applyBorder="1" applyAlignment="1">
      <alignment horizontal="justify" vertical="center" wrapText="1"/>
    </xf>
    <xf numFmtId="167" fontId="3" fillId="0" borderId="2" xfId="61" applyNumberFormat="1" applyFont="1" applyFill="1" applyBorder="1" applyAlignment="1">
      <alignment horizontal="center" vertical="center" wrapText="1"/>
    </xf>
    <xf numFmtId="0" fontId="20" fillId="33" borderId="85" xfId="0" applyFont="1" applyFill="1" applyBorder="1" applyAlignment="1">
      <alignment horizontal="center" vertical="center" wrapText="1"/>
    </xf>
    <xf numFmtId="176" fontId="2" fillId="6" borderId="2" xfId="0" applyNumberFormat="1" applyFont="1" applyFill="1" applyBorder="1" applyAlignment="1">
      <alignment horizontal="center" vertical="center" wrapText="1"/>
    </xf>
    <xf numFmtId="167" fontId="2" fillId="16" borderId="5" xfId="6" applyNumberFormat="1" applyFont="1" applyFill="1" applyBorder="1" applyAlignment="1">
      <alignment horizontal="center" vertical="center" wrapText="1"/>
    </xf>
    <xf numFmtId="166" fontId="3" fillId="0" borderId="8" xfId="6" applyNumberFormat="1" applyFont="1" applyFill="1" applyBorder="1" applyAlignment="1">
      <alignment horizontal="center" vertical="center" wrapText="1"/>
    </xf>
    <xf numFmtId="166" fontId="3" fillId="0" borderId="72" xfId="6" applyNumberFormat="1" applyFont="1" applyFill="1" applyBorder="1" applyAlignment="1">
      <alignment horizontal="center" vertical="center" wrapText="1"/>
    </xf>
    <xf numFmtId="170" fontId="3" fillId="0" borderId="2" xfId="0" applyNumberFormat="1" applyFont="1" applyFill="1" applyBorder="1" applyAlignment="1">
      <alignment horizontal="center" vertical="center" wrapText="1"/>
    </xf>
    <xf numFmtId="166" fontId="3" fillId="0" borderId="18" xfId="0" applyNumberFormat="1" applyFont="1" applyBorder="1" applyAlignment="1">
      <alignment horizontal="right" vertical="center" wrapText="1"/>
    </xf>
    <xf numFmtId="166" fontId="3" fillId="0" borderId="18" xfId="0" applyNumberFormat="1" applyFont="1" applyBorder="1" applyAlignment="1">
      <alignment horizontal="center" vertical="center"/>
    </xf>
    <xf numFmtId="166" fontId="3" fillId="0" borderId="18" xfId="0" applyNumberFormat="1" applyFont="1" applyBorder="1" applyAlignment="1">
      <alignment horizontal="center" vertical="center" wrapText="1"/>
    </xf>
    <xf numFmtId="166" fontId="3" fillId="0" borderId="78" xfId="0" applyNumberFormat="1" applyFont="1" applyBorder="1" applyAlignment="1">
      <alignment horizontal="center" vertical="center"/>
    </xf>
    <xf numFmtId="166" fontId="0" fillId="0" borderId="0" xfId="0" applyNumberFormat="1" applyFill="1" applyAlignment="1">
      <alignment vertical="center"/>
    </xf>
    <xf numFmtId="166" fontId="3" fillId="0" borderId="78" xfId="0" applyNumberFormat="1" applyFont="1" applyBorder="1" applyAlignment="1">
      <alignment vertical="center"/>
    </xf>
    <xf numFmtId="166" fontId="3" fillId="0" borderId="78" xfId="0" applyNumberFormat="1" applyFont="1" applyBorder="1" applyAlignment="1">
      <alignment horizontal="right"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66" fontId="0" fillId="0" borderId="0" xfId="0" applyNumberFormat="1" applyFont="1" applyFill="1" applyAlignment="1">
      <alignment vertical="center"/>
    </xf>
    <xf numFmtId="166" fontId="3" fillId="0" borderId="4" xfId="0" applyNumberFormat="1" applyFont="1" applyFill="1" applyBorder="1" applyAlignment="1">
      <alignment horizontal="center" vertical="center" wrapText="1"/>
    </xf>
    <xf numFmtId="0" fontId="2" fillId="0" borderId="112" xfId="0" applyFont="1" applyFill="1" applyBorder="1" applyAlignment="1">
      <alignment horizontal="justify" vertical="center" wrapText="1"/>
    </xf>
    <xf numFmtId="1" fontId="3" fillId="0" borderId="9" xfId="0" applyNumberFormat="1" applyFont="1" applyFill="1" applyBorder="1" applyAlignment="1">
      <alignment horizontal="center" vertical="center" wrapText="1"/>
    </xf>
    <xf numFmtId="166" fontId="3" fillId="0" borderId="113" xfId="0" applyNumberFormat="1" applyFont="1" applyFill="1" applyBorder="1" applyAlignment="1">
      <alignment horizontal="center" vertical="center" wrapText="1"/>
    </xf>
    <xf numFmtId="0" fontId="2" fillId="0" borderId="114" xfId="0" applyFont="1" applyFill="1" applyBorder="1" applyAlignment="1">
      <alignment horizontal="justify" vertical="center" wrapText="1"/>
    </xf>
    <xf numFmtId="166" fontId="3" fillId="0" borderId="113" xfId="0" applyNumberFormat="1" applyFont="1" applyFill="1" applyBorder="1" applyAlignment="1">
      <alignment horizontal="right" vertical="center" wrapText="1"/>
    </xf>
    <xf numFmtId="0" fontId="3" fillId="0" borderId="113" xfId="0" applyFont="1" applyFill="1" applyBorder="1" applyAlignment="1">
      <alignment horizontal="center" vertical="center" wrapText="1"/>
    </xf>
    <xf numFmtId="0" fontId="2" fillId="0" borderId="113" xfId="0" applyFont="1" applyFill="1" applyBorder="1" applyAlignment="1">
      <alignment horizontal="center" vertical="center" wrapText="1"/>
    </xf>
    <xf numFmtId="170" fontId="3" fillId="0" borderId="8" xfId="7" applyNumberFormat="1" applyFont="1" applyFill="1" applyBorder="1" applyAlignment="1">
      <alignment horizontal="center" vertical="center" wrapText="1"/>
    </xf>
    <xf numFmtId="170" fontId="3" fillId="0" borderId="72" xfId="7"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2" fontId="0" fillId="0" borderId="0" xfId="8" applyFont="1"/>
    <xf numFmtId="42" fontId="2" fillId="0" borderId="0" xfId="8" applyFont="1" applyFill="1"/>
    <xf numFmtId="0" fontId="2" fillId="0" borderId="0" xfId="0" applyFont="1" applyFill="1" applyAlignment="1">
      <alignment horizontal="center" vertical="center"/>
    </xf>
    <xf numFmtId="44" fontId="3" fillId="0" borderId="2" xfId="0" applyNumberFormat="1" applyFont="1" applyFill="1" applyBorder="1" applyAlignment="1">
      <alignment horizontal="center" vertical="center" wrapText="1"/>
    </xf>
    <xf numFmtId="166" fontId="3" fillId="0" borderId="2" xfId="0" applyNumberFormat="1" applyFont="1" applyBorder="1" applyAlignment="1">
      <alignment horizontal="center" vertical="center" wrapText="1"/>
    </xf>
    <xf numFmtId="18" fontId="0" fillId="0" borderId="0" xfId="0" applyNumberFormat="1"/>
    <xf numFmtId="170" fontId="20" fillId="16" borderId="2" xfId="7" applyNumberFormat="1" applyFont="1" applyFill="1" applyBorder="1" applyAlignment="1">
      <alignment horizontal="justify" vertical="center" wrapText="1"/>
    </xf>
    <xf numFmtId="166" fontId="3" fillId="0" borderId="0" xfId="0" applyNumberFormat="1" applyFont="1" applyAlignment="1">
      <alignment vertical="center"/>
    </xf>
    <xf numFmtId="0" fontId="3" fillId="0" borderId="2" xfId="0" applyFont="1" applyFill="1" applyBorder="1" applyAlignment="1">
      <alignment horizontal="center" vertical="center" wrapText="1"/>
    </xf>
    <xf numFmtId="42" fontId="2" fillId="0" borderId="0" xfId="0" applyNumberFormat="1" applyFont="1" applyFill="1"/>
    <xf numFmtId="167" fontId="3" fillId="0" borderId="2" xfId="0" applyNumberFormat="1" applyFont="1" applyFill="1" applyBorder="1" applyAlignment="1">
      <alignment vertical="center" wrapText="1"/>
    </xf>
    <xf numFmtId="166" fontId="3" fillId="0" borderId="115" xfId="0" applyNumberFormat="1" applyFont="1" applyFill="1" applyBorder="1" applyAlignment="1">
      <alignment horizontal="center" vertical="center" wrapText="1"/>
    </xf>
    <xf numFmtId="167" fontId="9" fillId="0" borderId="74" xfId="10" applyNumberFormat="1" applyFont="1" applyFill="1" applyBorder="1" applyAlignment="1">
      <alignment horizontal="center" vertical="center" wrapText="1"/>
    </xf>
    <xf numFmtId="170" fontId="3" fillId="0" borderId="116" xfId="7" applyNumberFormat="1" applyFont="1" applyBorder="1" applyAlignment="1">
      <alignment horizontal="center" vertical="center"/>
    </xf>
    <xf numFmtId="42" fontId="3" fillId="0" borderId="116" xfId="7" applyNumberFormat="1" applyFont="1" applyBorder="1" applyAlignment="1">
      <alignment horizontal="center" vertical="center"/>
    </xf>
    <xf numFmtId="167" fontId="9" fillId="0" borderId="8" xfId="10" applyNumberFormat="1" applyFont="1" applyFill="1" applyBorder="1" applyAlignment="1">
      <alignment horizontal="center" vertical="center" wrapText="1"/>
    </xf>
    <xf numFmtId="167" fontId="20" fillId="0" borderId="8" xfId="10" applyNumberFormat="1" applyFont="1" applyFill="1" applyBorder="1" applyAlignment="1">
      <alignment horizontal="center" vertical="center" wrapText="1"/>
    </xf>
    <xf numFmtId="170" fontId="8" fillId="13" borderId="116" xfId="0" applyNumberFormat="1" applyFont="1" applyFill="1" applyBorder="1" applyAlignment="1">
      <alignment horizontal="center" vertical="center"/>
    </xf>
    <xf numFmtId="0" fontId="20" fillId="13" borderId="116" xfId="0" applyFont="1" applyFill="1" applyBorder="1" applyAlignment="1">
      <alignment horizontal="center" vertical="center" wrapText="1"/>
    </xf>
    <xf numFmtId="0" fontId="50" fillId="13" borderId="116" xfId="0" applyFont="1" applyFill="1" applyBorder="1" applyAlignment="1">
      <alignment horizontal="center" vertical="center"/>
    </xf>
    <xf numFmtId="0" fontId="24" fillId="25" borderId="116" xfId="0" applyFont="1" applyFill="1" applyBorder="1" applyAlignment="1">
      <alignment horizontal="center" vertical="center" wrapText="1"/>
    </xf>
    <xf numFmtId="0" fontId="24" fillId="25" borderId="116" xfId="0" applyFont="1" applyFill="1" applyBorder="1" applyAlignment="1">
      <alignment horizontal="left" vertical="center" wrapText="1"/>
    </xf>
    <xf numFmtId="0" fontId="24" fillId="25" borderId="116" xfId="0" applyFont="1" applyFill="1" applyBorder="1" applyAlignment="1">
      <alignment vertical="center" wrapText="1"/>
    </xf>
    <xf numFmtId="170" fontId="4" fillId="0" borderId="116" xfId="7" applyNumberFormat="1" applyFont="1" applyBorder="1" applyAlignment="1">
      <alignment horizontal="center" vertical="center"/>
    </xf>
    <xf numFmtId="3" fontId="25" fillId="0" borderId="2" xfId="6" applyNumberFormat="1" applyFont="1" applyFill="1" applyBorder="1" applyAlignment="1">
      <alignment vertical="center"/>
    </xf>
    <xf numFmtId="3" fontId="14" fillId="17" borderId="108" xfId="1" applyNumberFormat="1" applyFont="1" applyFill="1" applyBorder="1" applyAlignment="1">
      <alignment horizontal="right" vertical="center"/>
    </xf>
    <xf numFmtId="3" fontId="14" fillId="17" borderId="73" xfId="1" applyNumberFormat="1" applyFont="1" applyFill="1" applyBorder="1" applyAlignment="1">
      <alignment horizontal="center" vertical="center"/>
    </xf>
    <xf numFmtId="3" fontId="14" fillId="17" borderId="83" xfId="1" applyNumberFormat="1" applyFont="1" applyFill="1" applyBorder="1" applyAlignment="1">
      <alignment horizontal="center" vertical="center" wrapText="1"/>
    </xf>
    <xf numFmtId="3" fontId="14" fillId="17" borderId="72" xfId="1" applyNumberFormat="1" applyFont="1" applyFill="1" applyBorder="1" applyAlignment="1">
      <alignment horizontal="center" vertical="center"/>
    </xf>
    <xf numFmtId="3" fontId="14" fillId="17" borderId="78" xfId="1" applyNumberFormat="1" applyFont="1" applyFill="1" applyBorder="1" applyAlignment="1">
      <alignment horizontal="center" vertical="center" wrapText="1"/>
    </xf>
    <xf numFmtId="3" fontId="14" fillId="17" borderId="78" xfId="1" applyNumberFormat="1" applyFont="1" applyFill="1" applyBorder="1" applyAlignment="1">
      <alignment horizontal="center" vertical="center"/>
    </xf>
    <xf numFmtId="3" fontId="27" fillId="17" borderId="72" xfId="1" applyNumberFormat="1" applyFont="1" applyFill="1" applyBorder="1" applyAlignment="1">
      <alignment horizontal="center" vertical="center"/>
    </xf>
    <xf numFmtId="3" fontId="27" fillId="17" borderId="78" xfId="1" applyNumberFormat="1" applyFont="1" applyFill="1" applyBorder="1" applyAlignment="1">
      <alignment horizontal="center" vertical="center"/>
    </xf>
    <xf numFmtId="170" fontId="4" fillId="0" borderId="116" xfId="0" applyNumberFormat="1" applyFont="1" applyBorder="1" applyAlignment="1">
      <alignment horizontal="center" vertical="center"/>
    </xf>
    <xf numFmtId="2" fontId="14" fillId="0" borderId="0" xfId="0" applyNumberFormat="1" applyFont="1"/>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66" fontId="14" fillId="0" borderId="8" xfId="0" applyNumberFormat="1" applyFont="1" applyFill="1" applyBorder="1" applyAlignment="1">
      <alignment horizontal="center" vertical="center" wrapText="1"/>
    </xf>
    <xf numFmtId="166" fontId="14" fillId="0" borderId="8" xfId="0" applyNumberFormat="1" applyFont="1" applyFill="1" applyBorder="1" applyAlignment="1">
      <alignment horizontal="right" vertical="center" wrapText="1"/>
    </xf>
    <xf numFmtId="166" fontId="14" fillId="0" borderId="72" xfId="0" applyNumberFormat="1" applyFont="1" applyFill="1" applyBorder="1" applyAlignment="1">
      <alignment horizontal="right" vertical="center"/>
    </xf>
    <xf numFmtId="166" fontId="0" fillId="0" borderId="0" xfId="0" applyNumberFormat="1" applyFont="1" applyAlignment="1">
      <alignment vertical="center"/>
    </xf>
    <xf numFmtId="177" fontId="0" fillId="0" borderId="0" xfId="0" applyNumberFormat="1" applyFont="1"/>
    <xf numFmtId="0" fontId="3" fillId="0" borderId="2" xfId="0" applyFont="1" applyFill="1" applyBorder="1" applyAlignment="1">
      <alignment horizontal="center" vertical="center" wrapText="1"/>
    </xf>
    <xf numFmtId="0" fontId="36" fillId="0" borderId="1"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166" fontId="3" fillId="0" borderId="72" xfId="0" applyNumberFormat="1" applyFont="1" applyBorder="1" applyAlignment="1">
      <alignment horizontal="right" vertical="center" wrapText="1"/>
    </xf>
    <xf numFmtId="178" fontId="0" fillId="38" borderId="0" xfId="0" applyNumberFormat="1" applyFill="1"/>
    <xf numFmtId="170" fontId="17" fillId="38" borderId="0" xfId="7" applyNumberFormat="1" applyFont="1" applyFill="1"/>
    <xf numFmtId="170" fontId="0" fillId="0" borderId="0" xfId="0" applyNumberFormat="1"/>
    <xf numFmtId="44" fontId="0" fillId="0" borderId="0" xfId="0" applyNumberFormat="1"/>
    <xf numFmtId="170" fontId="3" fillId="4" borderId="0" xfId="0" applyNumberFormat="1" applyFont="1" applyFill="1"/>
    <xf numFmtId="42" fontId="17" fillId="0" borderId="0" xfId="0" applyNumberFormat="1" applyFont="1"/>
    <xf numFmtId="170" fontId="0" fillId="0" borderId="0" xfId="7" applyNumberFormat="1" applyFont="1" applyFill="1"/>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170" fontId="0" fillId="0" borderId="0" xfId="0" applyNumberFormat="1" applyFill="1"/>
    <xf numFmtId="0" fontId="3" fillId="0" borderId="8" xfId="0" applyFont="1" applyFill="1" applyBorder="1" applyAlignment="1">
      <alignment horizontal="center" vertical="center"/>
    </xf>
    <xf numFmtId="0" fontId="54" fillId="0" borderId="123" xfId="0" applyFont="1" applyFill="1" applyBorder="1" applyAlignment="1">
      <alignment horizontal="left" vertical="center" wrapText="1"/>
    </xf>
    <xf numFmtId="166" fontId="3" fillId="0" borderId="8" xfId="0" applyNumberFormat="1" applyFont="1" applyFill="1" applyBorder="1" applyAlignment="1">
      <alignment vertical="center" wrapText="1"/>
    </xf>
    <xf numFmtId="0" fontId="2" fillId="0" borderId="12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7" fillId="0" borderId="2" xfId="0" applyFont="1" applyFill="1" applyBorder="1" applyAlignment="1">
      <alignment horizontal="center" vertical="center" wrapText="1"/>
    </xf>
    <xf numFmtId="49" fontId="3" fillId="0" borderId="0" xfId="0" applyNumberFormat="1" applyFont="1" applyAlignment="1">
      <alignment horizontal="center" vertical="center"/>
    </xf>
    <xf numFmtId="166" fontId="3" fillId="0" borderId="0" xfId="0" applyNumberFormat="1" applyFont="1" applyAlignment="1">
      <alignment horizontal="right" vertical="center" wrapText="1"/>
    </xf>
    <xf numFmtId="166" fontId="3" fillId="0" borderId="4" xfId="0" applyNumberFormat="1" applyFont="1" applyBorder="1" applyAlignment="1">
      <alignment horizontal="right" vertical="center" wrapText="1"/>
    </xf>
    <xf numFmtId="166" fontId="3" fillId="0" borderId="8" xfId="6" applyNumberFormat="1" applyFont="1" applyFill="1" applyBorder="1" applyAlignment="1">
      <alignment horizontal="right" vertical="center" wrapText="1"/>
    </xf>
    <xf numFmtId="166" fontId="3" fillId="0" borderId="72" xfId="6" applyNumberFormat="1" applyFont="1" applyFill="1" applyBorder="1" applyAlignment="1">
      <alignment horizontal="right" vertical="center" wrapText="1"/>
    </xf>
    <xf numFmtId="170" fontId="3" fillId="0" borderId="44" xfId="7" applyNumberFormat="1" applyFont="1" applyFill="1" applyBorder="1" applyAlignment="1">
      <alignment horizontal="center" vertical="center" wrapText="1"/>
    </xf>
    <xf numFmtId="44" fontId="3" fillId="0" borderId="0" xfId="7" applyFont="1"/>
    <xf numFmtId="164" fontId="2" fillId="0" borderId="0" xfId="0" applyNumberFormat="1" applyFont="1" applyFill="1"/>
    <xf numFmtId="164" fontId="20" fillId="0" borderId="0" xfId="0" applyNumberFormat="1" applyFont="1" applyFill="1"/>
    <xf numFmtId="170" fontId="2" fillId="0" borderId="0" xfId="7" applyNumberFormat="1" applyFont="1" applyFill="1"/>
    <xf numFmtId="164" fontId="4" fillId="0" borderId="0" xfId="0" applyNumberFormat="1" applyFont="1"/>
    <xf numFmtId="0" fontId="0" fillId="0" borderId="54" xfId="0" applyBorder="1"/>
    <xf numFmtId="0" fontId="0" fillId="0" borderId="14" xfId="0" applyBorder="1"/>
    <xf numFmtId="0" fontId="0" fillId="0" borderId="55" xfId="0" applyBorder="1"/>
    <xf numFmtId="0" fontId="46" fillId="0" borderId="0" xfId="0" applyFont="1" applyBorder="1"/>
    <xf numFmtId="0" fontId="46" fillId="0" borderId="97" xfId="0" applyFont="1" applyBorder="1"/>
    <xf numFmtId="170" fontId="0" fillId="0" borderId="0" xfId="7" applyNumberFormat="1" applyFont="1" applyBorder="1"/>
    <xf numFmtId="170" fontId="0" fillId="0" borderId="97" xfId="7" applyNumberFormat="1" applyFont="1" applyBorder="1"/>
    <xf numFmtId="170" fontId="17" fillId="0" borderId="0" xfId="0" applyNumberFormat="1" applyFont="1" applyBorder="1"/>
    <xf numFmtId="170" fontId="17" fillId="0" borderId="97" xfId="0" applyNumberFormat="1" applyFont="1" applyBorder="1"/>
    <xf numFmtId="0" fontId="0" fillId="0" borderId="97" xfId="0" applyBorder="1"/>
    <xf numFmtId="0" fontId="0" fillId="0" borderId="49" xfId="0" applyBorder="1"/>
    <xf numFmtId="170" fontId="0" fillId="0" borderId="48" xfId="7" applyNumberFormat="1" applyFont="1" applyBorder="1"/>
    <xf numFmtId="0" fontId="0" fillId="0" borderId="98" xfId="0" applyBorder="1"/>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9" fillId="0" borderId="0" xfId="0" applyFont="1" applyFill="1"/>
    <xf numFmtId="170" fontId="3" fillId="0" borderId="2" xfId="7" applyNumberFormat="1" applyFont="1" applyFill="1" applyBorder="1" applyAlignment="1">
      <alignment horizontal="right" vertical="center" wrapText="1"/>
    </xf>
    <xf numFmtId="166" fontId="3" fillId="0" borderId="81" xfId="0" applyNumberFormat="1" applyFont="1" applyFill="1" applyBorder="1" applyAlignment="1">
      <alignment horizontal="center" vertical="center" wrapText="1"/>
    </xf>
    <xf numFmtId="171" fontId="3" fillId="0" borderId="8" xfId="0" applyNumberFormat="1" applyFont="1" applyFill="1" applyBorder="1" applyAlignment="1">
      <alignment horizontal="right" vertical="center"/>
    </xf>
    <xf numFmtId="171" fontId="3" fillId="0" borderId="8"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wrapText="1"/>
    </xf>
    <xf numFmtId="170" fontId="3" fillId="0" borderId="44" xfId="0" applyNumberFormat="1" applyFont="1" applyFill="1" applyBorder="1" applyAlignment="1">
      <alignment horizontal="center" vertical="center" wrapText="1"/>
    </xf>
    <xf numFmtId="14" fontId="0" fillId="0" borderId="0" xfId="0" applyNumberFormat="1" applyFill="1"/>
    <xf numFmtId="170" fontId="20" fillId="18" borderId="37" xfId="7" applyNumberFormat="1" applyFont="1" applyFill="1" applyBorder="1" applyAlignment="1">
      <alignment horizontal="center" vertical="center" wrapText="1"/>
    </xf>
    <xf numFmtId="0" fontId="20" fillId="18" borderId="37" xfId="0" applyFont="1" applyFill="1" applyBorder="1" applyAlignment="1">
      <alignment horizontal="center" vertical="center" wrapText="1"/>
    </xf>
    <xf numFmtId="44" fontId="20" fillId="18" borderId="38" xfId="7" applyFont="1" applyFill="1" applyBorder="1" applyAlignment="1">
      <alignment horizontal="center" vertical="center" wrapText="1"/>
    </xf>
    <xf numFmtId="0" fontId="20" fillId="18" borderId="36" xfId="0" applyFont="1" applyFill="1" applyBorder="1" applyAlignment="1">
      <alignment horizontal="center" vertical="center" wrapText="1"/>
    </xf>
    <xf numFmtId="44" fontId="20" fillId="18" borderId="77" xfId="7" applyFont="1" applyFill="1" applyBorder="1" applyAlignment="1">
      <alignment horizontal="center" vertical="center" wrapText="1"/>
    </xf>
    <xf numFmtId="170" fontId="20" fillId="18" borderId="11" xfId="7" applyNumberFormat="1" applyFont="1" applyFill="1" applyBorder="1" applyAlignment="1">
      <alignment horizontal="center" vertical="center" wrapText="1"/>
    </xf>
    <xf numFmtId="166" fontId="2" fillId="3" borderId="8"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66" fontId="46" fillId="0" borderId="0" xfId="0" applyNumberFormat="1" applyFont="1" applyAlignment="1">
      <alignment vertical="center"/>
    </xf>
    <xf numFmtId="4" fontId="3" fillId="0" borderId="2" xfId="0" applyNumberFormat="1" applyFont="1" applyFill="1" applyBorder="1" applyAlignment="1">
      <alignment horizontal="center" vertical="center" wrapText="1"/>
    </xf>
    <xf numFmtId="166" fontId="3" fillId="0" borderId="7" xfId="2" applyNumberFormat="1" applyFont="1" applyFill="1" applyBorder="1" applyAlignment="1">
      <alignment horizontal="center" vertical="center" wrapText="1"/>
    </xf>
    <xf numFmtId="166" fontId="3" fillId="0" borderId="7" xfId="0" applyNumberFormat="1" applyFont="1" applyFill="1" applyBorder="1" applyAlignment="1">
      <alignment horizontal="center" vertical="center" wrapText="1"/>
    </xf>
    <xf numFmtId="42" fontId="3" fillId="0" borderId="7" xfId="8" applyNumberFormat="1" applyFont="1" applyFill="1" applyBorder="1" applyAlignment="1">
      <alignment horizontal="center" vertical="center"/>
    </xf>
    <xf numFmtId="3" fontId="2" fillId="0" borderId="7" xfId="0" applyNumberFormat="1" applyFont="1" applyFill="1" applyBorder="1" applyAlignment="1">
      <alignment horizontal="center"/>
    </xf>
    <xf numFmtId="3" fontId="2" fillId="0" borderId="7" xfId="0" applyNumberFormat="1" applyFont="1" applyFill="1" applyBorder="1" applyAlignment="1">
      <alignment horizontal="center" vertical="center" wrapText="1"/>
    </xf>
    <xf numFmtId="170" fontId="3" fillId="0" borderId="97" xfId="7" applyNumberFormat="1" applyFont="1" applyFill="1" applyBorder="1" applyAlignment="1">
      <alignment vertical="center"/>
    </xf>
    <xf numFmtId="44" fontId="0" fillId="0" borderId="0" xfId="0" applyNumberFormat="1" applyFill="1"/>
    <xf numFmtId="44" fontId="3" fillId="0" borderId="0" xfId="0" applyNumberFormat="1" applyFont="1" applyFill="1"/>
    <xf numFmtId="0" fontId="0" fillId="15" borderId="54" xfId="0" applyFill="1" applyBorder="1" applyAlignment="1">
      <alignment horizontal="center" vertical="center"/>
    </xf>
    <xf numFmtId="0" fontId="0" fillId="15" borderId="49" xfId="0" applyFill="1" applyBorder="1"/>
    <xf numFmtId="0" fontId="20" fillId="15" borderId="54" xfId="0" applyFont="1" applyFill="1" applyBorder="1"/>
    <xf numFmtId="0" fontId="20" fillId="15" borderId="49" xfId="0" applyFont="1" applyFill="1" applyBorder="1"/>
    <xf numFmtId="0" fontId="20" fillId="15" borderId="48" xfId="0" applyFont="1" applyFill="1" applyBorder="1"/>
    <xf numFmtId="0" fontId="2" fillId="15" borderId="48" xfId="0" applyFont="1" applyFill="1" applyBorder="1"/>
    <xf numFmtId="0" fontId="2" fillId="15" borderId="98" xfId="0" applyFont="1" applyFill="1" applyBorder="1"/>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166" fontId="3" fillId="0" borderId="22" xfId="0" applyNumberFormat="1" applyFont="1" applyFill="1" applyBorder="1" applyAlignment="1">
      <alignment vertical="center" wrapText="1"/>
    </xf>
    <xf numFmtId="42" fontId="2" fillId="0" borderId="2" xfId="0" applyNumberFormat="1" applyFont="1" applyFill="1" applyBorder="1" applyAlignment="1">
      <alignment horizontal="center" vertical="center"/>
    </xf>
    <xf numFmtId="166" fontId="2" fillId="16" borderId="1" xfId="0" applyNumberFormat="1" applyFont="1" applyFill="1" applyBorder="1" applyAlignment="1">
      <alignment horizontal="justify"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67" fontId="3" fillId="0" borderId="18" xfId="6" applyNumberFormat="1" applyFont="1" applyFill="1" applyBorder="1" applyAlignment="1">
      <alignment horizontal="right" vertical="center"/>
    </xf>
    <xf numFmtId="166" fontId="2" fillId="0" borderId="18" xfId="0" applyNumberFormat="1" applyFont="1" applyFill="1" applyBorder="1" applyAlignment="1">
      <alignment horizontal="right" vertical="center" wrapText="1"/>
    </xf>
    <xf numFmtId="42" fontId="0" fillId="0" borderId="0" xfId="0" applyNumberFormat="1" applyFill="1"/>
    <xf numFmtId="0" fontId="3" fillId="0" borderId="2" xfId="0" applyFont="1" applyFill="1" applyBorder="1" applyAlignment="1">
      <alignment horizontal="center" vertical="center" wrapText="1"/>
    </xf>
    <xf numFmtId="0" fontId="17" fillId="28" borderId="0" xfId="0" applyFont="1" applyFill="1"/>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1" fontId="3" fillId="0" borderId="0" xfId="0" applyNumberFormat="1" applyFont="1"/>
    <xf numFmtId="166" fontId="17" fillId="0" borderId="0" xfId="0" applyNumberFormat="1" applyFont="1" applyFill="1"/>
    <xf numFmtId="170" fontId="23" fillId="0" borderId="8" xfId="7" applyNumberFormat="1" applyFont="1" applyFill="1" applyBorder="1" applyAlignment="1">
      <alignment horizontal="right"/>
    </xf>
    <xf numFmtId="167" fontId="3" fillId="0" borderId="72" xfId="6"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xf>
    <xf numFmtId="167" fontId="3" fillId="0" borderId="10" xfId="6" applyNumberFormat="1" applyFont="1" applyFill="1" applyBorder="1" applyAlignment="1">
      <alignment horizontal="justify" vertical="center"/>
    </xf>
    <xf numFmtId="170" fontId="17" fillId="0" borderId="0" xfId="7" applyNumberFormat="1" applyFont="1" applyFill="1"/>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44" fontId="3" fillId="0" borderId="72" xfId="7" applyFont="1" applyFill="1" applyBorder="1" applyAlignment="1">
      <alignment horizontal="center" vertical="center" wrapText="1"/>
    </xf>
    <xf numFmtId="1" fontId="3" fillId="9" borderId="72" xfId="6" applyNumberFormat="1" applyFont="1" applyFill="1" applyBorder="1" applyAlignment="1">
      <alignment horizontal="center" vertical="center" wrapText="1"/>
    </xf>
    <xf numFmtId="0" fontId="14" fillId="0" borderId="1" xfId="2" applyFont="1" applyFill="1" applyBorder="1" applyAlignment="1">
      <alignment horizontal="justify" vertical="center"/>
    </xf>
    <xf numFmtId="0" fontId="3" fillId="0" borderId="10" xfId="0" applyFont="1" applyFill="1" applyBorder="1" applyAlignment="1">
      <alignment horizontal="center" vertical="center" wrapText="1"/>
    </xf>
    <xf numFmtId="166" fontId="3" fillId="0" borderId="10" xfId="0" applyNumberFormat="1" applyFont="1" applyFill="1" applyBorder="1" applyAlignment="1">
      <alignment horizontal="center" vertical="center"/>
    </xf>
    <xf numFmtId="166" fontId="3" fillId="0" borderId="76" xfId="0" applyNumberFormat="1" applyFont="1" applyFill="1" applyBorder="1" applyAlignment="1">
      <alignment horizontal="center" vertical="center"/>
    </xf>
    <xf numFmtId="166" fontId="2" fillId="15" borderId="13" xfId="0" applyNumberFormat="1" applyFont="1" applyFill="1" applyBorder="1" applyAlignment="1">
      <alignment horizontal="center" vertical="center" wrapText="1"/>
    </xf>
    <xf numFmtId="166" fontId="3" fillId="0" borderId="9" xfId="0" applyNumberFormat="1" applyFont="1" applyFill="1" applyBorder="1" applyAlignment="1">
      <alignment horizontal="center" vertical="center"/>
    </xf>
    <xf numFmtId="166" fontId="24" fillId="5" borderId="14" xfId="0" applyNumberFormat="1" applyFont="1" applyFill="1" applyBorder="1" applyAlignment="1">
      <alignment horizontal="center" vertical="center" wrapText="1"/>
    </xf>
    <xf numFmtId="166" fontId="24" fillId="16" borderId="9" xfId="0" applyNumberFormat="1" applyFont="1" applyFill="1" applyBorder="1" applyAlignment="1">
      <alignment horizontal="center" vertical="center" wrapText="1"/>
    </xf>
    <xf numFmtId="166" fontId="3" fillId="33" borderId="9"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66" fontId="3" fillId="0" borderId="2" xfId="7" applyNumberFormat="1" applyFont="1" applyFill="1" applyBorder="1" applyAlignment="1">
      <alignment horizontal="center" vertical="center" wrapText="1"/>
    </xf>
    <xf numFmtId="166" fontId="3" fillId="0" borderId="2" xfId="0" applyNumberFormat="1" applyFont="1" applyBorder="1" applyAlignment="1">
      <alignment vertical="center" wrapText="1"/>
    </xf>
    <xf numFmtId="166" fontId="3" fillId="0" borderId="18" xfId="6" applyNumberFormat="1" applyFont="1" applyFill="1" applyBorder="1" applyAlignment="1">
      <alignment vertical="center" wrapText="1"/>
    </xf>
    <xf numFmtId="166" fontId="3" fillId="0" borderId="8" xfId="6" applyNumberFormat="1" applyFont="1" applyFill="1" applyBorder="1" applyAlignment="1">
      <alignment vertical="center" wrapText="1"/>
    </xf>
    <xf numFmtId="166" fontId="3" fillId="0" borderId="72" xfId="6" applyNumberFormat="1" applyFont="1" applyFill="1" applyBorder="1" applyAlignment="1">
      <alignment vertical="center" wrapText="1"/>
    </xf>
    <xf numFmtId="1" fontId="0" fillId="0" borderId="0" xfId="0" applyNumberFormat="1" applyAlignment="1">
      <alignment vertical="center"/>
    </xf>
    <xf numFmtId="166" fontId="3" fillId="0" borderId="72" xfId="0" applyNumberFormat="1" applyFont="1" applyBorder="1" applyAlignment="1">
      <alignment vertical="center" wrapText="1"/>
    </xf>
    <xf numFmtId="6" fontId="0" fillId="0" borderId="0" xfId="0" applyNumberFormat="1" applyFont="1" applyAlignment="1">
      <alignment horizontal="center" vertical="center"/>
    </xf>
    <xf numFmtId="0" fontId="3" fillId="0" borderId="5" xfId="0" applyFont="1" applyFill="1" applyBorder="1" applyAlignment="1">
      <alignment horizontal="justify" vertical="center" wrapText="1"/>
    </xf>
    <xf numFmtId="167" fontId="17" fillId="0" borderId="0" xfId="0" applyNumberFormat="1" applyFont="1" applyFill="1"/>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167" fontId="3" fillId="0" borderId="7" xfId="6" applyNumberFormat="1" applyFont="1" applyFill="1" applyBorder="1" applyAlignment="1">
      <alignment horizontal="justify" vertical="center" wrapText="1"/>
    </xf>
    <xf numFmtId="167" fontId="3" fillId="0" borderId="10" xfId="6" applyNumberFormat="1" applyFont="1" applyFill="1" applyBorder="1" applyAlignment="1">
      <alignment horizontal="justify" vertical="center" wrapText="1"/>
    </xf>
    <xf numFmtId="1" fontId="3" fillId="0" borderId="8" xfId="0" applyNumberFormat="1" applyFont="1" applyFill="1" applyBorder="1" applyAlignment="1">
      <alignment horizontal="center" vertical="center" wrapText="1"/>
    </xf>
    <xf numFmtId="166" fontId="2" fillId="0" borderId="113" xfId="0" applyNumberFormat="1" applyFont="1" applyFill="1" applyBorder="1" applyAlignment="1">
      <alignment horizontal="center" vertical="center" wrapText="1"/>
    </xf>
    <xf numFmtId="166" fontId="3" fillId="0" borderId="2" xfId="0" applyNumberFormat="1" applyFont="1" applyFill="1" applyBorder="1" applyAlignment="1">
      <alignment vertical="center" wrapText="1"/>
    </xf>
    <xf numFmtId="166" fontId="3" fillId="0" borderId="4" xfId="0" applyNumberFormat="1" applyFont="1" applyFill="1" applyBorder="1" applyAlignment="1">
      <alignment vertical="center" wrapText="1"/>
    </xf>
    <xf numFmtId="166" fontId="14" fillId="0" borderId="18" xfId="0" applyNumberFormat="1" applyFont="1" applyFill="1" applyBorder="1" applyAlignment="1">
      <alignment horizontal="right" vertical="center"/>
    </xf>
    <xf numFmtId="166" fontId="14" fillId="0" borderId="8" xfId="0" applyNumberFormat="1" applyFont="1" applyFill="1" applyBorder="1" applyAlignment="1">
      <alignment horizontal="right" vertical="center"/>
    </xf>
    <xf numFmtId="41" fontId="0" fillId="0" borderId="10" xfId="0" applyNumberFormat="1" applyFill="1" applyBorder="1" applyAlignment="1">
      <alignment horizontal="center" vertical="center"/>
    </xf>
    <xf numFmtId="41" fontId="0" fillId="0" borderId="76" xfId="0" applyNumberFormat="1" applyFill="1" applyBorder="1" applyAlignment="1">
      <alignment horizontal="center" vertical="center"/>
    </xf>
    <xf numFmtId="41" fontId="0" fillId="0" borderId="15" xfId="0" applyNumberFormat="1" applyFill="1" applyBorder="1" applyAlignment="1">
      <alignment horizontal="center" vertical="center"/>
    </xf>
    <xf numFmtId="41" fontId="0" fillId="0" borderId="101" xfId="0" applyNumberFormat="1" applyFill="1" applyBorder="1" applyAlignment="1">
      <alignment horizontal="center" vertical="center"/>
    </xf>
    <xf numFmtId="164" fontId="3" fillId="18" borderId="98" xfId="1"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3" xfId="0" applyFill="1" applyBorder="1" applyAlignment="1">
      <alignment vertical="center"/>
    </xf>
    <xf numFmtId="0" fontId="27" fillId="0" borderId="1" xfId="0" applyFont="1" applyFill="1" applyBorder="1" applyAlignment="1">
      <alignment horizontal="justify" vertical="center" wrapText="1"/>
    </xf>
    <xf numFmtId="0" fontId="3" fillId="0" borderId="7" xfId="0" applyFont="1" applyFill="1" applyBorder="1" applyAlignment="1">
      <alignment horizontal="left" vertical="center" wrapText="1"/>
    </xf>
    <xf numFmtId="166" fontId="3" fillId="0" borderId="0"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170" fontId="3" fillId="0" borderId="0" xfId="0" applyNumberFormat="1" applyFont="1" applyFill="1"/>
    <xf numFmtId="167" fontId="3" fillId="0" borderId="28" xfId="6" applyNumberFormat="1" applyFont="1" applyFill="1" applyBorder="1" applyAlignment="1">
      <alignment horizontal="center" vertical="center" wrapText="1"/>
    </xf>
    <xf numFmtId="0" fontId="3" fillId="0" borderId="22" xfId="0" applyFont="1" applyFill="1" applyBorder="1" applyAlignment="1">
      <alignment horizontal="justify" vertical="center" wrapText="1"/>
    </xf>
    <xf numFmtId="167" fontId="3" fillId="39" borderId="2" xfId="6" applyNumberFormat="1" applyFont="1" applyFill="1" applyBorder="1" applyAlignment="1">
      <alignment horizontal="justify" vertical="center" wrapText="1"/>
    </xf>
    <xf numFmtId="167" fontId="3" fillId="40" borderId="8" xfId="6" applyNumberFormat="1" applyFont="1" applyFill="1" applyBorder="1" applyAlignment="1">
      <alignment horizontal="center" vertical="center" wrapText="1"/>
    </xf>
    <xf numFmtId="167" fontId="3" fillId="40" borderId="2" xfId="6" applyNumberFormat="1" applyFont="1" applyFill="1" applyBorder="1" applyAlignment="1">
      <alignment horizontal="right"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66" fontId="2" fillId="0" borderId="3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wrapText="1"/>
    </xf>
    <xf numFmtId="164" fontId="3" fillId="15" borderId="11" xfId="1" applyFont="1" applyFill="1" applyBorder="1" applyAlignment="1">
      <alignment horizontal="center" vertical="center"/>
    </xf>
    <xf numFmtId="0" fontId="20" fillId="4" borderId="116" xfId="0" applyFont="1" applyFill="1" applyBorder="1" applyAlignment="1">
      <alignment horizontal="center" vertical="center" wrapText="1"/>
    </xf>
    <xf numFmtId="0" fontId="3" fillId="0" borderId="2" xfId="0" applyFont="1" applyFill="1" applyBorder="1" applyAlignment="1">
      <alignment horizontal="center" vertical="center" wrapText="1"/>
    </xf>
    <xf numFmtId="166" fontId="3" fillId="0" borderId="18" xfId="6" applyNumberFormat="1" applyFont="1" applyFill="1" applyBorder="1" applyAlignment="1">
      <alignment horizontal="right" vertical="center" wrapText="1"/>
    </xf>
    <xf numFmtId="166" fontId="3" fillId="0" borderId="8" xfId="0" applyNumberFormat="1" applyFont="1" applyBorder="1" applyAlignment="1">
      <alignment horizontal="right" vertical="center" wrapText="1"/>
    </xf>
    <xf numFmtId="0" fontId="2" fillId="0" borderId="8" xfId="0" applyFont="1" applyFill="1" applyBorder="1" applyAlignment="1">
      <alignment horizontal="center" vertical="center" wrapText="1"/>
    </xf>
    <xf numFmtId="166" fontId="2" fillId="0" borderId="18" xfId="0" applyNumberFormat="1" applyFont="1" applyFill="1" applyBorder="1" applyAlignment="1">
      <alignment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166" fontId="2" fillId="38" borderId="1" xfId="0" applyNumberFormat="1" applyFont="1" applyFill="1" applyBorder="1" applyAlignment="1">
      <alignment horizontal="justify" vertical="center" wrapText="1"/>
    </xf>
    <xf numFmtId="0" fontId="10" fillId="16" borderId="6" xfId="0" applyFont="1" applyFill="1" applyBorder="1" applyAlignment="1">
      <alignment horizontal="center" vertical="center" wrapText="1"/>
    </xf>
    <xf numFmtId="0" fontId="10" fillId="16" borderId="22" xfId="0" applyFont="1" applyFill="1" applyBorder="1" applyAlignment="1">
      <alignment horizontal="center" vertical="center" wrapText="1"/>
    </xf>
    <xf numFmtId="0" fontId="10" fillId="16" borderId="35" xfId="0" applyFont="1" applyFill="1" applyBorder="1" applyAlignment="1">
      <alignment horizontal="center" vertical="center" wrapText="1"/>
    </xf>
    <xf numFmtId="0" fontId="10" fillId="30" borderId="6" xfId="0" applyFont="1" applyFill="1" applyBorder="1" applyAlignment="1">
      <alignment horizontal="center" vertical="center" wrapText="1"/>
    </xf>
    <xf numFmtId="0" fontId="10" fillId="30" borderId="22" xfId="0" applyFont="1" applyFill="1" applyBorder="1" applyAlignment="1">
      <alignment horizontal="center" vertical="center" wrapText="1"/>
    </xf>
    <xf numFmtId="0" fontId="10" fillId="30" borderId="35" xfId="0" applyFont="1" applyFill="1" applyBorder="1" applyAlignment="1">
      <alignment horizontal="center" vertical="center" wrapText="1"/>
    </xf>
    <xf numFmtId="0" fontId="26" fillId="0" borderId="0" xfId="0" applyFont="1" applyAlignment="1">
      <alignment horizontal="center" vertical="center"/>
    </xf>
    <xf numFmtId="0" fontId="26" fillId="25" borderId="15" xfId="0" applyFont="1" applyFill="1" applyBorder="1" applyAlignment="1">
      <alignment horizontal="center" vertical="center"/>
    </xf>
    <xf numFmtId="0" fontId="26" fillId="25" borderId="16" xfId="0" applyFont="1" applyFill="1" applyBorder="1" applyAlignment="1">
      <alignment horizontal="center" vertical="center"/>
    </xf>
    <xf numFmtId="0" fontId="26" fillId="25" borderId="47" xfId="0" applyFont="1" applyFill="1" applyBorder="1" applyAlignment="1">
      <alignment horizontal="center" vertical="center"/>
    </xf>
    <xf numFmtId="0" fontId="10" fillId="16" borderId="3" xfId="0" applyFont="1" applyFill="1" applyBorder="1" applyAlignment="1">
      <alignment horizontal="left" vertical="center" wrapText="1"/>
    </xf>
    <xf numFmtId="0" fontId="10" fillId="16" borderId="7" xfId="0" applyFont="1" applyFill="1" applyBorder="1" applyAlignment="1">
      <alignment horizontal="left" vertical="center" wrapText="1"/>
    </xf>
    <xf numFmtId="0" fontId="10" fillId="16" borderId="5" xfId="0" applyFont="1" applyFill="1" applyBorder="1" applyAlignment="1">
      <alignment horizontal="left" vertical="center" wrapText="1"/>
    </xf>
    <xf numFmtId="0" fontId="10" fillId="30" borderId="3" xfId="0" applyFont="1" applyFill="1" applyBorder="1" applyAlignment="1">
      <alignment horizontal="left" vertical="center" wrapText="1"/>
    </xf>
    <xf numFmtId="0" fontId="10" fillId="30" borderId="7" xfId="0" applyFont="1" applyFill="1" applyBorder="1" applyAlignment="1">
      <alignment horizontal="left" vertical="center" wrapText="1"/>
    </xf>
    <xf numFmtId="0" fontId="10" fillId="30" borderId="5" xfId="0" applyFont="1" applyFill="1" applyBorder="1" applyAlignment="1">
      <alignment horizontal="left" vertical="center" wrapText="1"/>
    </xf>
    <xf numFmtId="0" fontId="10" fillId="26" borderId="2" xfId="0" applyFont="1" applyFill="1" applyBorder="1" applyAlignment="1">
      <alignment horizontal="center" vertical="center" wrapText="1"/>
    </xf>
    <xf numFmtId="0" fontId="10" fillId="26" borderId="2" xfId="0" applyFont="1" applyFill="1" applyBorder="1" applyAlignment="1">
      <alignment horizontal="left" vertical="center" wrapText="1"/>
    </xf>
    <xf numFmtId="167" fontId="10" fillId="26" borderId="2" xfId="6" applyNumberFormat="1" applyFont="1" applyFill="1" applyBorder="1" applyAlignment="1">
      <alignment horizontal="center" vertical="center" wrapText="1"/>
    </xf>
    <xf numFmtId="0" fontId="10" fillId="26" borderId="18" xfId="0" applyFont="1" applyFill="1" applyBorder="1" applyAlignment="1">
      <alignment horizontal="center" vertical="center" wrapText="1"/>
    </xf>
    <xf numFmtId="0" fontId="10" fillId="16" borderId="18"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2" xfId="0" applyFont="1" applyFill="1" applyBorder="1" applyAlignment="1">
      <alignment horizontal="left" vertical="center" wrapText="1"/>
    </xf>
    <xf numFmtId="167" fontId="10" fillId="16" borderId="2" xfId="6" applyNumberFormat="1" applyFont="1" applyFill="1" applyBorder="1" applyAlignment="1">
      <alignment horizontal="center" vertical="center" wrapText="1"/>
    </xf>
    <xf numFmtId="0" fontId="10" fillId="26" borderId="1"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0" fillId="13" borderId="30" xfId="0" applyFill="1" applyBorder="1" applyAlignment="1">
      <alignment horizontal="center"/>
    </xf>
    <xf numFmtId="0" fontId="0" fillId="13" borderId="31" xfId="0" applyFill="1" applyBorder="1" applyAlignment="1">
      <alignment horizontal="center"/>
    </xf>
    <xf numFmtId="0" fontId="0" fillId="13" borderId="27" xfId="0" applyFill="1" applyBorder="1" applyAlignment="1">
      <alignment horizontal="center"/>
    </xf>
    <xf numFmtId="0" fontId="8" fillId="25" borderId="2" xfId="0" applyFont="1" applyFill="1" applyBorder="1" applyAlignment="1">
      <alignment horizontal="center" vertical="center"/>
    </xf>
    <xf numFmtId="0" fontId="8" fillId="26" borderId="3" xfId="0" applyFont="1" applyFill="1" applyBorder="1" applyAlignment="1">
      <alignment horizontal="center" vertical="center"/>
    </xf>
    <xf numFmtId="0" fontId="8" fillId="26" borderId="5" xfId="0" applyFont="1" applyFill="1" applyBorder="1" applyAlignment="1">
      <alignment horizontal="center" vertical="center"/>
    </xf>
    <xf numFmtId="0" fontId="8" fillId="26" borderId="8" xfId="0" applyFont="1" applyFill="1" applyBorder="1" applyAlignment="1">
      <alignment horizontal="center" vertical="center"/>
    </xf>
    <xf numFmtId="0" fontId="8" fillId="26" borderId="9" xfId="0" applyFont="1" applyFill="1" applyBorder="1" applyAlignment="1">
      <alignment horizontal="center" vertical="center"/>
    </xf>
    <xf numFmtId="0" fontId="4" fillId="26" borderId="3" xfId="0" applyFont="1" applyFill="1" applyBorder="1" applyAlignment="1">
      <alignment horizontal="center" vertical="center" wrapText="1"/>
    </xf>
    <xf numFmtId="0" fontId="4" fillId="26" borderId="5" xfId="0" applyFont="1" applyFill="1" applyBorder="1" applyAlignment="1">
      <alignment horizontal="center" vertical="center" wrapText="1"/>
    </xf>
    <xf numFmtId="0" fontId="8" fillId="13" borderId="8" xfId="0" applyFont="1" applyFill="1" applyBorder="1" applyAlignment="1">
      <alignment horizontal="center" vertical="center"/>
    </xf>
    <xf numFmtId="0" fontId="8" fillId="13" borderId="4" xfId="0" applyFont="1" applyFill="1" applyBorder="1" applyAlignment="1">
      <alignment horizontal="center" vertical="center"/>
    </xf>
    <xf numFmtId="0" fontId="10" fillId="17" borderId="2" xfId="0" applyFont="1" applyFill="1" applyBorder="1" applyAlignment="1">
      <alignment horizontal="center" vertical="center" wrapText="1"/>
    </xf>
    <xf numFmtId="0" fontId="33" fillId="17" borderId="2" xfId="0" applyFont="1" applyFill="1" applyBorder="1" applyAlignment="1">
      <alignment horizontal="left" vertical="center" wrapText="1"/>
    </xf>
    <xf numFmtId="0" fontId="10" fillId="17" borderId="3" xfId="0" applyFont="1" applyFill="1" applyBorder="1" applyAlignment="1">
      <alignment horizontal="center" vertical="center" wrapText="1"/>
    </xf>
    <xf numFmtId="0" fontId="10" fillId="17" borderId="7" xfId="0" applyFont="1" applyFill="1" applyBorder="1" applyAlignment="1">
      <alignment horizontal="center" vertical="center" wrapText="1"/>
    </xf>
    <xf numFmtId="0" fontId="10" fillId="17" borderId="5" xfId="0" applyFont="1" applyFill="1" applyBorder="1" applyAlignment="1">
      <alignment horizontal="center" vertical="center" wrapText="1"/>
    </xf>
    <xf numFmtId="0" fontId="33" fillId="17" borderId="3" xfId="0" applyFont="1" applyFill="1" applyBorder="1" applyAlignment="1">
      <alignment horizontal="left" vertical="center" wrapText="1"/>
    </xf>
    <xf numFmtId="0" fontId="33" fillId="17" borderId="7" xfId="0" applyFont="1" applyFill="1" applyBorder="1" applyAlignment="1">
      <alignment horizontal="left" vertical="center" wrapText="1"/>
    </xf>
    <xf numFmtId="0" fontId="33" fillId="17" borderId="5" xfId="0" applyFont="1" applyFill="1" applyBorder="1" applyAlignment="1">
      <alignment horizontal="left" vertical="center" wrapText="1"/>
    </xf>
    <xf numFmtId="0" fontId="14" fillId="17" borderId="2" xfId="0" applyFont="1" applyFill="1" applyBorder="1" applyAlignment="1">
      <alignment horizontal="center" vertical="center" wrapText="1"/>
    </xf>
    <xf numFmtId="0" fontId="32" fillId="17" borderId="2" xfId="0" applyFont="1" applyFill="1" applyBorder="1" applyAlignment="1">
      <alignment horizontal="left" vertical="center" wrapText="1"/>
    </xf>
    <xf numFmtId="0" fontId="33" fillId="16" borderId="2" xfId="0" applyFont="1" applyFill="1" applyBorder="1" applyAlignment="1">
      <alignment horizontal="left" vertical="center" wrapText="1"/>
    </xf>
    <xf numFmtId="0" fontId="31" fillId="0" borderId="8" xfId="0" applyFont="1" applyBorder="1" applyAlignment="1">
      <alignment horizontal="left" wrapText="1"/>
    </xf>
    <xf numFmtId="0" fontId="31" fillId="0" borderId="9" xfId="0" applyFont="1" applyBorder="1" applyAlignment="1">
      <alignment horizontal="left" wrapText="1"/>
    </xf>
    <xf numFmtId="0" fontId="31" fillId="0" borderId="4" xfId="0" applyFont="1" applyBorder="1" applyAlignment="1">
      <alignment horizontal="left" wrapText="1"/>
    </xf>
    <xf numFmtId="0" fontId="11" fillId="8"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8" fillId="10" borderId="2"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4" fillId="31"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26" fillId="7"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11" borderId="2" xfId="0" applyFont="1" applyFill="1" applyBorder="1" applyAlignment="1">
      <alignment horizontal="left" vertical="center" wrapText="1"/>
    </xf>
    <xf numFmtId="0" fontId="4" fillId="9" borderId="2" xfId="0" applyFont="1" applyFill="1" applyBorder="1" applyAlignment="1">
      <alignment horizontal="left" vertical="center" wrapText="1"/>
    </xf>
    <xf numFmtId="0" fontId="30" fillId="12" borderId="2" xfId="0" applyFont="1" applyFill="1" applyBorder="1" applyAlignment="1">
      <alignment horizontal="left" vertical="center" wrapText="1"/>
    </xf>
    <xf numFmtId="0" fontId="4" fillId="12" borderId="2" xfId="0" applyFont="1" applyFill="1" applyBorder="1" applyAlignment="1">
      <alignment horizontal="left" vertical="center" wrapText="1"/>
    </xf>
    <xf numFmtId="0" fontId="0" fillId="13" borderId="2" xfId="0" applyFill="1" applyBorder="1" applyAlignment="1">
      <alignment horizontal="center" wrapText="1"/>
    </xf>
    <xf numFmtId="0" fontId="18" fillId="13" borderId="1" xfId="0" applyFont="1" applyFill="1" applyBorder="1" applyAlignment="1">
      <alignment horizontal="center"/>
    </xf>
    <xf numFmtId="0" fontId="18" fillId="13" borderId="2" xfId="0" applyFont="1" applyFill="1" applyBorder="1" applyAlignment="1">
      <alignment horizontal="center"/>
    </xf>
    <xf numFmtId="0" fontId="17" fillId="25" borderId="12" xfId="0" applyFont="1" applyFill="1" applyBorder="1" applyAlignment="1">
      <alignment horizontal="center" vertical="center"/>
    </xf>
    <xf numFmtId="0" fontId="17" fillId="25" borderId="13" xfId="0" applyFont="1" applyFill="1" applyBorder="1" applyAlignment="1">
      <alignment horizontal="center" vertical="center"/>
    </xf>
    <xf numFmtId="0" fontId="17" fillId="25" borderId="36" xfId="0" applyFont="1" applyFill="1" applyBorder="1" applyAlignment="1">
      <alignment horizontal="center" vertical="center"/>
    </xf>
    <xf numFmtId="0" fontId="17" fillId="33" borderId="12" xfId="0" applyFont="1" applyFill="1" applyBorder="1" applyAlignment="1">
      <alignment horizontal="center" vertical="center"/>
    </xf>
    <xf numFmtId="0" fontId="17" fillId="33" borderId="13" xfId="0" applyFont="1" applyFill="1" applyBorder="1" applyAlignment="1">
      <alignment horizontal="center" vertical="center"/>
    </xf>
    <xf numFmtId="0" fontId="17" fillId="33" borderId="36" xfId="0" applyFont="1" applyFill="1" applyBorder="1" applyAlignment="1">
      <alignment horizontal="center" vertical="center"/>
    </xf>
    <xf numFmtId="0" fontId="18" fillId="13" borderId="101" xfId="0" applyFont="1" applyFill="1" applyBorder="1" applyAlignment="1">
      <alignment horizontal="center" vertical="center"/>
    </xf>
    <xf numFmtId="0" fontId="18" fillId="13" borderId="9" xfId="0" applyFont="1" applyFill="1" applyBorder="1" applyAlignment="1">
      <alignment horizontal="center" vertical="center"/>
    </xf>
    <xf numFmtId="0" fontId="18" fillId="13" borderId="4" xfId="0" applyFont="1" applyFill="1" applyBorder="1" applyAlignment="1">
      <alignment horizontal="center" vertical="center"/>
    </xf>
    <xf numFmtId="0" fontId="18" fillId="13" borderId="101" xfId="0" applyFont="1" applyFill="1" applyBorder="1" applyAlignment="1">
      <alignment horizontal="center"/>
    </xf>
    <xf numFmtId="0" fontId="18" fillId="13" borderId="9" xfId="0" applyFont="1" applyFill="1" applyBorder="1" applyAlignment="1">
      <alignment horizontal="center"/>
    </xf>
    <xf numFmtId="0" fontId="18" fillId="13" borderId="4" xfId="0" applyFont="1" applyFill="1" applyBorder="1" applyAlignment="1">
      <alignment horizontal="center"/>
    </xf>
    <xf numFmtId="0" fontId="0" fillId="13" borderId="2" xfId="0" applyFill="1" applyBorder="1" applyAlignment="1">
      <alignment horizontal="center"/>
    </xf>
    <xf numFmtId="0" fontId="18" fillId="13" borderId="1" xfId="0" applyFont="1" applyFill="1" applyBorder="1" applyAlignment="1">
      <alignment horizontal="left"/>
    </xf>
    <xf numFmtId="0" fontId="18" fillId="13" borderId="2" xfId="0" applyFont="1" applyFill="1" applyBorder="1" applyAlignment="1">
      <alignment horizontal="left"/>
    </xf>
    <xf numFmtId="0" fontId="18" fillId="13" borderId="1" xfId="0" applyFont="1" applyFill="1" applyBorder="1" applyAlignment="1">
      <alignment horizontal="left" vertical="center"/>
    </xf>
    <xf numFmtId="0" fontId="18" fillId="13" borderId="2" xfId="0" applyFont="1" applyFill="1" applyBorder="1" applyAlignment="1">
      <alignment horizontal="left" vertical="center"/>
    </xf>
    <xf numFmtId="0" fontId="18" fillId="13" borderId="1"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1" xfId="0" applyFont="1" applyFill="1" applyBorder="1" applyAlignment="1">
      <alignment horizontal="center" vertical="center"/>
    </xf>
    <xf numFmtId="0" fontId="18" fillId="13" borderId="2" xfId="0" applyFont="1" applyFill="1" applyBorder="1" applyAlignment="1">
      <alignment horizontal="center" vertical="center"/>
    </xf>
    <xf numFmtId="0" fontId="18" fillId="13" borderId="101" xfId="0" applyFont="1" applyFill="1" applyBorder="1" applyAlignment="1">
      <alignment horizontal="center" vertical="center" wrapText="1"/>
    </xf>
    <xf numFmtId="0" fontId="18" fillId="13" borderId="9"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0" fillId="14" borderId="25" xfId="0" applyFont="1" applyFill="1" applyBorder="1" applyAlignment="1">
      <alignment horizontal="center" vertical="center"/>
    </xf>
    <xf numFmtId="0" fontId="0" fillId="0" borderId="0" xfId="0" applyBorder="1" applyAlignment="1">
      <alignment horizontal="center"/>
    </xf>
    <xf numFmtId="0" fontId="20" fillId="14" borderId="20" xfId="0" applyFont="1" applyFill="1" applyBorder="1" applyAlignment="1">
      <alignment horizontal="center" vertical="center"/>
    </xf>
    <xf numFmtId="0" fontId="20" fillId="14" borderId="96" xfId="0" applyFont="1" applyFill="1" applyBorder="1" applyAlignment="1">
      <alignment horizontal="center" vertical="center" wrapText="1"/>
    </xf>
    <xf numFmtId="0" fontId="20" fillId="14" borderId="41" xfId="0" applyFont="1" applyFill="1" applyBorder="1" applyAlignment="1">
      <alignment horizontal="center" vertical="center" wrapText="1"/>
    </xf>
    <xf numFmtId="173" fontId="20" fillId="14" borderId="25" xfId="0" applyNumberFormat="1" applyFont="1" applyFill="1" applyBorder="1" applyAlignment="1">
      <alignment horizontal="center" vertical="center"/>
    </xf>
    <xf numFmtId="173" fontId="20" fillId="14" borderId="20" xfId="0" applyNumberFormat="1" applyFont="1" applyFill="1" applyBorder="1" applyAlignment="1">
      <alignment horizontal="center" vertical="center"/>
    </xf>
    <xf numFmtId="0" fontId="18" fillId="13" borderId="15" xfId="0" applyFont="1" applyFill="1" applyBorder="1" applyAlignment="1">
      <alignment horizontal="center"/>
    </xf>
    <xf numFmtId="0" fontId="18" fillId="13" borderId="16" xfId="0" applyFont="1" applyFill="1" applyBorder="1" applyAlignment="1">
      <alignment horizontal="center"/>
    </xf>
    <xf numFmtId="0" fontId="18" fillId="13" borderId="29" xfId="0" applyFont="1" applyFill="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19" fillId="0" borderId="0" xfId="0" applyFont="1" applyBorder="1" applyAlignment="1">
      <alignment horizontal="left"/>
    </xf>
    <xf numFmtId="0" fontId="18" fillId="25" borderId="54" xfId="0" applyFont="1" applyFill="1" applyBorder="1" applyAlignment="1">
      <alignment horizontal="center" vertical="center"/>
    </xf>
    <xf numFmtId="0" fontId="18" fillId="25" borderId="55" xfId="0" applyFont="1" applyFill="1" applyBorder="1" applyAlignment="1">
      <alignment horizontal="center" vertical="center"/>
    </xf>
    <xf numFmtId="0" fontId="0" fillId="16" borderId="24" xfId="0" applyFill="1" applyBorder="1" applyAlignment="1">
      <alignment horizontal="center" vertical="center"/>
    </xf>
    <xf numFmtId="0" fontId="0" fillId="16" borderId="19" xfId="0" applyFill="1" applyBorder="1" applyAlignment="1">
      <alignment horizontal="center" vertical="center"/>
    </xf>
    <xf numFmtId="0" fontId="20" fillId="14" borderId="25" xfId="0" applyFont="1" applyFill="1" applyBorder="1" applyAlignment="1">
      <alignment horizontal="center" vertical="center" wrapText="1"/>
    </xf>
    <xf numFmtId="0" fontId="20" fillId="14" borderId="20" xfId="0" applyFont="1" applyFill="1" applyBorder="1" applyAlignment="1">
      <alignment horizontal="center" vertical="center" wrapText="1"/>
    </xf>
    <xf numFmtId="0" fontId="20" fillId="14" borderId="53" xfId="0" applyFont="1" applyFill="1" applyBorder="1" applyAlignment="1">
      <alignment horizontal="center" vertical="center" wrapText="1"/>
    </xf>
    <xf numFmtId="0" fontId="20" fillId="14" borderId="34" xfId="0" applyFont="1" applyFill="1" applyBorder="1" applyAlignment="1">
      <alignment horizontal="center" vertical="center" wrapText="1"/>
    </xf>
    <xf numFmtId="0" fontId="24" fillId="25" borderId="116" xfId="0" applyFont="1" applyFill="1" applyBorder="1" applyAlignment="1">
      <alignment vertical="center" wrapText="1"/>
    </xf>
    <xf numFmtId="0" fontId="29" fillId="13" borderId="117" xfId="0" applyFont="1" applyFill="1" applyBorder="1" applyAlignment="1">
      <alignment horizontal="center" vertical="center"/>
    </xf>
    <xf numFmtId="0" fontId="29" fillId="13" borderId="118" xfId="0" applyFont="1" applyFill="1" applyBorder="1" applyAlignment="1">
      <alignment horizontal="center" vertical="center"/>
    </xf>
    <xf numFmtId="0" fontId="29" fillId="13" borderId="119" xfId="0" applyFont="1" applyFill="1" applyBorder="1" applyAlignment="1">
      <alignment horizontal="center" vertical="center"/>
    </xf>
    <xf numFmtId="0" fontId="8" fillId="13" borderId="17" xfId="0" applyFont="1" applyFill="1" applyBorder="1" applyAlignment="1">
      <alignment horizontal="center" vertical="center"/>
    </xf>
    <xf numFmtId="0" fontId="8" fillId="13" borderId="37" xfId="0" applyFont="1" applyFill="1" applyBorder="1" applyAlignment="1">
      <alignment horizontal="center" vertical="center"/>
    </xf>
    <xf numFmtId="0" fontId="8" fillId="25" borderId="24" xfId="0" applyFont="1" applyFill="1" applyBorder="1" applyAlignment="1">
      <alignment horizontal="center" vertical="center"/>
    </xf>
    <xf numFmtId="0" fontId="8" fillId="25" borderId="25" xfId="0" applyFont="1" applyFill="1" applyBorder="1" applyAlignment="1">
      <alignment horizontal="center" vertical="center"/>
    </xf>
    <xf numFmtId="0" fontId="8" fillId="25" borderId="26" xfId="0" applyFont="1" applyFill="1" applyBorder="1" applyAlignment="1">
      <alignment horizontal="center" vertical="center"/>
    </xf>
    <xf numFmtId="0" fontId="8" fillId="25" borderId="6" xfId="0" applyFont="1" applyFill="1" applyBorder="1" applyAlignment="1">
      <alignment horizontal="center" vertical="center"/>
    </xf>
    <xf numFmtId="0" fontId="8" fillId="25" borderId="3" xfId="0" applyFont="1" applyFill="1" applyBorder="1" applyAlignment="1">
      <alignment horizontal="center" vertical="center"/>
    </xf>
    <xf numFmtId="0" fontId="8" fillId="25" borderId="45" xfId="0" applyFont="1" applyFill="1" applyBorder="1" applyAlignment="1">
      <alignment horizontal="center" vertical="center"/>
    </xf>
    <xf numFmtId="0" fontId="10" fillId="17" borderId="1" xfId="0" applyFont="1" applyFill="1" applyBorder="1" applyAlignment="1">
      <alignment horizontal="center" vertical="center" wrapText="1"/>
    </xf>
    <xf numFmtId="0" fontId="33" fillId="17" borderId="2" xfId="0" applyFont="1" applyFill="1" applyBorder="1" applyAlignment="1">
      <alignment horizontal="center" vertical="center" wrapText="1"/>
    </xf>
    <xf numFmtId="41" fontId="14" fillId="16" borderId="2" xfId="1" applyNumberFormat="1" applyFont="1" applyFill="1" applyBorder="1" applyAlignment="1">
      <alignment horizontal="center" vertical="center"/>
    </xf>
    <xf numFmtId="41" fontId="14" fillId="17" borderId="2" xfId="1" applyNumberFormat="1" applyFont="1" applyFill="1" applyBorder="1" applyAlignment="1">
      <alignment horizontal="center" vertical="center"/>
    </xf>
    <xf numFmtId="0" fontId="8" fillId="26" borderId="25" xfId="0" applyFont="1" applyFill="1" applyBorder="1" applyAlignment="1">
      <alignment horizontal="center" vertical="center"/>
    </xf>
    <xf numFmtId="0" fontId="8" fillId="26" borderId="26" xfId="0" applyFont="1" applyFill="1" applyBorder="1" applyAlignment="1">
      <alignment horizontal="center" vertical="center"/>
    </xf>
    <xf numFmtId="0" fontId="8" fillId="26" borderId="45" xfId="0" applyFont="1" applyFill="1" applyBorder="1" applyAlignment="1">
      <alignment horizontal="center" vertical="center"/>
    </xf>
    <xf numFmtId="0" fontId="8" fillId="26" borderId="71" xfId="0" applyFont="1" applyFill="1" applyBorder="1" applyAlignment="1">
      <alignment horizontal="center" vertical="center" wrapText="1"/>
    </xf>
    <xf numFmtId="0" fontId="8" fillId="26" borderId="73" xfId="0" applyFont="1" applyFill="1" applyBorder="1" applyAlignment="1">
      <alignment horizontal="center" vertical="center" wrapText="1"/>
    </xf>
    <xf numFmtId="0" fontId="4" fillId="26" borderId="71" xfId="0" applyFont="1" applyFill="1" applyBorder="1" applyAlignment="1">
      <alignment horizontal="center" vertical="center" wrapText="1"/>
    </xf>
    <xf numFmtId="0" fontId="4" fillId="26" borderId="81" xfId="0" applyFont="1" applyFill="1" applyBorder="1" applyAlignment="1">
      <alignment horizontal="center" vertical="center" wrapText="1"/>
    </xf>
    <xf numFmtId="0" fontId="4" fillId="26" borderId="47" xfId="0" applyFont="1" applyFill="1" applyBorder="1" applyAlignment="1">
      <alignment horizontal="center" vertical="center" wrapText="1"/>
    </xf>
    <xf numFmtId="0" fontId="4" fillId="26" borderId="95" xfId="0" applyFont="1" applyFill="1" applyBorder="1" applyAlignment="1">
      <alignment horizontal="center" vertical="center" wrapText="1"/>
    </xf>
    <xf numFmtId="0" fontId="14" fillId="17" borderId="24" xfId="0" applyFont="1" applyFill="1" applyBorder="1" applyAlignment="1">
      <alignment horizontal="center" vertical="center" wrapText="1"/>
    </xf>
    <xf numFmtId="0" fontId="14" fillId="17" borderId="1" xfId="0" applyFont="1" applyFill="1" applyBorder="1" applyAlignment="1">
      <alignment horizontal="center" vertical="center" wrapText="1"/>
    </xf>
    <xf numFmtId="41" fontId="14" fillId="17" borderId="25" xfId="0" applyNumberFormat="1" applyFont="1" applyFill="1" applyBorder="1" applyAlignment="1">
      <alignment horizontal="center" vertical="center" wrapText="1"/>
    </xf>
    <xf numFmtId="41" fontId="14" fillId="17" borderId="2" xfId="0" applyNumberFormat="1" applyFont="1" applyFill="1" applyBorder="1" applyAlignment="1">
      <alignment horizontal="center" vertical="center" wrapText="1"/>
    </xf>
    <xf numFmtId="0" fontId="8" fillId="26" borderId="25" xfId="0" applyFont="1" applyFill="1" applyBorder="1" applyAlignment="1">
      <alignment horizontal="center" vertical="center" wrapText="1"/>
    </xf>
    <xf numFmtId="0" fontId="8" fillId="26" borderId="3" xfId="0" applyFont="1" applyFill="1" applyBorder="1" applyAlignment="1">
      <alignment horizontal="center" vertical="center" wrapText="1"/>
    </xf>
    <xf numFmtId="0" fontId="32" fillId="17" borderId="25" xfId="0" applyFont="1" applyFill="1" applyBorder="1" applyAlignment="1">
      <alignment horizontal="left" vertical="center" wrapText="1"/>
    </xf>
    <xf numFmtId="0" fontId="8" fillId="26" borderId="15"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47" xfId="0" applyFont="1" applyFill="1" applyBorder="1" applyAlignment="1">
      <alignment horizontal="center" vertical="center"/>
    </xf>
    <xf numFmtId="0" fontId="4" fillId="14" borderId="11"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4" borderId="13" xfId="0" applyFont="1" applyFill="1" applyBorder="1" applyAlignment="1">
      <alignment horizontal="center" vertical="center" wrapText="1"/>
    </xf>
    <xf numFmtId="0" fontId="4" fillId="14" borderId="82" xfId="0" applyFont="1" applyFill="1" applyBorder="1" applyAlignment="1">
      <alignment horizontal="center" vertical="center" wrapText="1"/>
    </xf>
    <xf numFmtId="0" fontId="4" fillId="14" borderId="51" xfId="0" applyFont="1" applyFill="1" applyBorder="1" applyAlignment="1">
      <alignment horizontal="center" vertical="center" wrapText="1"/>
    </xf>
    <xf numFmtId="0" fontId="4" fillId="14" borderId="12" xfId="0" applyFont="1" applyFill="1" applyBorder="1" applyAlignment="1">
      <alignment horizontal="center"/>
    </xf>
    <xf numFmtId="0" fontId="4" fillId="14" borderId="13" xfId="0" applyFont="1" applyFill="1" applyBorder="1" applyAlignment="1">
      <alignment horizontal="center"/>
    </xf>
    <xf numFmtId="0" fontId="4" fillId="14" borderId="82" xfId="0" applyFont="1" applyFill="1" applyBorder="1" applyAlignment="1">
      <alignment horizontal="center"/>
    </xf>
    <xf numFmtId="0" fontId="0" fillId="14" borderId="54" xfId="0" applyFill="1" applyBorder="1" applyAlignment="1">
      <alignment horizontal="center"/>
    </xf>
    <xf numFmtId="0" fontId="0" fillId="14" borderId="100" xfId="0" applyFill="1" applyBorder="1" applyAlignment="1">
      <alignment horizontal="center"/>
    </xf>
    <xf numFmtId="0" fontId="0" fillId="14" borderId="49" xfId="0" applyFill="1" applyBorder="1" applyAlignment="1">
      <alignment horizontal="center"/>
    </xf>
    <xf numFmtId="0" fontId="17" fillId="14" borderId="54" xfId="0" applyFont="1" applyFill="1" applyBorder="1" applyAlignment="1">
      <alignment horizontal="center" vertical="center" wrapText="1"/>
    </xf>
    <xf numFmtId="0" fontId="17" fillId="14" borderId="55" xfId="0" applyFont="1" applyFill="1" applyBorder="1" applyAlignment="1">
      <alignment horizontal="center" vertical="center" wrapText="1"/>
    </xf>
    <xf numFmtId="0" fontId="17" fillId="14" borderId="100" xfId="0" applyFont="1" applyFill="1" applyBorder="1" applyAlignment="1">
      <alignment horizontal="center" vertical="center" wrapText="1"/>
    </xf>
    <xf numFmtId="0" fontId="17" fillId="14" borderId="97" xfId="0" applyFont="1" applyFill="1" applyBorder="1" applyAlignment="1">
      <alignment horizontal="center" vertical="center" wrapText="1"/>
    </xf>
    <xf numFmtId="0" fontId="17" fillId="14" borderId="49" xfId="0" applyFont="1" applyFill="1" applyBorder="1" applyAlignment="1">
      <alignment horizontal="center" vertical="center" wrapText="1"/>
    </xf>
    <xf numFmtId="0" fontId="17" fillId="14" borderId="98" xfId="0" applyFont="1" applyFill="1" applyBorder="1" applyAlignment="1">
      <alignment horizontal="center" vertical="center" wrapText="1"/>
    </xf>
    <xf numFmtId="0" fontId="20" fillId="14" borderId="11" xfId="0" applyFont="1" applyFill="1" applyBorder="1" applyAlignment="1">
      <alignment horizontal="center" vertical="center" wrapText="1"/>
    </xf>
    <xf numFmtId="0" fontId="20" fillId="14" borderId="49" xfId="0" applyFont="1" applyFill="1" applyBorder="1" applyAlignment="1">
      <alignment horizontal="center"/>
    </xf>
    <xf numFmtId="0" fontId="20" fillId="14" borderId="48" xfId="0" applyFont="1" applyFill="1" applyBorder="1" applyAlignment="1">
      <alignment horizontal="center"/>
    </xf>
    <xf numFmtId="0" fontId="20" fillId="14" borderId="80" xfId="0" applyFont="1" applyFill="1" applyBorder="1" applyAlignment="1">
      <alignment horizontal="center"/>
    </xf>
    <xf numFmtId="0" fontId="4" fillId="14" borderId="54" xfId="0" applyFont="1" applyFill="1" applyBorder="1" applyAlignment="1">
      <alignment horizontal="center" vertical="center" wrapText="1"/>
    </xf>
    <xf numFmtId="0" fontId="4" fillId="14" borderId="49" xfId="0" applyFont="1" applyFill="1" applyBorder="1" applyAlignment="1">
      <alignment horizontal="center" vertical="center" wrapText="1"/>
    </xf>
    <xf numFmtId="0" fontId="20" fillId="14" borderId="104" xfId="0" applyFont="1" applyFill="1" applyBorder="1" applyAlignment="1">
      <alignment horizontal="center" vertical="center" wrapText="1"/>
    </xf>
    <xf numFmtId="0" fontId="20" fillId="14" borderId="72" xfId="0" applyFont="1" applyFill="1" applyBorder="1" applyAlignment="1">
      <alignment horizontal="center" vertical="center" wrapText="1"/>
    </xf>
    <xf numFmtId="0" fontId="20" fillId="14" borderId="73" xfId="0" applyFont="1" applyFill="1" applyBorder="1" applyAlignment="1">
      <alignment horizontal="center" vertical="center" wrapText="1"/>
    </xf>
    <xf numFmtId="0" fontId="4" fillId="14" borderId="76" xfId="0" applyFont="1" applyFill="1" applyBorder="1" applyAlignment="1">
      <alignment horizontal="center" vertical="center" wrapText="1"/>
    </xf>
    <xf numFmtId="0" fontId="20" fillId="14" borderId="51" xfId="0" applyFont="1" applyFill="1" applyBorder="1" applyAlignment="1">
      <alignment horizontal="center" vertical="center" wrapText="1"/>
    </xf>
    <xf numFmtId="42" fontId="20" fillId="14" borderId="50" xfId="8" applyFont="1" applyFill="1" applyBorder="1" applyAlignment="1">
      <alignment horizontal="center" vertical="center" wrapText="1"/>
    </xf>
    <xf numFmtId="42" fontId="20" fillId="14" borderId="51" xfId="8" applyFont="1" applyFill="1" applyBorder="1" applyAlignment="1">
      <alignment horizontal="center" vertical="center" wrapText="1"/>
    </xf>
    <xf numFmtId="0" fontId="20" fillId="14" borderId="7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7" fillId="14" borderId="54" xfId="0" applyFont="1" applyFill="1" applyBorder="1" applyAlignment="1">
      <alignment horizontal="center" vertical="center"/>
    </xf>
    <xf numFmtId="0" fontId="17" fillId="14" borderId="14" xfId="0" applyFont="1" applyFill="1" applyBorder="1" applyAlignment="1">
      <alignment horizontal="center" vertical="center"/>
    </xf>
    <xf numFmtId="0" fontId="17" fillId="14" borderId="55" xfId="0" applyFont="1" applyFill="1" applyBorder="1" applyAlignment="1">
      <alignment horizontal="center" vertical="center"/>
    </xf>
    <xf numFmtId="0" fontId="17" fillId="14" borderId="100" xfId="0" applyFont="1" applyFill="1" applyBorder="1" applyAlignment="1">
      <alignment horizontal="center" vertical="center"/>
    </xf>
    <xf numFmtId="0" fontId="17" fillId="14" borderId="0" xfId="0" applyFont="1" applyFill="1" applyBorder="1" applyAlignment="1">
      <alignment horizontal="center" vertical="center"/>
    </xf>
    <xf numFmtId="0" fontId="17" fillId="14" borderId="97" xfId="0" applyFont="1" applyFill="1" applyBorder="1" applyAlignment="1">
      <alignment horizontal="center" vertical="center"/>
    </xf>
    <xf numFmtId="0" fontId="17" fillId="14" borderId="49" xfId="0" applyFont="1" applyFill="1" applyBorder="1" applyAlignment="1">
      <alignment horizontal="center" vertical="center"/>
    </xf>
    <xf numFmtId="0" fontId="17" fillId="14" borderId="48" xfId="0" applyFont="1" applyFill="1" applyBorder="1" applyAlignment="1">
      <alignment horizontal="center" vertical="center"/>
    </xf>
    <xf numFmtId="0" fontId="17" fillId="14" borderId="98" xfId="0" applyFont="1" applyFill="1" applyBorder="1" applyAlignment="1">
      <alignment horizontal="center" vertical="center"/>
    </xf>
    <xf numFmtId="0" fontId="3" fillId="0" borderId="20" xfId="0" applyFont="1" applyFill="1" applyBorder="1" applyAlignment="1">
      <alignment horizontal="center" vertical="center" wrapText="1"/>
    </xf>
    <xf numFmtId="0" fontId="4" fillId="14" borderId="11" xfId="0" applyFont="1" applyFill="1" applyBorder="1" applyAlignment="1">
      <alignment horizontal="center"/>
    </xf>
    <xf numFmtId="0" fontId="20" fillId="14" borderId="12" xfId="0" applyFont="1" applyFill="1" applyBorder="1" applyAlignment="1">
      <alignment horizontal="center" vertical="center" wrapText="1"/>
    </xf>
    <xf numFmtId="0" fontId="20" fillId="14" borderId="13" xfId="0" applyFont="1" applyFill="1" applyBorder="1" applyAlignment="1">
      <alignment horizontal="center" vertical="center" wrapText="1"/>
    </xf>
    <xf numFmtId="0" fontId="20" fillId="14" borderId="82" xfId="0" applyFont="1" applyFill="1" applyBorder="1" applyAlignment="1">
      <alignment horizontal="center" vertical="center" wrapText="1"/>
    </xf>
    <xf numFmtId="0" fontId="20" fillId="14" borderId="49" xfId="0" applyFont="1" applyFill="1" applyBorder="1" applyAlignment="1">
      <alignment horizontal="center" vertical="center" wrapText="1"/>
    </xf>
    <xf numFmtId="0" fontId="20" fillId="14" borderId="48" xfId="0" applyFont="1" applyFill="1" applyBorder="1" applyAlignment="1">
      <alignment horizontal="center" vertical="center" wrapText="1"/>
    </xf>
    <xf numFmtId="0" fontId="20" fillId="14" borderId="98" xfId="0" applyFont="1" applyFill="1" applyBorder="1" applyAlignment="1">
      <alignment horizontal="center" vertical="center" wrapText="1"/>
    </xf>
    <xf numFmtId="171" fontId="4" fillId="14" borderId="51" xfId="0" applyNumberFormat="1" applyFont="1" applyFill="1" applyBorder="1" applyAlignment="1">
      <alignment horizontal="center" vertical="center" wrapText="1"/>
    </xf>
    <xf numFmtId="171" fontId="4" fillId="14" borderId="11" xfId="0" applyNumberFormat="1" applyFont="1" applyFill="1" applyBorder="1" applyAlignment="1">
      <alignment horizontal="center" vertical="center" wrapText="1"/>
    </xf>
    <xf numFmtId="171" fontId="4" fillId="14" borderId="50"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17" fillId="14" borderId="11" xfId="0" applyFont="1" applyFill="1" applyBorder="1" applyAlignment="1">
      <alignment horizontal="center" vertical="center"/>
    </xf>
    <xf numFmtId="3" fontId="20" fillId="14" borderId="11" xfId="0" applyNumberFormat="1" applyFont="1" applyFill="1" applyBorder="1" applyAlignment="1">
      <alignment horizontal="center" vertical="center" wrapText="1"/>
    </xf>
    <xf numFmtId="0" fontId="20" fillId="14" borderId="11" xfId="0" applyFont="1" applyFill="1" applyBorder="1" applyAlignment="1">
      <alignment horizontal="center" vertical="center"/>
    </xf>
    <xf numFmtId="164" fontId="4" fillId="14" borderId="12" xfId="1" applyFont="1" applyFill="1" applyBorder="1" applyAlignment="1">
      <alignment horizontal="center" vertical="center"/>
    </xf>
    <xf numFmtId="164" fontId="4" fillId="14" borderId="13" xfId="1" applyFont="1" applyFill="1" applyBorder="1" applyAlignment="1">
      <alignment horizontal="center" vertical="center"/>
    </xf>
    <xf numFmtId="164" fontId="4" fillId="14" borderId="36" xfId="1" applyFont="1" applyFill="1" applyBorder="1" applyAlignment="1">
      <alignment horizontal="center" vertical="center"/>
    </xf>
    <xf numFmtId="0" fontId="20" fillId="14" borderId="51" xfId="0" applyFont="1" applyFill="1" applyBorder="1" applyAlignment="1">
      <alignment horizontal="center" vertical="center"/>
    </xf>
    <xf numFmtId="0" fontId="20" fillId="15" borderId="14" xfId="0" applyFont="1" applyFill="1" applyBorder="1" applyAlignment="1">
      <alignment horizontal="center"/>
    </xf>
    <xf numFmtId="0" fontId="20" fillId="15" borderId="55" xfId="0" applyFont="1" applyFill="1" applyBorder="1" applyAlignment="1">
      <alignment horizontal="center"/>
    </xf>
    <xf numFmtId="0" fontId="20" fillId="14" borderId="12" xfId="0" applyFont="1" applyFill="1" applyBorder="1" applyAlignment="1">
      <alignment horizontal="center"/>
    </xf>
    <xf numFmtId="0" fontId="20" fillId="14" borderId="13" xfId="0" applyFont="1" applyFill="1" applyBorder="1" applyAlignment="1">
      <alignment horizontal="center"/>
    </xf>
    <xf numFmtId="0" fontId="20" fillId="14" borderId="82" xfId="0" applyFont="1" applyFill="1" applyBorder="1" applyAlignment="1">
      <alignment horizontal="center"/>
    </xf>
    <xf numFmtId="0" fontId="4" fillId="14" borderId="25"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71" xfId="0" applyFont="1" applyFill="1" applyBorder="1" applyAlignment="1">
      <alignment horizontal="center" vertical="center" wrapText="1"/>
    </xf>
    <xf numFmtId="0" fontId="4" fillId="14" borderId="72" xfId="0" applyFont="1" applyFill="1" applyBorder="1" applyAlignment="1">
      <alignment horizontal="center" vertical="center" wrapText="1"/>
    </xf>
    <xf numFmtId="0" fontId="4" fillId="14" borderId="73" xfId="0" applyFont="1" applyFill="1" applyBorder="1" applyAlignment="1">
      <alignment horizontal="center" vertical="center" wrapText="1"/>
    </xf>
    <xf numFmtId="0" fontId="4" fillId="14" borderId="53" xfId="0" applyFont="1" applyFill="1" applyBorder="1" applyAlignment="1">
      <alignment horizontal="center" vertical="center" wrapText="1"/>
    </xf>
    <xf numFmtId="0" fontId="4" fillId="14" borderId="7" xfId="0" applyFont="1" applyFill="1" applyBorder="1" applyAlignment="1">
      <alignment horizontal="center" vertical="center" wrapText="1"/>
    </xf>
    <xf numFmtId="0" fontId="4" fillId="14" borderId="39" xfId="0" applyFont="1" applyFill="1" applyBorder="1" applyAlignment="1">
      <alignment horizontal="center" vertical="center" wrapText="1"/>
    </xf>
    <xf numFmtId="0" fontId="4" fillId="14" borderId="8" xfId="0" applyFont="1" applyFill="1" applyBorder="1" applyAlignment="1">
      <alignment horizontal="center" vertical="center" wrapText="1"/>
    </xf>
    <xf numFmtId="0" fontId="4" fillId="14" borderId="7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4" fillId="14" borderId="24"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4" borderId="19" xfId="0" applyFont="1" applyFill="1" applyBorder="1" applyAlignment="1">
      <alignment horizontal="center" vertical="center" wrapText="1"/>
    </xf>
    <xf numFmtId="0" fontId="4" fillId="14" borderId="99" xfId="0" applyFont="1" applyFill="1" applyBorder="1" applyAlignment="1">
      <alignment horizontal="center" vertical="center" wrapText="1"/>
    </xf>
    <xf numFmtId="0" fontId="4" fillId="14" borderId="28" xfId="0" applyFont="1" applyFill="1" applyBorder="1" applyAlignment="1">
      <alignment horizontal="center" vertical="center" wrapText="1"/>
    </xf>
    <xf numFmtId="0" fontId="4" fillId="14" borderId="80" xfId="0" applyFont="1" applyFill="1" applyBorder="1" applyAlignment="1">
      <alignment horizontal="center" vertical="center" wrapText="1"/>
    </xf>
    <xf numFmtId="0" fontId="4" fillId="0" borderId="12" xfId="0" applyFont="1" applyFill="1" applyBorder="1" applyAlignment="1">
      <alignment horizontal="center"/>
    </xf>
    <xf numFmtId="0" fontId="4" fillId="0" borderId="13" xfId="0" applyFont="1" applyFill="1" applyBorder="1" applyAlignment="1">
      <alignment horizontal="center"/>
    </xf>
    <xf numFmtId="0" fontId="4" fillId="0" borderId="82" xfId="0" applyFont="1" applyFill="1" applyBorder="1" applyAlignment="1">
      <alignment horizontal="center"/>
    </xf>
    <xf numFmtId="0" fontId="4" fillId="14" borderId="41" xfId="0" applyFont="1" applyFill="1" applyBorder="1" applyAlignment="1">
      <alignment horizontal="center" vertical="center" wrapText="1"/>
    </xf>
    <xf numFmtId="0" fontId="4" fillId="14" borderId="50" xfId="0" applyFont="1" applyFill="1" applyBorder="1" applyAlignment="1">
      <alignment horizontal="center" vertical="center" wrapText="1"/>
    </xf>
    <xf numFmtId="0" fontId="20" fillId="14" borderId="11" xfId="0" applyFont="1" applyFill="1" applyBorder="1" applyAlignment="1">
      <alignment horizontal="right" vertical="center" wrapText="1"/>
    </xf>
    <xf numFmtId="0" fontId="17" fillId="14" borderId="17" xfId="0" applyFont="1" applyFill="1" applyBorder="1" applyAlignment="1">
      <alignment horizontal="center" vertical="center"/>
    </xf>
    <xf numFmtId="0" fontId="17" fillId="14" borderId="37" xfId="0" applyFont="1" applyFill="1" applyBorder="1" applyAlignment="1">
      <alignment horizontal="center" vertical="center"/>
    </xf>
    <xf numFmtId="0" fontId="4" fillId="14" borderId="11" xfId="0" applyFont="1" applyFill="1" applyBorder="1" applyAlignment="1">
      <alignment horizontal="center" vertical="center"/>
    </xf>
    <xf numFmtId="0" fontId="4" fillId="14" borderId="51" xfId="0" applyFont="1" applyFill="1" applyBorder="1" applyAlignment="1">
      <alignment horizontal="center" vertical="center"/>
    </xf>
    <xf numFmtId="0" fontId="20" fillId="14" borderId="24" xfId="0" applyFont="1" applyFill="1" applyBorder="1" applyAlignment="1">
      <alignment horizontal="left" vertical="center" wrapText="1"/>
    </xf>
    <xf numFmtId="0" fontId="20" fillId="14" borderId="26" xfId="0" applyFont="1" applyFill="1" applyBorder="1" applyAlignment="1">
      <alignment horizontal="left" vertical="center" wrapText="1"/>
    </xf>
    <xf numFmtId="0" fontId="20" fillId="14" borderId="1" xfId="0" applyFont="1" applyFill="1" applyBorder="1" applyAlignment="1">
      <alignment horizontal="left" vertical="center" wrapText="1"/>
    </xf>
    <xf numFmtId="0" fontId="20" fillId="14" borderId="18" xfId="0" applyFont="1" applyFill="1" applyBorder="1" applyAlignment="1">
      <alignment horizontal="left" vertical="center" wrapText="1"/>
    </xf>
    <xf numFmtId="0" fontId="20" fillId="14" borderId="19" xfId="0" applyFont="1" applyFill="1" applyBorder="1" applyAlignment="1">
      <alignment horizontal="left" vertical="center" wrapText="1"/>
    </xf>
    <xf numFmtId="0" fontId="20" fillId="14" borderId="21" xfId="0" applyFont="1" applyFill="1" applyBorder="1" applyAlignment="1">
      <alignment horizontal="left" vertical="center" wrapText="1"/>
    </xf>
    <xf numFmtId="0" fontId="4" fillId="14" borderId="88" xfId="0" applyFont="1" applyFill="1" applyBorder="1" applyAlignment="1">
      <alignment horizontal="center" vertical="center"/>
    </xf>
    <xf numFmtId="0" fontId="4" fillId="14" borderId="89" xfId="0" applyFont="1" applyFill="1" applyBorder="1" applyAlignment="1">
      <alignment horizontal="center" vertical="center"/>
    </xf>
    <xf numFmtId="0" fontId="4" fillId="14" borderId="94" xfId="0" applyFont="1" applyFill="1" applyBorder="1" applyAlignment="1">
      <alignment horizontal="center" vertical="center"/>
    </xf>
    <xf numFmtId="167" fontId="4" fillId="14" borderId="92" xfId="6" applyNumberFormat="1" applyFont="1" applyFill="1" applyBorder="1" applyAlignment="1">
      <alignment horizontal="center" vertical="center" wrapText="1"/>
    </xf>
    <xf numFmtId="167" fontId="4" fillId="14" borderId="93" xfId="6" applyNumberFormat="1" applyFont="1" applyFill="1" applyBorder="1" applyAlignment="1">
      <alignment horizontal="center" vertical="center" wrapText="1"/>
    </xf>
    <xf numFmtId="0" fontId="4" fillId="14" borderId="90" xfId="0" applyFont="1" applyFill="1" applyBorder="1" applyAlignment="1">
      <alignment horizontal="center" vertical="center" wrapText="1"/>
    </xf>
    <xf numFmtId="0" fontId="4" fillId="14" borderId="91" xfId="0" applyFont="1" applyFill="1" applyBorder="1" applyAlignment="1">
      <alignment horizontal="center" vertical="center" wrapText="1"/>
    </xf>
    <xf numFmtId="0" fontId="4" fillId="14" borderId="48" xfId="0" applyFont="1" applyFill="1" applyBorder="1" applyAlignment="1">
      <alignment horizontal="center" vertical="center" wrapText="1"/>
    </xf>
    <xf numFmtId="0" fontId="4" fillId="14" borderId="98" xfId="0" applyFont="1" applyFill="1" applyBorder="1" applyAlignment="1">
      <alignment horizontal="center" vertical="center" wrapText="1"/>
    </xf>
    <xf numFmtId="0" fontId="20" fillId="14" borderId="12" xfId="0" applyFont="1" applyFill="1" applyBorder="1" applyAlignment="1">
      <alignment horizontal="center" vertical="center"/>
    </xf>
    <xf numFmtId="0" fontId="20" fillId="14" borderId="13" xfId="0" applyFont="1" applyFill="1" applyBorder="1" applyAlignment="1">
      <alignment horizontal="center" vertical="center"/>
    </xf>
    <xf numFmtId="0" fontId="20" fillId="14" borderId="82" xfId="0" applyFont="1" applyFill="1" applyBorder="1" applyAlignment="1">
      <alignment horizontal="center" vertical="center"/>
    </xf>
    <xf numFmtId="3" fontId="20" fillId="14" borderId="12" xfId="0" applyNumberFormat="1" applyFont="1" applyFill="1" applyBorder="1" applyAlignment="1">
      <alignment horizontal="center" vertical="center" wrapText="1"/>
    </xf>
    <xf numFmtId="3" fontId="20" fillId="14" borderId="13" xfId="0" applyNumberFormat="1" applyFont="1" applyFill="1" applyBorder="1" applyAlignment="1">
      <alignment horizontal="center" vertical="center" wrapText="1"/>
    </xf>
    <xf numFmtId="3" fontId="20" fillId="14" borderId="82" xfId="0" applyNumberFormat="1" applyFont="1" applyFill="1" applyBorder="1" applyAlignment="1">
      <alignment horizontal="center" vertical="center" wrapText="1"/>
    </xf>
    <xf numFmtId="42" fontId="20" fillId="14" borderId="11" xfId="8" applyNumberFormat="1" applyFont="1" applyFill="1" applyBorder="1" applyAlignment="1">
      <alignment horizontal="center" vertical="center" wrapText="1"/>
    </xf>
    <xf numFmtId="42" fontId="20" fillId="14" borderId="50" xfId="8" applyNumberFormat="1" applyFont="1" applyFill="1" applyBorder="1" applyAlignment="1">
      <alignment horizontal="center" vertical="center" wrapText="1"/>
    </xf>
    <xf numFmtId="0" fontId="4" fillId="0" borderId="0" xfId="0" applyFont="1" applyAlignment="1">
      <alignment horizontal="center"/>
    </xf>
    <xf numFmtId="0" fontId="8" fillId="14" borderId="12" xfId="0" applyFont="1" applyFill="1" applyBorder="1" applyAlignment="1">
      <alignment horizontal="center" vertical="center"/>
    </xf>
    <xf numFmtId="0" fontId="8" fillId="14" borderId="13" xfId="0" applyFont="1" applyFill="1" applyBorder="1" applyAlignment="1">
      <alignment horizontal="center" vertical="center"/>
    </xf>
    <xf numFmtId="0" fontId="8" fillId="14" borderId="36" xfId="0" applyFont="1" applyFill="1" applyBorder="1" applyAlignment="1">
      <alignment horizontal="center" vertical="center"/>
    </xf>
    <xf numFmtId="0" fontId="20" fillId="14" borderId="50"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6" fontId="2" fillId="0" borderId="22" xfId="0" applyNumberFormat="1" applyFont="1" applyFill="1" applyBorder="1" applyAlignment="1">
      <alignment horizontal="center" vertical="center" wrapText="1"/>
    </xf>
    <xf numFmtId="166" fontId="2" fillId="0" borderId="35" xfId="0" applyNumberFormat="1" applyFont="1" applyFill="1" applyBorder="1" applyAlignment="1">
      <alignment horizontal="center" vertical="center" wrapText="1"/>
    </xf>
    <xf numFmtId="42" fontId="20" fillId="14" borderId="51" xfId="8" applyNumberFormat="1" applyFont="1" applyFill="1" applyBorder="1" applyAlignment="1">
      <alignment horizontal="center" vertical="center" wrapText="1"/>
    </xf>
    <xf numFmtId="0" fontId="20" fillId="14" borderId="54" xfId="0" applyFont="1" applyFill="1" applyBorder="1" applyAlignment="1">
      <alignment horizontal="center" vertical="center" wrapText="1"/>
    </xf>
    <xf numFmtId="0" fontId="4" fillId="14" borderId="12"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82" xfId="0" applyFont="1" applyFill="1" applyBorder="1" applyAlignment="1">
      <alignment horizontal="center" vertical="center"/>
    </xf>
    <xf numFmtId="166" fontId="4" fillId="14" borderId="11" xfId="0" applyNumberFormat="1" applyFont="1" applyFill="1" applyBorder="1" applyAlignment="1">
      <alignment horizontal="center" vertical="center" wrapText="1"/>
    </xf>
    <xf numFmtId="166" fontId="4" fillId="14" borderId="50" xfId="0" applyNumberFormat="1" applyFont="1" applyFill="1" applyBorder="1" applyAlignment="1">
      <alignment horizontal="center" vertical="center" wrapText="1"/>
    </xf>
    <xf numFmtId="0" fontId="8" fillId="14" borderId="49" xfId="0" applyFont="1" applyFill="1" applyBorder="1" applyAlignment="1">
      <alignment horizontal="center" vertical="center" wrapText="1"/>
    </xf>
    <xf numFmtId="0" fontId="8" fillId="14" borderId="48" xfId="0" applyFont="1" applyFill="1" applyBorder="1" applyAlignment="1">
      <alignment horizontal="center" vertical="center" wrapText="1"/>
    </xf>
    <xf numFmtId="0" fontId="8" fillId="14" borderId="80" xfId="0" applyFont="1" applyFill="1" applyBorder="1" applyAlignment="1">
      <alignment horizontal="center" vertical="center" wrapText="1"/>
    </xf>
    <xf numFmtId="0" fontId="8" fillId="14" borderId="11" xfId="0" applyFont="1" applyFill="1" applyBorder="1" applyAlignment="1">
      <alignment horizontal="center" vertical="center"/>
    </xf>
    <xf numFmtId="0" fontId="4" fillId="14" borderId="55" xfId="0" applyFont="1" applyFill="1" applyBorder="1" applyAlignment="1">
      <alignment horizontal="center" vertical="center" wrapText="1"/>
    </xf>
    <xf numFmtId="166" fontId="4" fillId="14" borderId="51" xfId="0" applyNumberFormat="1" applyFont="1" applyFill="1" applyBorder="1" applyAlignment="1">
      <alignment horizontal="center" vertical="center" wrapText="1"/>
    </xf>
    <xf numFmtId="0" fontId="17" fillId="14" borderId="12" xfId="0" applyFont="1" applyFill="1" applyBorder="1" applyAlignment="1">
      <alignment horizontal="center" vertical="center"/>
    </xf>
    <xf numFmtId="0" fontId="17" fillId="14" borderId="13" xfId="0" applyFont="1" applyFill="1" applyBorder="1" applyAlignment="1">
      <alignment horizontal="center" vertical="center"/>
    </xf>
    <xf numFmtId="0" fontId="17" fillId="14" borderId="82" xfId="0" applyFont="1" applyFill="1" applyBorder="1" applyAlignment="1">
      <alignment horizontal="center" vertical="center"/>
    </xf>
    <xf numFmtId="0" fontId="18" fillId="14" borderId="33" xfId="0" applyFont="1" applyFill="1" applyBorder="1" applyAlignment="1">
      <alignment horizontal="center" vertical="center"/>
    </xf>
    <xf numFmtId="0" fontId="18" fillId="14" borderId="34" xfId="0" applyFont="1" applyFill="1" applyBorder="1" applyAlignment="1">
      <alignment horizontal="center" vertical="center"/>
    </xf>
    <xf numFmtId="0" fontId="17" fillId="14" borderId="24" xfId="0" applyFont="1" applyFill="1" applyBorder="1" applyAlignment="1">
      <alignment horizontal="center" vertical="center"/>
    </xf>
    <xf numFmtId="0" fontId="17" fillId="14" borderId="1" xfId="0" applyFont="1" applyFill="1" applyBorder="1" applyAlignment="1">
      <alignment horizontal="center" vertical="center"/>
    </xf>
    <xf numFmtId="0" fontId="17" fillId="14" borderId="19" xfId="0" applyFont="1" applyFill="1" applyBorder="1" applyAlignment="1">
      <alignment horizontal="center" vertical="center"/>
    </xf>
    <xf numFmtId="1" fontId="17" fillId="14" borderId="71" xfId="0" applyNumberFormat="1" applyFont="1" applyFill="1" applyBorder="1" applyAlignment="1">
      <alignment horizontal="center" vertical="center" wrapText="1"/>
    </xf>
    <xf numFmtId="1" fontId="17" fillId="14" borderId="72" xfId="0" applyNumberFormat="1" applyFont="1" applyFill="1" applyBorder="1" applyAlignment="1">
      <alignment horizontal="center" vertical="center" wrapText="1"/>
    </xf>
    <xf numFmtId="1" fontId="17" fillId="14" borderId="73" xfId="0" applyNumberFormat="1" applyFont="1" applyFill="1" applyBorder="1" applyAlignment="1">
      <alignment horizontal="center" vertical="center" wrapText="1"/>
    </xf>
    <xf numFmtId="0" fontId="17" fillId="14" borderId="25" xfId="0" applyFont="1" applyFill="1" applyBorder="1" applyAlignment="1">
      <alignment horizontal="center" vertical="center"/>
    </xf>
    <xf numFmtId="0" fontId="17" fillId="14" borderId="39" xfId="0" applyFont="1" applyFill="1" applyBorder="1" applyAlignment="1">
      <alignment horizontal="center" vertical="center"/>
    </xf>
    <xf numFmtId="0" fontId="17" fillId="14" borderId="2" xfId="0" applyFont="1" applyFill="1" applyBorder="1" applyAlignment="1">
      <alignment horizontal="center" vertical="center" wrapText="1"/>
    </xf>
    <xf numFmtId="0" fontId="17" fillId="14" borderId="20" xfId="0" applyFont="1" applyFill="1" applyBorder="1" applyAlignment="1">
      <alignment horizontal="center" vertical="center" wrapText="1"/>
    </xf>
    <xf numFmtId="1" fontId="17" fillId="14" borderId="2" xfId="0" applyNumberFormat="1" applyFont="1" applyFill="1" applyBorder="1" applyAlignment="1">
      <alignment horizontal="center" vertical="center" wrapText="1"/>
    </xf>
    <xf numFmtId="1" fontId="17" fillId="14" borderId="20" xfId="0" applyNumberFormat="1" applyFont="1" applyFill="1" applyBorder="1" applyAlignment="1">
      <alignment horizontal="center" vertical="center" wrapText="1"/>
    </xf>
    <xf numFmtId="0" fontId="17" fillId="14" borderId="2" xfId="0" applyFont="1" applyFill="1" applyBorder="1" applyAlignment="1">
      <alignment horizontal="center" vertical="center"/>
    </xf>
    <xf numFmtId="0" fontId="17" fillId="14" borderId="8" xfId="0" applyFont="1" applyFill="1" applyBorder="1" applyAlignment="1">
      <alignment horizontal="center" vertical="center"/>
    </xf>
    <xf numFmtId="0" fontId="20" fillId="14" borderId="36" xfId="0" applyFont="1" applyFill="1" applyBorder="1" applyAlignment="1">
      <alignment horizontal="center" vertical="center" wrapText="1"/>
    </xf>
    <xf numFmtId="0" fontId="4" fillId="14" borderId="17" xfId="0" applyFont="1" applyFill="1" applyBorder="1" applyAlignment="1">
      <alignment horizontal="center"/>
    </xf>
    <xf numFmtId="0" fontId="4" fillId="14" borderId="37" xfId="0" applyFont="1" applyFill="1" applyBorder="1" applyAlignment="1">
      <alignment horizontal="center"/>
    </xf>
    <xf numFmtId="0" fontId="4" fillId="14" borderId="38" xfId="0" applyFont="1" applyFill="1" applyBorder="1" applyAlignment="1">
      <alignment horizontal="center"/>
    </xf>
    <xf numFmtId="0" fontId="4" fillId="14" borderId="33" xfId="0" applyFont="1" applyFill="1" applyBorder="1" applyAlignment="1">
      <alignment horizontal="center" vertical="center"/>
    </xf>
    <xf numFmtId="0" fontId="4" fillId="14" borderId="34" xfId="0" applyFont="1" applyFill="1" applyBorder="1" applyAlignment="1">
      <alignment horizontal="center" vertical="center"/>
    </xf>
    <xf numFmtId="0" fontId="4" fillId="14" borderId="42" xfId="0" applyFont="1" applyFill="1" applyBorder="1" applyAlignment="1">
      <alignment horizontal="center" vertical="center"/>
    </xf>
    <xf numFmtId="0" fontId="17" fillId="14" borderId="80" xfId="0" applyFont="1" applyFill="1" applyBorder="1" applyAlignment="1">
      <alignment horizontal="center" vertical="center"/>
    </xf>
    <xf numFmtId="3" fontId="17" fillId="14" borderId="11" xfId="0" applyNumberFormat="1" applyFont="1" applyFill="1" applyBorder="1" applyAlignment="1">
      <alignment horizontal="center" vertical="center" wrapText="1"/>
    </xf>
    <xf numFmtId="1" fontId="17" fillId="14" borderId="11" xfId="0" applyNumberFormat="1" applyFont="1" applyFill="1" applyBorder="1" applyAlignment="1">
      <alignment horizontal="center" vertical="center" wrapText="1"/>
    </xf>
    <xf numFmtId="1" fontId="17" fillId="14" borderId="12"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0" fontId="17" fillId="14" borderId="75" xfId="0" applyFont="1" applyFill="1" applyBorder="1" applyAlignment="1">
      <alignment horizontal="center" vertical="center"/>
    </xf>
    <xf numFmtId="1" fontId="17" fillId="14" borderId="50" xfId="0" applyNumberFormat="1"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17" fillId="14" borderId="5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ill="1" applyBorder="1" applyAlignment="1">
      <alignment horizontal="center" vertical="center" wrapText="1"/>
    </xf>
    <xf numFmtId="0" fontId="4" fillId="14" borderId="49" xfId="0" applyFont="1" applyFill="1" applyBorder="1" applyAlignment="1">
      <alignment horizontal="center"/>
    </xf>
    <xf numFmtId="0" fontId="4" fillId="14" borderId="48" xfId="0" applyFont="1" applyFill="1" applyBorder="1" applyAlignment="1">
      <alignment horizontal="center"/>
    </xf>
    <xf numFmtId="1" fontId="17" fillId="14" borderId="51" xfId="0" applyNumberFormat="1" applyFont="1" applyFill="1" applyBorder="1" applyAlignment="1">
      <alignment horizontal="center" vertical="center" wrapText="1"/>
    </xf>
    <xf numFmtId="0" fontId="17" fillId="14" borderId="33" xfId="0" applyFont="1" applyFill="1" applyBorder="1" applyAlignment="1">
      <alignment horizontal="center" vertical="center"/>
    </xf>
    <xf numFmtId="0" fontId="17" fillId="14" borderId="34" xfId="0" applyFont="1" applyFill="1" applyBorder="1" applyAlignment="1">
      <alignment horizontal="center" vertical="center"/>
    </xf>
    <xf numFmtId="166" fontId="4" fillId="14" borderId="76" xfId="0" applyNumberFormat="1" applyFont="1" applyFill="1" applyBorder="1" applyAlignment="1">
      <alignment horizontal="center" vertical="center" wrapText="1"/>
    </xf>
    <xf numFmtId="166" fontId="4" fillId="14" borderId="12" xfId="0" applyNumberFormat="1" applyFont="1" applyFill="1" applyBorder="1" applyAlignment="1">
      <alignment horizontal="center" vertical="center" wrapText="1"/>
    </xf>
    <xf numFmtId="166" fontId="4" fillId="14" borderId="13" xfId="0" applyNumberFormat="1" applyFont="1" applyFill="1" applyBorder="1" applyAlignment="1">
      <alignment horizontal="center" vertical="center" wrapText="1"/>
    </xf>
    <xf numFmtId="166" fontId="4" fillId="14" borderId="82" xfId="0" applyNumberFormat="1" applyFont="1" applyFill="1" applyBorder="1" applyAlignment="1">
      <alignment horizontal="center" vertical="center" wrapText="1"/>
    </xf>
    <xf numFmtId="49" fontId="4" fillId="14" borderId="12" xfId="6" applyNumberFormat="1" applyFont="1" applyFill="1" applyBorder="1" applyAlignment="1">
      <alignment horizontal="center" vertical="center" wrapText="1"/>
    </xf>
    <xf numFmtId="49" fontId="4" fillId="14" borderId="13" xfId="6" applyNumberFormat="1" applyFont="1" applyFill="1" applyBorder="1" applyAlignment="1">
      <alignment horizontal="center" vertical="center" wrapText="1"/>
    </xf>
    <xf numFmtId="49" fontId="4" fillId="14" borderId="82" xfId="6" applyNumberFormat="1" applyFont="1" applyFill="1" applyBorder="1" applyAlignment="1">
      <alignment horizontal="center" vertical="center" wrapText="1"/>
    </xf>
    <xf numFmtId="0" fontId="0" fillId="14" borderId="50" xfId="0" applyFill="1" applyBorder="1" applyAlignment="1">
      <alignment horizontal="center"/>
    </xf>
    <xf numFmtId="0" fontId="0" fillId="14" borderId="76" xfId="0" applyFill="1" applyBorder="1" applyAlignment="1">
      <alignment horizontal="center"/>
    </xf>
    <xf numFmtId="0" fontId="0" fillId="14" borderId="51" xfId="0" applyFill="1" applyBorder="1" applyAlignment="1">
      <alignment horizontal="center"/>
    </xf>
    <xf numFmtId="0" fontId="17" fillId="14" borderId="36" xfId="0" applyFont="1" applyFill="1" applyBorder="1" applyAlignment="1">
      <alignment horizontal="center" vertical="center"/>
    </xf>
    <xf numFmtId="0" fontId="18" fillId="14" borderId="17" xfId="0" applyFont="1" applyFill="1" applyBorder="1" applyAlignment="1">
      <alignment horizontal="center"/>
    </xf>
    <xf numFmtId="0" fontId="18" fillId="14" borderId="37" xfId="0" applyFont="1" applyFill="1" applyBorder="1" applyAlignment="1">
      <alignment horizontal="center"/>
    </xf>
    <xf numFmtId="0" fontId="17" fillId="14" borderId="14" xfId="0" applyFont="1" applyFill="1" applyBorder="1" applyAlignment="1">
      <alignment horizontal="center" vertical="center" wrapText="1"/>
    </xf>
    <xf numFmtId="0" fontId="17" fillId="14" borderId="0" xfId="0" applyFont="1" applyFill="1" applyBorder="1" applyAlignment="1">
      <alignment horizontal="center" vertical="center" wrapText="1"/>
    </xf>
    <xf numFmtId="0" fontId="17" fillId="14" borderId="48" xfId="0" applyFont="1" applyFill="1" applyBorder="1" applyAlignment="1">
      <alignment horizontal="center" vertical="center" wrapText="1"/>
    </xf>
    <xf numFmtId="0" fontId="4" fillId="14" borderId="98" xfId="0" applyFont="1" applyFill="1" applyBorder="1" applyAlignment="1">
      <alignment horizontal="center"/>
    </xf>
    <xf numFmtId="0" fontId="17" fillId="14" borderId="17" xfId="0" applyFont="1" applyFill="1" applyBorder="1" applyAlignment="1">
      <alignment horizontal="center"/>
    </xf>
    <xf numFmtId="0" fontId="17" fillId="14" borderId="37" xfId="0" applyFont="1" applyFill="1" applyBorder="1" applyAlignment="1">
      <alignment horizontal="center"/>
    </xf>
    <xf numFmtId="0" fontId="17" fillId="14" borderId="12" xfId="0" applyFont="1" applyFill="1" applyBorder="1" applyAlignment="1">
      <alignment horizontal="center"/>
    </xf>
    <xf numFmtId="0" fontId="17" fillId="14" borderId="13" xfId="0" applyFont="1" applyFill="1" applyBorder="1" applyAlignment="1">
      <alignment horizontal="center"/>
    </xf>
    <xf numFmtId="0" fontId="17" fillId="14" borderId="82" xfId="0" applyFont="1" applyFill="1" applyBorder="1" applyAlignment="1">
      <alignment horizontal="center"/>
    </xf>
    <xf numFmtId="0" fontId="3" fillId="37" borderId="6" xfId="0" applyFont="1" applyFill="1" applyBorder="1" applyAlignment="1">
      <alignment horizontal="center" vertical="center" wrapText="1"/>
    </xf>
    <xf numFmtId="0" fontId="3" fillId="37" borderId="35" xfId="0" applyFont="1" applyFill="1" applyBorder="1" applyAlignment="1">
      <alignment horizontal="center" vertical="center" wrapText="1"/>
    </xf>
    <xf numFmtId="0" fontId="4" fillId="14" borderId="36" xfId="0" applyFont="1" applyFill="1" applyBorder="1" applyAlignment="1">
      <alignment horizontal="center" vertical="center" wrapText="1"/>
    </xf>
    <xf numFmtId="164" fontId="4" fillId="14" borderId="12" xfId="1" applyFont="1" applyFill="1" applyBorder="1" applyAlignment="1">
      <alignment horizontal="center" vertical="center" wrapText="1"/>
    </xf>
    <xf numFmtId="164" fontId="4" fillId="14" borderId="13" xfId="1" applyFont="1" applyFill="1" applyBorder="1" applyAlignment="1">
      <alignment horizontal="center" vertical="center" wrapText="1"/>
    </xf>
    <xf numFmtId="164" fontId="4" fillId="14" borderId="36" xfId="1" applyFont="1" applyFill="1" applyBorder="1" applyAlignment="1">
      <alignment horizontal="center" vertical="center" wrapText="1"/>
    </xf>
    <xf numFmtId="0" fontId="0" fillId="0" borderId="0" xfId="0" applyAlignment="1">
      <alignment horizontal="center"/>
    </xf>
    <xf numFmtId="0" fontId="18" fillId="7" borderId="39" xfId="0" applyFont="1" applyFill="1" applyBorder="1" applyAlignment="1">
      <alignment horizontal="center"/>
    </xf>
    <xf numFmtId="0" fontId="18" fillId="7" borderId="16" xfId="0" applyFont="1" applyFill="1" applyBorder="1" applyAlignment="1">
      <alignment horizontal="center"/>
    </xf>
    <xf numFmtId="0" fontId="18" fillId="7" borderId="29" xfId="0" applyFont="1" applyFill="1" applyBorder="1" applyAlignment="1">
      <alignment horizontal="center"/>
    </xf>
    <xf numFmtId="0" fontId="4" fillId="14" borderId="16" xfId="0" applyFont="1" applyFill="1" applyBorder="1" applyAlignment="1">
      <alignment horizontal="center" vertical="center"/>
    </xf>
    <xf numFmtId="0" fontId="4" fillId="14" borderId="31" xfId="0" applyFont="1" applyFill="1" applyBorder="1" applyAlignment="1">
      <alignment horizontal="center" vertical="center"/>
    </xf>
    <xf numFmtId="0" fontId="4" fillId="14" borderId="54"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55" xfId="0" applyFont="1" applyFill="1" applyBorder="1" applyAlignment="1">
      <alignment horizontal="center" vertical="center"/>
    </xf>
    <xf numFmtId="0" fontId="17" fillId="14" borderId="26" xfId="0" applyFont="1" applyFill="1" applyBorder="1" applyAlignment="1">
      <alignment horizontal="center" vertical="center" wrapText="1"/>
    </xf>
    <xf numFmtId="0" fontId="17" fillId="14" borderId="21" xfId="0" applyFont="1" applyFill="1" applyBorder="1" applyAlignment="1">
      <alignment horizontal="center" vertical="center" wrapText="1"/>
    </xf>
    <xf numFmtId="0" fontId="17" fillId="14" borderId="25" xfId="0" applyFont="1" applyFill="1" applyBorder="1" applyAlignment="1">
      <alignment horizontal="center" vertical="center" wrapText="1"/>
    </xf>
    <xf numFmtId="0" fontId="17" fillId="14" borderId="24" xfId="0" applyFont="1" applyFill="1" applyBorder="1" applyAlignment="1">
      <alignment horizontal="center" vertical="center" wrapText="1"/>
    </xf>
    <xf numFmtId="0" fontId="17" fillId="14" borderId="19"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xf>
    <xf numFmtId="0" fontId="20" fillId="14" borderId="80" xfId="0" applyFont="1" applyFill="1" applyBorder="1" applyAlignment="1">
      <alignment horizontal="center" vertical="center" wrapText="1"/>
    </xf>
    <xf numFmtId="0" fontId="0" fillId="14" borderId="17" xfId="0" applyFill="1" applyBorder="1" applyAlignment="1">
      <alignment horizontal="center"/>
    </xf>
    <xf numFmtId="0" fontId="0" fillId="14" borderId="37" xfId="0" applyFill="1" applyBorder="1" applyAlignment="1">
      <alignment horizontal="center"/>
    </xf>
    <xf numFmtId="0" fontId="0" fillId="15" borderId="55" xfId="0" applyFill="1" applyBorder="1" applyAlignment="1">
      <alignment horizontal="center" vertical="center" wrapText="1"/>
    </xf>
    <xf numFmtId="0" fontId="0" fillId="15" borderId="98" xfId="0" applyFill="1" applyBorder="1" applyAlignment="1">
      <alignment horizontal="center" vertical="center" wrapText="1"/>
    </xf>
    <xf numFmtId="42" fontId="4" fillId="14" borderId="11" xfId="8" applyFont="1" applyFill="1" applyBorder="1" applyAlignment="1">
      <alignment horizontal="center" vertical="center" wrapText="1"/>
    </xf>
    <xf numFmtId="42" fontId="4" fillId="14" borderId="50" xfId="8" applyFont="1" applyFill="1" applyBorder="1" applyAlignment="1">
      <alignment horizontal="center" vertical="center" wrapText="1"/>
    </xf>
    <xf numFmtId="171" fontId="4" fillId="14" borderId="76" xfId="0" applyNumberFormat="1" applyFont="1" applyFill="1" applyBorder="1" applyAlignment="1">
      <alignment horizontal="center" vertical="center" wrapText="1"/>
    </xf>
    <xf numFmtId="3" fontId="20" fillId="14" borderId="50" xfId="0" applyNumberFormat="1" applyFont="1" applyFill="1" applyBorder="1" applyAlignment="1">
      <alignment horizontal="center" vertical="center" wrapText="1"/>
    </xf>
    <xf numFmtId="3" fontId="20" fillId="14" borderId="76" xfId="0" applyNumberFormat="1" applyFont="1" applyFill="1" applyBorder="1" applyAlignment="1">
      <alignment horizontal="center" vertical="center" wrapText="1"/>
    </xf>
    <xf numFmtId="3" fontId="20" fillId="14" borderId="51" xfId="0" applyNumberFormat="1" applyFont="1" applyFill="1" applyBorder="1" applyAlignment="1">
      <alignment horizontal="center" vertical="center" wrapText="1"/>
    </xf>
    <xf numFmtId="0" fontId="20" fillId="14" borderId="30" xfId="0" applyFont="1" applyFill="1" applyBorder="1" applyAlignment="1">
      <alignment horizontal="center" vertical="center" wrapText="1"/>
    </xf>
    <xf numFmtId="0" fontId="20" fillId="14" borderId="31" xfId="0" applyFont="1" applyFill="1" applyBorder="1" applyAlignment="1">
      <alignment horizontal="center" vertical="center" wrapText="1"/>
    </xf>
    <xf numFmtId="0" fontId="20" fillId="14" borderId="27" xfId="0" applyFont="1" applyFill="1" applyBorder="1" applyAlignment="1">
      <alignment horizontal="center" vertical="center" wrapText="1"/>
    </xf>
    <xf numFmtId="0" fontId="3" fillId="0" borderId="124" xfId="0" applyFont="1" applyFill="1" applyBorder="1" applyAlignment="1">
      <alignment horizontal="center" vertical="center" wrapText="1"/>
    </xf>
    <xf numFmtId="0" fontId="3" fillId="0" borderId="12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0" xfId="0" applyFont="1" applyFill="1" applyBorder="1" applyAlignment="1">
      <alignment horizontal="center" vertical="center" wrapText="1"/>
    </xf>
    <xf numFmtId="0" fontId="17" fillId="14" borderId="49" xfId="0" applyFont="1" applyFill="1" applyBorder="1" applyAlignment="1">
      <alignment horizontal="center"/>
    </xf>
    <xf numFmtId="0" fontId="17" fillId="14" borderId="48" xfId="0" applyFont="1" applyFill="1" applyBorder="1" applyAlignment="1">
      <alignment horizontal="center"/>
    </xf>
    <xf numFmtId="0" fontId="17" fillId="14" borderId="80" xfId="0" applyFont="1" applyFill="1" applyBorder="1" applyAlignment="1">
      <alignment horizontal="center"/>
    </xf>
    <xf numFmtId="0" fontId="4" fillId="14" borderId="50" xfId="0" applyFont="1" applyFill="1" applyBorder="1" applyAlignment="1">
      <alignment horizontal="center" vertical="center"/>
    </xf>
    <xf numFmtId="174" fontId="4" fillId="36" borderId="50" xfId="0" applyNumberFormat="1" applyFont="1" applyFill="1" applyBorder="1" applyAlignment="1">
      <alignment horizontal="center" vertical="center" wrapText="1"/>
    </xf>
    <xf numFmtId="174" fontId="4" fillId="36" borderId="51" xfId="0" applyNumberFormat="1" applyFont="1" applyFill="1" applyBorder="1" applyAlignment="1">
      <alignment horizontal="center" vertical="center" wrapText="1"/>
    </xf>
    <xf numFmtId="0" fontId="4" fillId="14" borderId="49" xfId="0" applyFont="1" applyFill="1" applyBorder="1" applyAlignment="1">
      <alignment horizontal="center" vertical="center"/>
    </xf>
    <xf numFmtId="0" fontId="4" fillId="14" borderId="48" xfId="0" applyFont="1" applyFill="1" applyBorder="1" applyAlignment="1">
      <alignment horizontal="center" vertical="center"/>
    </xf>
    <xf numFmtId="0" fontId="8" fillId="14" borderId="100" xfId="0" applyFont="1" applyFill="1" applyBorder="1" applyAlignment="1">
      <alignment horizontal="center" wrapText="1"/>
    </xf>
    <xf numFmtId="0" fontId="8" fillId="14" borderId="0" xfId="0" applyFont="1" applyFill="1" applyBorder="1" applyAlignment="1">
      <alignment horizontal="center" wrapText="1"/>
    </xf>
    <xf numFmtId="0" fontId="8" fillId="14" borderId="100" xfId="0" applyFont="1" applyFill="1" applyBorder="1" applyAlignment="1">
      <alignment horizontal="center" vertical="center" wrapText="1"/>
    </xf>
    <xf numFmtId="0" fontId="8" fillId="14" borderId="0" xfId="0" applyFont="1" applyFill="1" applyBorder="1" applyAlignment="1">
      <alignment horizontal="center" vertical="center" wrapText="1"/>
    </xf>
    <xf numFmtId="0" fontId="17" fillId="0" borderId="0" xfId="0" applyFont="1" applyAlignment="1">
      <alignment horizontal="left" vertical="center" wrapText="1"/>
    </xf>
    <xf numFmtId="0" fontId="18" fillId="14" borderId="54" xfId="0" applyFont="1" applyFill="1" applyBorder="1" applyAlignment="1">
      <alignment horizontal="center" vertical="center"/>
    </xf>
    <xf numFmtId="0" fontId="18" fillId="14" borderId="14" xfId="0" applyFont="1" applyFill="1" applyBorder="1" applyAlignment="1">
      <alignment horizontal="center" vertical="center"/>
    </xf>
    <xf numFmtId="0" fontId="18" fillId="14" borderId="55" xfId="0" applyFont="1" applyFill="1" applyBorder="1" applyAlignment="1">
      <alignment horizontal="center" vertical="center"/>
    </xf>
    <xf numFmtId="0" fontId="18" fillId="14" borderId="100" xfId="0" applyFont="1" applyFill="1" applyBorder="1" applyAlignment="1">
      <alignment horizontal="center" vertical="center"/>
    </xf>
    <xf numFmtId="0" fontId="18" fillId="14" borderId="0" xfId="0" applyFont="1" applyFill="1" applyBorder="1" applyAlignment="1">
      <alignment horizontal="center" vertical="center"/>
    </xf>
    <xf numFmtId="0" fontId="18" fillId="14" borderId="97" xfId="0" applyFont="1" applyFill="1" applyBorder="1" applyAlignment="1">
      <alignment horizontal="center" vertical="center"/>
    </xf>
    <xf numFmtId="0" fontId="18" fillId="14" borderId="49" xfId="0" applyFont="1" applyFill="1" applyBorder="1" applyAlignment="1">
      <alignment horizontal="center" vertical="center"/>
    </xf>
    <xf numFmtId="0" fontId="18" fillId="14" borderId="48" xfId="0" applyFont="1" applyFill="1" applyBorder="1" applyAlignment="1">
      <alignment horizontal="center" vertical="center"/>
    </xf>
    <xf numFmtId="0" fontId="18" fillId="14" borderId="98" xfId="0" applyFont="1" applyFill="1" applyBorder="1" applyAlignment="1">
      <alignment horizontal="center" vertical="center"/>
    </xf>
    <xf numFmtId="0" fontId="8" fillId="14" borderId="82" xfId="0" applyFont="1" applyFill="1" applyBorder="1" applyAlignment="1">
      <alignment horizontal="center" vertical="center"/>
    </xf>
    <xf numFmtId="0" fontId="8" fillId="14" borderId="12" xfId="0" applyFont="1" applyFill="1" applyBorder="1" applyAlignment="1">
      <alignment horizontal="center"/>
    </xf>
    <xf numFmtId="0" fontId="8" fillId="14" borderId="13" xfId="0" applyFont="1" applyFill="1" applyBorder="1" applyAlignment="1">
      <alignment horizontal="center"/>
    </xf>
    <xf numFmtId="0" fontId="8" fillId="14" borderId="82" xfId="0" applyFont="1" applyFill="1" applyBorder="1" applyAlignment="1">
      <alignment horizontal="center"/>
    </xf>
    <xf numFmtId="174" fontId="4" fillId="36" borderId="11" xfId="0" applyNumberFormat="1" applyFont="1" applyFill="1" applyBorder="1" applyAlignment="1">
      <alignment horizontal="center" vertical="center" wrapText="1"/>
    </xf>
    <xf numFmtId="0" fontId="44" fillId="14" borderId="11" xfId="0" applyFont="1" applyFill="1" applyBorder="1" applyAlignment="1">
      <alignment vertical="center" wrapText="1"/>
    </xf>
    <xf numFmtId="0" fontId="44" fillId="14" borderId="50" xfId="0" applyFont="1" applyFill="1" applyBorder="1" applyAlignment="1">
      <alignment vertical="center" wrapText="1"/>
    </xf>
    <xf numFmtId="0" fontId="24" fillId="0" borderId="2" xfId="0" applyFont="1" applyFill="1" applyBorder="1" applyAlignment="1">
      <alignment horizontal="left" vertical="center" wrapText="1"/>
    </xf>
    <xf numFmtId="166" fontId="2" fillId="0" borderId="8" xfId="0" applyNumberFormat="1" applyFont="1" applyFill="1" applyBorder="1" applyAlignment="1">
      <alignment horizontal="center" vertical="center" wrapText="1"/>
    </xf>
    <xf numFmtId="0" fontId="2" fillId="0" borderId="86" xfId="0" applyFont="1" applyFill="1" applyBorder="1" applyAlignment="1">
      <alignment horizontal="justify" vertical="center" wrapText="1"/>
    </xf>
  </cellXfs>
  <cellStyles count="64">
    <cellStyle name="Millares" xfId="6" builtinId="3"/>
    <cellStyle name="Millares [0]" xfId="1" builtinId="6"/>
    <cellStyle name="Millares [0] 2" xfId="3"/>
    <cellStyle name="Millares [0] 2 2" xfId="11"/>
    <cellStyle name="Millares [0] 2 2 2" xfId="37"/>
    <cellStyle name="Millares [0] 2 3" xfId="14"/>
    <cellStyle name="Millares [0] 2 3 2" xfId="40"/>
    <cellStyle name="Millares [0] 2 4" xfId="19"/>
    <cellStyle name="Millares [0] 2 4 2" xfId="45"/>
    <cellStyle name="Millares [0] 2 5" xfId="32"/>
    <cellStyle name="Millares 10" xfId="24"/>
    <cellStyle name="Millares 10 2" xfId="50"/>
    <cellStyle name="Millares 11" xfId="25"/>
    <cellStyle name="Millares 11 2" xfId="51"/>
    <cellStyle name="Millares 12" xfId="27"/>
    <cellStyle name="Millares 12 2" xfId="53"/>
    <cellStyle name="Millares 13" xfId="26"/>
    <cellStyle name="Millares 13 2" xfId="52"/>
    <cellStyle name="Millares 14" xfId="23"/>
    <cellStyle name="Millares 14 2" xfId="49"/>
    <cellStyle name="Millares 15" xfId="28"/>
    <cellStyle name="Millares 15 2" xfId="54"/>
    <cellStyle name="Millares 16" xfId="29"/>
    <cellStyle name="Millares 16 2" xfId="55"/>
    <cellStyle name="Millares 17" xfId="30"/>
    <cellStyle name="Millares 17 2" xfId="56"/>
    <cellStyle name="Millares 18" xfId="31"/>
    <cellStyle name="Millares 18 2" xfId="57"/>
    <cellStyle name="Millares 19" xfId="33"/>
    <cellStyle name="Millares 2" xfId="4"/>
    <cellStyle name="Millares 2 2" xfId="12"/>
    <cellStyle name="Millares 2 2 2" xfId="38"/>
    <cellStyle name="Millares 20" xfId="58"/>
    <cellStyle name="Millares 21" xfId="61"/>
    <cellStyle name="Millares 22" xfId="62"/>
    <cellStyle name="Millares 3" xfId="13"/>
    <cellStyle name="Millares 3 2" xfId="39"/>
    <cellStyle name="Millares 4" xfId="10"/>
    <cellStyle name="Millares 4 2" xfId="36"/>
    <cellStyle name="Millares 5" xfId="15"/>
    <cellStyle name="Millares 5 2" xfId="41"/>
    <cellStyle name="Millares 6" xfId="17"/>
    <cellStyle name="Millares 6 2" xfId="43"/>
    <cellStyle name="Millares 7" xfId="18"/>
    <cellStyle name="Millares 7 2" xfId="44"/>
    <cellStyle name="Millares 8" xfId="20"/>
    <cellStyle name="Millares 8 2" xfId="46"/>
    <cellStyle name="Millares 9" xfId="22"/>
    <cellStyle name="Millares 9 2" xfId="48"/>
    <cellStyle name="Moneda" xfId="7" builtinId="4"/>
    <cellStyle name="Moneda [0]" xfId="8" builtinId="7"/>
    <cellStyle name="Moneda [0] 2" xfId="35"/>
    <cellStyle name="Moneda 2" xfId="16"/>
    <cellStyle name="Moneda 2 2" xfId="42"/>
    <cellStyle name="Moneda 3" xfId="21"/>
    <cellStyle name="Moneda 3 2" xfId="47"/>
    <cellStyle name="Moneda 4" xfId="34"/>
    <cellStyle name="Moneda 5" xfId="59"/>
    <cellStyle name="Moneda 6" xfId="60"/>
    <cellStyle name="Moneda 7" xfId="63"/>
    <cellStyle name="Normal" xfId="0" builtinId="0"/>
    <cellStyle name="Normal 2" xfId="9"/>
    <cellStyle name="Normal 2 2" xfId="2"/>
    <cellStyle name="Porcentaje" xfId="5"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FFFF"/>
      <color rgb="FFFFFCF3"/>
      <color rgb="FFFFFFCC"/>
      <color rgb="FFFFCCFF"/>
      <color rgb="FF02D7E2"/>
      <color rgb="FFFF66CC"/>
      <color rgb="FFF5FED2"/>
      <color rgb="FFFEF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PRESUPUESTO INICIAL COMPARADO (2020-2023)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[1]INDIC!$H$119:$H$121</c:f>
              <c:numCache>
                <c:formatCode>General</c:formatCode>
                <c:ptCount val="3"/>
                <c:pt idx="0">
                  <c:v>23755585130</c:v>
                </c:pt>
                <c:pt idx="1">
                  <c:v>24873867190</c:v>
                </c:pt>
                <c:pt idx="2">
                  <c:v>27934280541</c:v>
                </c:pt>
              </c:numCache>
            </c:numRef>
          </c:val>
          <c:extLst>
            <c:ext xmlns:c15="http://schemas.microsoft.com/office/drawing/2012/chart" uri="{02D57815-91ED-43cb-92C2-25804820EDAC}">
              <c15:filteredCategoryTitle>
                <c15:cat>
                  <c:numRef>
                    <c:extLst>
                      <c:ext uri="{02D57815-91ED-43cb-92C2-25804820EDAC}">
                        <c15:formulaRef>
                          <c15:sqref>[1]INDIC!$G$119:$G$121</c15:sqref>
                        </c15:formulaRef>
                      </c:ext>
                    </c:extLst>
                    <c:numCache>
                      <c:formatCode>General</c:formatCode>
                      <c:ptCount val="3"/>
                      <c:pt idx="0">
                        <c:v>2020</c:v>
                      </c:pt>
                      <c:pt idx="1">
                        <c:v>2021</c:v>
                      </c:pt>
                      <c:pt idx="2">
                        <c:v>2022</c:v>
                      </c:pt>
                    </c:numCache>
                  </c:numRef>
                </c15:cat>
              </c15:filteredCategoryTitle>
            </c:ext>
            <c:ext xmlns:c16="http://schemas.microsoft.com/office/drawing/2014/chart" uri="{C3380CC4-5D6E-409C-BE32-E72D297353CC}">
              <c16:uniqueId val="{00000000-AAE7-457D-97AD-9802E8CC676E}"/>
            </c:ext>
          </c:extLst>
        </c:ser>
        <c:dLbls>
          <c:dLblPos val="outEnd"/>
          <c:showLegendKey val="0"/>
          <c:showVal val="1"/>
          <c:showCatName val="0"/>
          <c:showSerName val="0"/>
          <c:showPercent val="0"/>
          <c:showBubbleSize val="0"/>
        </c:dLbls>
        <c:gapWidth val="219"/>
        <c:overlap val="-27"/>
        <c:axId val="-253775328"/>
        <c:axId val="-253772608"/>
      </c:barChart>
      <c:catAx>
        <c:axId val="-25377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772608"/>
        <c:crosses val="autoZero"/>
        <c:auto val="1"/>
        <c:lblAlgn val="ctr"/>
        <c:lblOffset val="100"/>
        <c:noMultiLvlLbl val="0"/>
      </c:catAx>
      <c:valAx>
        <c:axId val="-2537726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775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320101: DESARROLLO SECTORIAL SOSTENIBLE</a:t>
            </a:r>
            <a:endParaRPr lang="es-CO" sz="900" b="1">
              <a:effectLst/>
            </a:endParaRPr>
          </a:p>
        </c:rich>
      </c:tx>
      <c:layout>
        <c:manualLayout>
          <c:xMode val="edge"/>
          <c:yMode val="edge"/>
          <c:x val="0.2393326373540943"/>
          <c:y val="4.98723428082124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INDIC!$H$7:$N$7</c:f>
              <c:numCache>
                <c:formatCode>0%</c:formatCode>
                <c:ptCount val="7"/>
                <c:pt idx="0" formatCode="_-* #,##0_-;\-* #,##0_-;_-* &quot;-&quot;??_-;_-@_-">
                  <c:v>92397396</c:v>
                </c:pt>
                <c:pt idx="1">
                  <c:v>1.1167522946209436</c:v>
                </c:pt>
                <c:pt idx="2" formatCode="_-* #,##0_-;\-* #,##0_-;_-* &quot;-&quot;??_-;_-@_-">
                  <c:v>195582400</c:v>
                </c:pt>
                <c:pt idx="3">
                  <c:v>7.2817206456204653E-2</c:v>
                </c:pt>
                <c:pt idx="4" formatCode="_-* #,##0_-;\-* #,##0_-;_-* &quot;-&quot;??_-;_-@_-">
                  <c:v>209824164</c:v>
                </c:pt>
                <c:pt idx="5">
                  <c:v>0.19909128769363285</c:v>
                </c:pt>
                <c:pt idx="6" formatCode="_-* #,##0_-;\-* #,##0_-;_-* &quot;-&quot;??_-;_-@_-">
                  <c:v>251598327</c:v>
                </c:pt>
              </c:numCache>
            </c:numRef>
          </c:val>
          <c:extLst>
            <c:ext xmlns:c16="http://schemas.microsoft.com/office/drawing/2014/chart" uri="{C3380CC4-5D6E-409C-BE32-E72D297353CC}">
              <c16:uniqueId val="{00000006-E7C1-4EAC-8D97-D4BD88C2945F}"/>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320102: NEGOCIOS VERDES</a:t>
            </a:r>
            <a:endParaRPr lang="es-CO" sz="900" b="1">
              <a:effectLst/>
            </a:endParaRPr>
          </a:p>
        </c:rich>
      </c:tx>
      <c:layout>
        <c:manualLayout>
          <c:xMode val="edge"/>
          <c:yMode val="edge"/>
          <c:x val="0.34041565335676649"/>
          <c:y val="4.987232546451519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INDIC!$H$10:$N$10</c:f>
              <c:numCache>
                <c:formatCode>0%</c:formatCode>
                <c:ptCount val="7"/>
                <c:pt idx="0" formatCode="_-* #,##0_-;\-* #,##0_-;_-* &quot;-&quot;??_-;_-@_-">
                  <c:v>130991497</c:v>
                </c:pt>
                <c:pt idx="1">
                  <c:v>1.2902249907106567</c:v>
                </c:pt>
                <c:pt idx="2" formatCode="_-* #,##0_-;\-* #,##0_-;_-* &quot;-&quot;??_-;_-@_-">
                  <c:v>300000000</c:v>
                </c:pt>
                <c:pt idx="3">
                  <c:v>5.763091E-2</c:v>
                </c:pt>
                <c:pt idx="4" formatCode="_-* #,##0_-;\-* #,##0_-;_-* &quot;-&quot;??_-;_-@_-">
                  <c:v>317289273</c:v>
                </c:pt>
                <c:pt idx="5">
                  <c:v>0.40151624981031109</c:v>
                </c:pt>
                <c:pt idx="6" formatCode="_-* #,##0_-;\-* #,##0_-;_-* &quot;-&quot;??_-;_-@_-">
                  <c:v>444686072</c:v>
                </c:pt>
              </c:numCache>
            </c:numRef>
          </c:val>
          <c:extLst>
            <c:ext xmlns:c16="http://schemas.microsoft.com/office/drawing/2014/chart" uri="{C3380CC4-5D6E-409C-BE32-E72D297353CC}">
              <c16:uniqueId val="{00000000-2FCC-4D07-8B6B-FC033EB937F3}"/>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320103: CONTROL Y VIGILANCIA DEL DESARROLLO SECTORIAL SOSTENIBLE</a:t>
            </a:r>
            <a:endParaRPr lang="es-CO" sz="900" b="1">
              <a:effectLst/>
            </a:endParaRPr>
          </a:p>
        </c:rich>
      </c:tx>
      <c:layout>
        <c:manualLayout>
          <c:xMode val="edge"/>
          <c:yMode val="edge"/>
          <c:x val="0.18024051853672518"/>
          <c:y val="3.5561058027118529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INDIC!$H$13:$N$13</c:f>
              <c:numCache>
                <c:formatCode>0%</c:formatCode>
                <c:ptCount val="7"/>
                <c:pt idx="0" formatCode="_-* #,##0_-;\-* #,##0_-;_-* &quot;-&quot;??_-;_-@_-">
                  <c:v>999121714</c:v>
                </c:pt>
                <c:pt idx="1">
                  <c:v>2.2685463386432509</c:v>
                </c:pt>
                <c:pt idx="2" formatCode="_-* #,##0_-;\-* #,##0_-;_-* &quot;-&quot;??_-;_-@_-">
                  <c:v>3265675620.1536694</c:v>
                </c:pt>
                <c:pt idx="3">
                  <c:v>0.12477504782151672</c:v>
                </c:pt>
                <c:pt idx="4" formatCode="_-* #,##0_-;\-* #,##0_-;_-* &quot;-&quot;??_-;_-@_-">
                  <c:v>3673150451.8279047</c:v>
                </c:pt>
                <c:pt idx="5">
                  <c:v>7.0464156196840114E-2</c:v>
                </c:pt>
                <c:pt idx="6" formatCode="_-* #,##0_-;\-* #,##0_-;_-* &quot;-&quot;??_-;_-@_-">
                  <c:v>3931975899</c:v>
                </c:pt>
              </c:numCache>
            </c:numRef>
          </c:val>
          <c:extLst>
            <c:ext xmlns:c16="http://schemas.microsoft.com/office/drawing/2014/chart" uri="{C3380CC4-5D6E-409C-BE32-E72D297353CC}">
              <c16:uniqueId val="{00000000-1126-4CF4-AE36-A55CDC05CC17}"/>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320201: GESTIÓN DE LA BIODIVERSIDAD Y SUS SERVICIOS ECOSISTÉMICOS</a:t>
            </a:r>
            <a:endParaRPr lang="es-CO" sz="900" b="1">
              <a:effectLst/>
            </a:endParaRPr>
          </a:p>
        </c:rich>
      </c:tx>
      <c:layout>
        <c:manualLayout>
          <c:xMode val="edge"/>
          <c:yMode val="edge"/>
          <c:x val="0.115258556763705"/>
          <c:y val="2.60202130688541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INDIC!$H$25:$N$25</c:f>
              <c:numCache>
                <c:formatCode>0%</c:formatCode>
                <c:ptCount val="7"/>
                <c:pt idx="0" formatCode="_-* #,##0_-;\-* #,##0_-;_-* &quot;-&quot;??_-;_-@_-">
                  <c:v>3990284306</c:v>
                </c:pt>
                <c:pt idx="1">
                  <c:v>-2.5080167708731774E-3</c:v>
                </c:pt>
                <c:pt idx="2" formatCode="_-* #,##0_-;\-* #,##0_-;_-* &quot;-&quot;??_-;_-@_-">
                  <c:v>3980276606.04</c:v>
                </c:pt>
                <c:pt idx="3">
                  <c:v>-0.10356195746518866</c:v>
                </c:pt>
                <c:pt idx="4" formatCode="_-* #,##0_-;\-* #,##0_-;_-* &quot;-&quot;??_-;_-@_-">
                  <c:v>3568071369.4656</c:v>
                </c:pt>
                <c:pt idx="5">
                  <c:v>-6.1360070972568813E-2</c:v>
                </c:pt>
                <c:pt idx="6" formatCode="_-* #,##0_-;\-* #,##0_-;_-* &quot;-&quot;??_-;_-@_-">
                  <c:v>3349134257</c:v>
                </c:pt>
              </c:numCache>
            </c:numRef>
          </c:val>
          <c:extLst>
            <c:ext xmlns:c16="http://schemas.microsoft.com/office/drawing/2014/chart" uri="{C3380CC4-5D6E-409C-BE32-E72D297353CC}">
              <c16:uniqueId val="{00000000-0C8E-4618-985F-F3F4E3BEBF86}"/>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320202: CONTROL, SEGUIMIENTO Y MONITOREO AL USO Y MANEJO DE RECURSOS DE LA OFERTA NATURAL</a:t>
            </a:r>
            <a:endParaRPr lang="es-CO" sz="900" b="1">
              <a:effectLst/>
            </a:endParaRPr>
          </a:p>
        </c:rich>
      </c:tx>
      <c:layout>
        <c:manualLayout>
          <c:xMode val="edge"/>
          <c:yMode val="edge"/>
          <c:x val="0.115258556763705"/>
          <c:y val="2.60202130688541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INDIC!$H$37:$N$37</c:f>
              <c:numCache>
                <c:formatCode>0%</c:formatCode>
                <c:ptCount val="7"/>
                <c:pt idx="0" formatCode="_-* #,##0_-;\-* #,##0_-;_-* &quot;-&quot;??_-;_-@_-">
                  <c:v>1216211306</c:v>
                </c:pt>
                <c:pt idx="1">
                  <c:v>-0.35390393856114999</c:v>
                </c:pt>
                <c:pt idx="2" formatCode="_-* #,##0_-;\-* #,##0_-;_-* &quot;-&quot;??_-;_-@_-">
                  <c:v>785789334.68400002</c:v>
                </c:pt>
                <c:pt idx="3">
                  <c:v>0.25467356387125922</c:v>
                </c:pt>
                <c:pt idx="4" formatCode="_-* #,##0_-;\-* #,##0_-;_-* &quot;-&quot;??_-;_-@_-">
                  <c:v>985909105</c:v>
                </c:pt>
                <c:pt idx="5">
                  <c:v>5.9999999695712312E-2</c:v>
                </c:pt>
                <c:pt idx="6" formatCode="_-* #,##0_-;\-* #,##0_-;_-* &quot;-&quot;??_-;_-@_-">
                  <c:v>1045063651</c:v>
                </c:pt>
              </c:numCache>
            </c:numRef>
          </c:val>
          <c:extLst>
            <c:ext xmlns:c16="http://schemas.microsoft.com/office/drawing/2014/chart" uri="{C3380CC4-5D6E-409C-BE32-E72D297353CC}">
              <c16:uniqueId val="{00000000-42FC-4AB4-B655-155353451C51}"/>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320203: RESTAURACIÓN, REFORESTACIÓN Y PROTECCIÓN DE ECOSISTEMAS ESTRATÉGICOS EN CUENCAS HIDROGRÁFICAS</a:t>
            </a:r>
            <a:endParaRPr lang="es-CO" sz="900" b="1">
              <a:effectLst/>
            </a:endParaRPr>
          </a:p>
        </c:rich>
      </c:tx>
      <c:layout>
        <c:manualLayout>
          <c:xMode val="edge"/>
          <c:yMode val="edge"/>
          <c:x val="0.115258556763705"/>
          <c:y val="2.60202130688541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INDIC!$H$41:$N$41</c:f>
              <c:numCache>
                <c:formatCode>0%</c:formatCode>
                <c:ptCount val="7"/>
                <c:pt idx="0" formatCode="_-* #,##0_-;\-* #,##0_-;_-* &quot;-&quot;??_-;_-@_-">
                  <c:v>1863599822</c:v>
                </c:pt>
                <c:pt idx="1">
                  <c:v>-0.49404037558445313</c:v>
                </c:pt>
                <c:pt idx="2" formatCode="_-* #,##0_-;\-* #,##0_-;_-* &quot;-&quot;??_-;_-@_-">
                  <c:v>942906266</c:v>
                </c:pt>
                <c:pt idx="3">
                  <c:v>0.19818104804067554</c:v>
                </c:pt>
                <c:pt idx="4" formatCode="_-* #,##0_-;\-* #,##0_-;_-* &quot;-&quot;??_-;_-@_-">
                  <c:v>1129772418</c:v>
                </c:pt>
                <c:pt idx="5">
                  <c:v>-1.1957801221519996E-2</c:v>
                </c:pt>
                <c:pt idx="6" formatCode="_-* #,##0_-;\-* #,##0_-;_-* &quot;-&quot;??_-;_-@_-">
                  <c:v>1116262824</c:v>
                </c:pt>
              </c:numCache>
            </c:numRef>
          </c:val>
          <c:extLst>
            <c:ext xmlns:c16="http://schemas.microsoft.com/office/drawing/2014/chart" uri="{C3380CC4-5D6E-409C-BE32-E72D297353CC}">
              <c16:uniqueId val="{00000000-614A-4B8D-8B4C-04626A5E0E7F}"/>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320301: CONSERVACIÓN Y USO EFICIENTE DEL RECURSO HÍDRICO</a:t>
            </a:r>
            <a:endParaRPr lang="es-CO" sz="900" b="1">
              <a:effectLst/>
            </a:endParaRPr>
          </a:p>
        </c:rich>
      </c:tx>
      <c:layout>
        <c:manualLayout>
          <c:xMode val="edge"/>
          <c:yMode val="edge"/>
          <c:x val="0.115258556763705"/>
          <c:y val="2.60202130688541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INDIC!$H$48:$N$48</c:f>
              <c:numCache>
                <c:formatCode>0%</c:formatCode>
                <c:ptCount val="7"/>
                <c:pt idx="0" formatCode="_-* #,##0_-;\-* #,##0_-;_-* &quot;-&quot;??_-;_-@_-">
                  <c:v>8870865331</c:v>
                </c:pt>
                <c:pt idx="1">
                  <c:v>4.7614223893576543E-2</c:v>
                </c:pt>
                <c:pt idx="2" formatCode="_-* #,##0_-;\-* #,##0_-;_-* &quot;-&quot;??_-;_-@_-">
                  <c:v>9293244699</c:v>
                </c:pt>
                <c:pt idx="3">
                  <c:v>4.5319209843825412E-2</c:v>
                </c:pt>
                <c:pt idx="4" formatCode="_-* #,##0_-;\-* #,##0_-;_-* &quot;-&quot;??_-;_-@_-">
                  <c:v>9714407205.6439991</c:v>
                </c:pt>
                <c:pt idx="5">
                  <c:v>-0.1325634651073522</c:v>
                </c:pt>
                <c:pt idx="6" formatCode="_-* #,##0_-;\-* #,##0_-;_-* &quot;-&quot;??_-;_-@_-">
                  <c:v>8426631725</c:v>
                </c:pt>
              </c:numCache>
            </c:numRef>
          </c:val>
          <c:extLst>
            <c:ext xmlns:c16="http://schemas.microsoft.com/office/drawing/2014/chart" uri="{C3380CC4-5D6E-409C-BE32-E72D297353CC}">
              <c16:uniqueId val="{00000000-F546-4703-BDC7-5484609C6012}"/>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320302: ADMINISTRACIÓN DEL RECURSO HÍDRICO</a:t>
            </a:r>
            <a:endParaRPr lang="es-CO" sz="900" b="1">
              <a:effectLst/>
            </a:endParaRPr>
          </a:p>
        </c:rich>
      </c:tx>
      <c:layout>
        <c:manualLayout>
          <c:xMode val="edge"/>
          <c:yMode val="edge"/>
          <c:x val="0.18746073651150524"/>
          <c:y val="3.07906355479863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INDIC!$H$52:$N$52</c:f>
              <c:numCache>
                <c:formatCode>0%</c:formatCode>
                <c:ptCount val="7"/>
                <c:pt idx="0" formatCode="_-* #,##0_-;\-* #,##0_-;_-* &quot;-&quot;??_-;_-@_-">
                  <c:v>2750155284</c:v>
                </c:pt>
                <c:pt idx="1">
                  <c:v>-0.30084448842053096</c:v>
                </c:pt>
                <c:pt idx="2" formatCode="_-* #,##0_-;\-* #,##0_-;_-* &quot;-&quot;??_-;_-@_-">
                  <c:v>1922786224.5079999</c:v>
                </c:pt>
                <c:pt idx="3">
                  <c:v>0.16943623597387278</c:v>
                </c:pt>
                <c:pt idx="4" formatCode="_-* #,##0_-;\-* #,##0_-;_-* &quot;-&quot;??_-;_-@_-">
                  <c:v>2248575884.9710493</c:v>
                </c:pt>
                <c:pt idx="5">
                  <c:v>0.14283920688453261</c:v>
                </c:pt>
                <c:pt idx="6" formatCode="_-* #,##0_-;\-* #,##0_-;_-* &quot;-&quot;??_-;_-@_-">
                  <c:v>2569760681</c:v>
                </c:pt>
              </c:numCache>
            </c:numRef>
          </c:val>
          <c:extLst>
            <c:ext xmlns:c16="http://schemas.microsoft.com/office/drawing/2014/chart" uri="{C3380CC4-5D6E-409C-BE32-E72D297353CC}">
              <c16:uniqueId val="{00000000-60F2-4539-9359-1AC7ABD2BC74}"/>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320401: INFORMACIÓN Y CONOCIMIENTO AMBIENTAL</a:t>
            </a:r>
            <a:endParaRPr lang="es-CO" sz="900" b="1">
              <a:effectLst/>
            </a:endParaRPr>
          </a:p>
        </c:rich>
      </c:tx>
      <c:layout>
        <c:manualLayout>
          <c:xMode val="edge"/>
          <c:yMode val="edge"/>
          <c:x val="0.18746073651150524"/>
          <c:y val="3.07906355479863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INDIC!$H$61:$N$61</c:f>
              <c:numCache>
                <c:formatCode>0%</c:formatCode>
                <c:ptCount val="7"/>
                <c:pt idx="0" formatCode="_-* #,##0_-;\-* #,##0_-;_-* &quot;-&quot;??_-;_-@_-">
                  <c:v>227759591</c:v>
                </c:pt>
                <c:pt idx="1">
                  <c:v>-4.3994208788335945E-2</c:v>
                </c:pt>
                <c:pt idx="2" formatCode="_-* #,##0_-;\-* #,##0_-;_-* &quot;-&quot;??_-;_-@_-">
                  <c:v>217739488</c:v>
                </c:pt>
                <c:pt idx="3">
                  <c:v>0.17401592306490582</c:v>
                </c:pt>
                <c:pt idx="4" formatCode="_-* #,##0_-;\-* #,##0_-;_-* &quot;-&quot;??_-;_-@_-">
                  <c:v>255629625.99199998</c:v>
                </c:pt>
                <c:pt idx="5">
                  <c:v>6.0000001754413307E-2</c:v>
                </c:pt>
                <c:pt idx="6" formatCode="_-* #,##0_-;\-* #,##0_-;_-* &quot;-&quot;??_-;_-@_-">
                  <c:v>270967404</c:v>
                </c:pt>
              </c:numCache>
            </c:numRef>
          </c:val>
          <c:extLst>
            <c:ext xmlns:c16="http://schemas.microsoft.com/office/drawing/2014/chart" uri="{C3380CC4-5D6E-409C-BE32-E72D297353CC}">
              <c16:uniqueId val="{00000000-2432-4E43-9F64-044C8563A90E}"/>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320501: FORTALECIMIENTO DE LOS PROCESOS DE ORENAMIENTO Y PLANIFICACIÓN TERRITORIAL</a:t>
            </a:r>
            <a:endParaRPr lang="es-CO" sz="900" b="1">
              <a:effectLst/>
            </a:endParaRPr>
          </a:p>
        </c:rich>
      </c:tx>
      <c:layout>
        <c:manualLayout>
          <c:xMode val="edge"/>
          <c:yMode val="edge"/>
          <c:x val="0.18746073651150524"/>
          <c:y val="3.07906355479863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INDIC!$H$65:$N$65</c:f>
              <c:numCache>
                <c:formatCode>0%</c:formatCode>
                <c:ptCount val="7"/>
                <c:pt idx="0" formatCode="_-* #,##0_-;\-* #,##0_-;_-* &quot;-&quot;??_-;_-@_-">
                  <c:v>139387741</c:v>
                </c:pt>
                <c:pt idx="1">
                  <c:v>0.65080339453955283</c:v>
                </c:pt>
                <c:pt idx="2" formatCode="_-* #,##0_-;\-* #,##0_-;_-* &quot;-&quot;??_-;_-@_-">
                  <c:v>230101756</c:v>
                </c:pt>
                <c:pt idx="3">
                  <c:v>1.1562101681657744</c:v>
                </c:pt>
                <c:pt idx="4" formatCode="_-* #,##0_-;\-* #,##0_-;_-* &quot;-&quot;??_-;_-@_-">
                  <c:v>496147746</c:v>
                </c:pt>
                <c:pt idx="5">
                  <c:v>-0.14497323746785701</c:v>
                </c:pt>
                <c:pt idx="6" formatCode="_-* #,##0_-;\-* #,##0_-;_-* &quot;-&quot;??_-;_-@_-">
                  <c:v>424219601</c:v>
                </c:pt>
              </c:numCache>
            </c:numRef>
          </c:val>
          <c:extLst>
            <c:ext xmlns:c16="http://schemas.microsoft.com/office/drawing/2014/chart" uri="{C3380CC4-5D6E-409C-BE32-E72D297353CC}">
              <c16:uniqueId val="{00000000-E7E9-4ADE-BD66-DCB65A5F9472}"/>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320502: GESTIÓN DEL CONOCIMIENTO Y GESTIÓN DEL RIESGO DE DESASTRES</a:t>
            </a:r>
            <a:endParaRPr lang="es-CO" sz="900" b="1">
              <a:effectLst/>
            </a:endParaRPr>
          </a:p>
        </c:rich>
      </c:tx>
      <c:layout>
        <c:manualLayout>
          <c:xMode val="edge"/>
          <c:yMode val="edge"/>
          <c:x val="0.18746073651150524"/>
          <c:y val="3.07906355479863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INDIC!$H$68:$N$68</c:f>
              <c:numCache>
                <c:formatCode>0%</c:formatCode>
                <c:ptCount val="7"/>
                <c:pt idx="0" formatCode="_-* #,##0_-;\-* #,##0_-;_-* &quot;-&quot;??_-;_-@_-">
                  <c:v>1604055594</c:v>
                </c:pt>
                <c:pt idx="1">
                  <c:v>4.1927522279193524E-2</c:v>
                </c:pt>
                <c:pt idx="2" formatCode="_-* #,##0_-;\-* #,##0_-;_-* &quot;-&quot;??_-;_-@_-">
                  <c:v>1671309670.6545</c:v>
                </c:pt>
                <c:pt idx="3">
                  <c:v>0.67167402959254641</c:v>
                </c:pt>
                <c:pt idx="4" formatCode="_-* #,##0_-;\-* #,##0_-;_-* &quot;-&quot;??_-;_-@_-">
                  <c:v>2793884971.8399997</c:v>
                </c:pt>
                <c:pt idx="5">
                  <c:v>0.23353885279331629</c:v>
                </c:pt>
                <c:pt idx="6" formatCode="_-* #,##0_-;\-* #,##0_-;_-* &quot;-&quot;??_-;_-@_-">
                  <c:v>3446365663</c:v>
                </c:pt>
              </c:numCache>
            </c:numRef>
          </c:val>
          <c:extLst>
            <c:ext xmlns:c16="http://schemas.microsoft.com/office/drawing/2014/chart" uri="{C3380CC4-5D6E-409C-BE32-E72D297353CC}">
              <c16:uniqueId val="{00000000-B353-46BE-8420-9C041250A82E}"/>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320503: GESTIÓN AMBIENTAL CON COMUNIDADES ÉTNICAS</a:t>
            </a:r>
            <a:endParaRPr lang="es-CO" sz="900" b="1">
              <a:effectLst/>
            </a:endParaRPr>
          </a:p>
        </c:rich>
      </c:tx>
      <c:layout>
        <c:manualLayout>
          <c:xMode val="edge"/>
          <c:yMode val="edge"/>
          <c:x val="0.13932595001297177"/>
          <c:y val="3.07906355479863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INDIC!$H$71:$N$71</c:f>
              <c:numCache>
                <c:formatCode>0%</c:formatCode>
                <c:ptCount val="7"/>
                <c:pt idx="0" formatCode="_-* #,##0_-;\-* #,##0_-;_-* &quot;-&quot;??_-;_-@_-">
                  <c:v>200000000</c:v>
                </c:pt>
                <c:pt idx="1">
                  <c:v>0.25</c:v>
                </c:pt>
                <c:pt idx="2" formatCode="_-* #,##0_-;\-* #,##0_-;_-* &quot;-&quot;??_-;_-@_-">
                  <c:v>250000000</c:v>
                </c:pt>
                <c:pt idx="3">
                  <c:v>0.14419155550399995</c:v>
                </c:pt>
                <c:pt idx="4" formatCode="_-* #,##0_-;\-* #,##0_-;_-* &quot;-&quot;??_-;_-@_-">
                  <c:v>286047888.87599999</c:v>
                </c:pt>
                <c:pt idx="5">
                  <c:v>0.53461418549497552</c:v>
                </c:pt>
                <c:pt idx="6" formatCode="_-* #,##0_-;\-* #,##0_-;_-* &quot;-&quot;??_-;_-@_-">
                  <c:v>438973148</c:v>
                </c:pt>
              </c:numCache>
            </c:numRef>
          </c:val>
          <c:extLst>
            <c:ext xmlns:c16="http://schemas.microsoft.com/office/drawing/2014/chart" uri="{C3380CC4-5D6E-409C-BE32-E72D297353CC}">
              <c16:uniqueId val="{00000000-29F0-44A5-A68E-AF139DEFF7FF}"/>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320601: GESTIÓN DEL CAMBIO CLIMÁTICO</a:t>
            </a:r>
            <a:endParaRPr lang="es-CO" sz="900" b="1">
              <a:effectLst/>
            </a:endParaRPr>
          </a:p>
        </c:rich>
      </c:tx>
      <c:layout>
        <c:manualLayout>
          <c:xMode val="edge"/>
          <c:yMode val="edge"/>
          <c:x val="0.13932595001297177"/>
          <c:y val="3.07906355479863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INDIC!$H$75:$N$75</c:f>
              <c:numCache>
                <c:formatCode>0%</c:formatCode>
                <c:ptCount val="7"/>
                <c:pt idx="0" formatCode="_-* #,##0_-;\-* #,##0_-;_-* &quot;-&quot;??_-;_-@_-">
                  <c:v>160416014</c:v>
                </c:pt>
                <c:pt idx="1">
                  <c:v>-2.0499287558659825E-2</c:v>
                </c:pt>
                <c:pt idx="2" formatCode="_-* #,##0_-;\-* #,##0_-;_-* &quot;-&quot;??_-;_-@_-">
                  <c:v>157127600</c:v>
                </c:pt>
                <c:pt idx="3">
                  <c:v>0.76767162484503038</c:v>
                </c:pt>
                <c:pt idx="4" formatCode="_-* #,##0_-;\-* #,##0_-;_-* &quot;-&quot;??_-;_-@_-">
                  <c:v>277750000</c:v>
                </c:pt>
                <c:pt idx="5">
                  <c:v>8.1214351107110705</c:v>
                </c:pt>
                <c:pt idx="6" formatCode="_-* #,##0_-;\-* #,##0_-;_-* &quot;-&quot;??_-;_-@_-">
                  <c:v>2533478602</c:v>
                </c:pt>
              </c:numCache>
            </c:numRef>
          </c:val>
          <c:extLst>
            <c:ext xmlns:c16="http://schemas.microsoft.com/office/drawing/2014/chart" uri="{C3380CC4-5D6E-409C-BE32-E72D297353CC}">
              <c16:uniqueId val="{00000000-4411-47D9-B983-97A54A16B762}"/>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320801: EDUCACIÓN Y CULTURA AMBIENTAL</a:t>
            </a:r>
            <a:endParaRPr lang="es-CO" sz="200" b="1">
              <a:effectLst/>
            </a:endParaRPr>
          </a:p>
        </c:rich>
      </c:tx>
      <c:layout>
        <c:manualLayout>
          <c:xMode val="edge"/>
          <c:yMode val="edge"/>
          <c:x val="0.20430791178599195"/>
          <c:y val="3.816337983305775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INDIC!$H$79:$N$79</c:f>
              <c:numCache>
                <c:formatCode>0%</c:formatCode>
                <c:ptCount val="7"/>
                <c:pt idx="0" formatCode="_-* #,##0_-;\-* #,##0_-;_-* &quot;-&quot;??_-;_-@_-">
                  <c:v>726656802</c:v>
                </c:pt>
                <c:pt idx="1">
                  <c:v>1.855277617011834E-2</c:v>
                </c:pt>
                <c:pt idx="2" formatCode="_-* #,##0_-;\-* #,##0_-;_-* &quot;-&quot;??_-;_-@_-">
                  <c:v>740138303</c:v>
                </c:pt>
                <c:pt idx="3">
                  <c:v>6.0033334511536508E-2</c:v>
                </c:pt>
                <c:pt idx="4" formatCode="_-* #,##0_-;\-* #,##0_-;_-* &quot;-&quot;??_-;_-@_-">
                  <c:v>784571273.32879996</c:v>
                </c:pt>
                <c:pt idx="5">
                  <c:v>0.27495827594594296</c:v>
                </c:pt>
                <c:pt idx="6" formatCode="_-* #,##0_-;\-* #,##0_-;_-* &quot;-&quot;??_-;_-@_-">
                  <c:v>1000295638</c:v>
                </c:pt>
              </c:numCache>
            </c:numRef>
          </c:val>
          <c:extLst>
            <c:ext xmlns:c16="http://schemas.microsoft.com/office/drawing/2014/chart" uri="{C3380CC4-5D6E-409C-BE32-E72D297353CC}">
              <c16:uniqueId val="{00000000-9C4A-4AF1-8332-86E6E08679AA}"/>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329901: FORTALECIMIENTO INSTITUCIONAL PARA LA GESTIÓN AMBIENTAL</a:t>
            </a:r>
            <a:endParaRPr lang="es-CO" sz="900" b="1">
              <a:effectLst/>
            </a:endParaRPr>
          </a:p>
        </c:rich>
      </c:tx>
      <c:layout>
        <c:manualLayout>
          <c:xMode val="edge"/>
          <c:yMode val="edge"/>
          <c:x val="0.20430791178599195"/>
          <c:y val="3.816337983305775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INDIC!$H$4:$N$5</c:f>
              <c:strCache>
                <c:ptCount val="7"/>
                <c:pt idx="0">
                  <c:v>2020</c:v>
                </c:pt>
                <c:pt idx="1">
                  <c:v>%</c:v>
                </c:pt>
                <c:pt idx="2">
                  <c:v>2021</c:v>
                </c:pt>
                <c:pt idx="3">
                  <c:v>%</c:v>
                </c:pt>
                <c:pt idx="4">
                  <c:v>2022</c:v>
                </c:pt>
                <c:pt idx="5">
                  <c:v>%</c:v>
                </c:pt>
                <c:pt idx="6">
                  <c:v>2023</c:v>
                </c:pt>
              </c:strCache>
            </c:strRef>
          </c:cat>
          <c:val>
            <c:numRef>
              <c:f>INDIC!$H$83:$N$83</c:f>
              <c:numCache>
                <c:formatCode>0%</c:formatCode>
                <c:ptCount val="7"/>
                <c:pt idx="0" formatCode="_-* #,##0_-;\-* #,##0_-;_-* &quot;-&quot;??_-;_-@_-">
                  <c:v>877773853</c:v>
                </c:pt>
                <c:pt idx="1">
                  <c:v>4.9460767840848401E-2</c:v>
                </c:pt>
                <c:pt idx="2" formatCode="_-* #,##0_-;\-* #,##0_-;_-* &quot;-&quot;??_-;_-@_-">
                  <c:v>921189221.75999999</c:v>
                </c:pt>
                <c:pt idx="3">
                  <c:v>0.29533557081272971</c:v>
                </c:pt>
                <c:pt idx="4" formatCode="_-* #,##0_-;\-* #,##0_-;_-* &quot;-&quot;??_-;_-@_-">
                  <c:v>1193249166.3950238</c:v>
                </c:pt>
                <c:pt idx="5">
                  <c:v>0.31944802589435589</c:v>
                </c:pt>
                <c:pt idx="6" formatCode="_-* #,##0_-;\-* #,##0_-;_-* &quot;-&quot;??_-;_-@_-">
                  <c:v>1574430257</c:v>
                </c:pt>
              </c:numCache>
            </c:numRef>
          </c:val>
          <c:extLst>
            <c:ext xmlns:c16="http://schemas.microsoft.com/office/drawing/2014/chart" uri="{C3380CC4-5D6E-409C-BE32-E72D297353CC}">
              <c16:uniqueId val="{00000000-6006-4673-95D7-0AB6ED07D734}"/>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PRESUPUESTO INICIAL COMPARADO 2020-2023</a:t>
            </a:r>
            <a:endParaRPr lang="es-CO" sz="900" b="1">
              <a:effectLst/>
            </a:endParaRPr>
          </a:p>
        </c:rich>
      </c:tx>
      <c:layout>
        <c:manualLayout>
          <c:xMode val="edge"/>
          <c:yMode val="edge"/>
          <c:x val="0.34542049950676113"/>
          <c:y val="2.219529445046914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4"/>
            </a:solidFill>
          </c:spPr>
          <c:invertIfNegative val="0"/>
          <c:dLbls>
            <c:dLbl>
              <c:idx val="0"/>
              <c:layout>
                <c:manualLayout>
                  <c:x val="5.427408412483006E-3"/>
                  <c:y val="-6.7864271457085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11-4FF7-9E69-528F7F323697}"/>
                </c:ext>
              </c:extLst>
            </c:dLbl>
            <c:dLbl>
              <c:idx val="1"/>
              <c:layout>
                <c:manualLayout>
                  <c:x val="2.5327905924920849E-2"/>
                  <c:y val="-9.9800399201596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11-4FF7-9E69-528F7F323697}"/>
                </c:ext>
              </c:extLst>
            </c:dLbl>
            <c:dLbl>
              <c:idx val="2"/>
              <c:layout>
                <c:manualLayout>
                  <c:x val="1.8091361374943399E-2"/>
                  <c:y val="-7.185628742514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11-4FF7-9E69-528F7F323697}"/>
                </c:ext>
              </c:extLst>
            </c:dLbl>
            <c:dLbl>
              <c:idx val="3"/>
              <c:layout>
                <c:manualLayout>
                  <c:x val="3.6182722749886929E-3"/>
                  <c:y val="-5.58882235528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11-4FF7-9E69-528F7F3236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(INDIC!$H$4,INDIC!$J$4,INDIC!$L$4,INDIC!$N$4)</c:f>
              <c:numCache>
                <c:formatCode>General</c:formatCode>
                <c:ptCount val="4"/>
                <c:pt idx="0">
                  <c:v>2020</c:v>
                </c:pt>
                <c:pt idx="1">
                  <c:v>2021</c:v>
                </c:pt>
                <c:pt idx="2">
                  <c:v>2022</c:v>
                </c:pt>
                <c:pt idx="3">
                  <c:v>2023</c:v>
                </c:pt>
              </c:numCache>
            </c:numRef>
          </c:cat>
          <c:val>
            <c:numRef>
              <c:f>(INDIC!$H$90,INDIC!$J$90,INDIC!$L$90,INDIC!$N$90)</c:f>
              <c:numCache>
                <c:formatCode>_-* #,##0_-;\-* #,##0_-;_-* "-"??_-;_-@_-</c:formatCode>
                <c:ptCount val="4"/>
                <c:pt idx="0">
                  <c:v>23849676251</c:v>
                </c:pt>
                <c:pt idx="1">
                  <c:v>24873867189.800171</c:v>
                </c:pt>
                <c:pt idx="2">
                  <c:v>27934280544.340374</c:v>
                </c:pt>
                <c:pt idx="3">
                  <c:v>30823843749</c:v>
                </c:pt>
              </c:numCache>
              <c:extLst/>
            </c:numRef>
          </c:val>
          <c:extLst>
            <c:ext xmlns:c16="http://schemas.microsoft.com/office/drawing/2014/chart" uri="{C3380CC4-5D6E-409C-BE32-E72D297353CC}">
              <c16:uniqueId val="{00000000-1F11-4FF7-9E69-528F7F323697}"/>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3.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8" Type="http://schemas.openxmlformats.org/officeDocument/2006/relationships/hyperlink" Target="#'ACCIONES 320501'!A1"/><Relationship Id="rId13" Type="http://schemas.openxmlformats.org/officeDocument/2006/relationships/hyperlink" Target="#'ACCIONES 320203'!A1"/><Relationship Id="rId3" Type="http://schemas.openxmlformats.org/officeDocument/2006/relationships/hyperlink" Target="#'ACCIONES 320801'!A1"/><Relationship Id="rId7" Type="http://schemas.openxmlformats.org/officeDocument/2006/relationships/hyperlink" Target="#'ACCIONES 320502'!A1"/><Relationship Id="rId12" Type="http://schemas.openxmlformats.org/officeDocument/2006/relationships/hyperlink" Target="#'ACCIONES 320202'!A1"/><Relationship Id="rId2" Type="http://schemas.openxmlformats.org/officeDocument/2006/relationships/hyperlink" Target="#'ACCIONES 329901'!A1"/><Relationship Id="rId16" Type="http://schemas.openxmlformats.org/officeDocument/2006/relationships/hyperlink" Target="#'ACCIONES 320103'!A1"/><Relationship Id="rId1" Type="http://schemas.openxmlformats.org/officeDocument/2006/relationships/image" Target="../media/image1.jpeg"/><Relationship Id="rId6" Type="http://schemas.openxmlformats.org/officeDocument/2006/relationships/hyperlink" Target="#'ACCIONES 320503'!A1"/><Relationship Id="rId11" Type="http://schemas.openxmlformats.org/officeDocument/2006/relationships/hyperlink" Target="#'ACCIONES 320302'!A1"/><Relationship Id="rId5" Type="http://schemas.openxmlformats.org/officeDocument/2006/relationships/hyperlink" Target="#'ACCIONES 320601'!A1"/><Relationship Id="rId15" Type="http://schemas.openxmlformats.org/officeDocument/2006/relationships/hyperlink" Target="#'ACCIONES 320102'!A1"/><Relationship Id="rId10" Type="http://schemas.openxmlformats.org/officeDocument/2006/relationships/hyperlink" Target="#'ACCIONES 320201'!A1"/><Relationship Id="rId4" Type="http://schemas.openxmlformats.org/officeDocument/2006/relationships/hyperlink" Target="#'ACCIONES 320301'!A1"/><Relationship Id="rId9" Type="http://schemas.openxmlformats.org/officeDocument/2006/relationships/hyperlink" Target="#'ACCIONES 320401'!A1"/><Relationship Id="rId14" Type="http://schemas.openxmlformats.org/officeDocument/2006/relationships/hyperlink" Target="#'ACCIONES 320101'!A1"/></Relationships>
</file>

<file path=xl/drawings/drawing1.xml><?xml version="1.0" encoding="utf-8"?>
<xdr:wsDr xmlns:xdr="http://schemas.openxmlformats.org/drawingml/2006/spreadsheetDrawing" xmlns:a="http://schemas.openxmlformats.org/drawingml/2006/main">
  <xdr:twoCellAnchor>
    <xdr:from>
      <xdr:col>1</xdr:col>
      <xdr:colOff>923925</xdr:colOff>
      <xdr:row>96</xdr:row>
      <xdr:rowOff>123825</xdr:rowOff>
    </xdr:from>
    <xdr:to>
      <xdr:col>3</xdr:col>
      <xdr:colOff>409575</xdr:colOff>
      <xdr:row>112</xdr:row>
      <xdr:rowOff>9525</xdr:rowOff>
    </xdr:to>
    <xdr:graphicFrame macro="">
      <xdr:nvGraphicFramePr>
        <xdr:cNvPr id="2" name="Gráfico 1">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4306550" y="1485900"/>
    <xdr:ext cx="5276849" cy="2662238"/>
    <xdr:graphicFrame macro="">
      <xdr:nvGraphicFramePr>
        <xdr:cNvPr id="19"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9831050" y="1543050"/>
    <xdr:ext cx="5276849" cy="2662238"/>
    <xdr:graphicFrame macro="">
      <xdr:nvGraphicFramePr>
        <xdr:cNvPr id="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14354175" y="4495800"/>
    <xdr:ext cx="5276849" cy="2662238"/>
    <xdr:graphicFrame macro="">
      <xdr:nvGraphicFramePr>
        <xdr:cNvPr id="2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14478000" y="9429750"/>
    <xdr:ext cx="5276849" cy="2662238"/>
    <xdr:graphicFrame macro="">
      <xdr:nvGraphicFramePr>
        <xdr:cNvPr id="2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14116050" y="15335250"/>
    <xdr:ext cx="5276849" cy="2662238"/>
    <xdr:graphicFrame macro="">
      <xdr:nvGraphicFramePr>
        <xdr:cNvPr id="23"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absoluteAnchor>
    <xdr:pos x="14287500" y="17726025"/>
    <xdr:ext cx="5276849" cy="2662238"/>
    <xdr:graphicFrame macro="">
      <xdr:nvGraphicFramePr>
        <xdr:cNvPr id="24"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absoluteAnchor>
    <xdr:pos x="14116050" y="20564475"/>
    <xdr:ext cx="5276849" cy="2662238"/>
    <xdr:graphicFrame macro="">
      <xdr:nvGraphicFramePr>
        <xdr:cNvPr id="25"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absoluteAnchor>
    <xdr:pos x="14116050" y="23650575"/>
    <xdr:ext cx="5276849" cy="2662238"/>
    <xdr:graphicFrame macro="">
      <xdr:nvGraphicFramePr>
        <xdr:cNvPr id="26"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absoluteAnchor>
    <xdr:pos x="14449425" y="26803350"/>
    <xdr:ext cx="5276849" cy="2662238"/>
    <xdr:graphicFrame macro="">
      <xdr:nvGraphicFramePr>
        <xdr:cNvPr id="2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absoluteAnchor>
  <xdr:absoluteAnchor>
    <xdr:pos x="20259675" y="26774775"/>
    <xdr:ext cx="5276849" cy="2662238"/>
    <xdr:graphicFrame macro="">
      <xdr:nvGraphicFramePr>
        <xdr:cNvPr id="28"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absoluteAnchor>
  <xdr:absoluteAnchor>
    <xdr:pos x="14516100" y="29660850"/>
    <xdr:ext cx="5276849" cy="2662238"/>
    <xdr:graphicFrame macro="">
      <xdr:nvGraphicFramePr>
        <xdr:cNvPr id="29"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absoluteAnchor>
  <xdr:absoluteAnchor>
    <xdr:pos x="20250150" y="29670375"/>
    <xdr:ext cx="5276849" cy="2662238"/>
    <xdr:graphicFrame macro="">
      <xdr:nvGraphicFramePr>
        <xdr:cNvPr id="3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absoluteAnchor>
  <xdr:absoluteAnchor>
    <xdr:pos x="14582775" y="33013650"/>
    <xdr:ext cx="5276849" cy="2662238"/>
    <xdr:graphicFrame macro="">
      <xdr:nvGraphicFramePr>
        <xdr:cNvPr id="3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absoluteAnchor>
  <xdr:absoluteAnchor>
    <xdr:pos x="20469225" y="32889825"/>
    <xdr:ext cx="5276849" cy="2662238"/>
    <xdr:graphicFrame macro="">
      <xdr:nvGraphicFramePr>
        <xdr:cNvPr id="33"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absoluteAnchor>
  <xdr:absoluteAnchor>
    <xdr:pos x="14668500" y="36509325"/>
    <xdr:ext cx="5276849" cy="2662238"/>
    <xdr:graphicFrame macro="">
      <xdr:nvGraphicFramePr>
        <xdr:cNvPr id="35"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absoluteAnchor>
  <xdr:absoluteAnchor>
    <xdr:pos x="15535275" y="39395400"/>
    <xdr:ext cx="7019925" cy="3181350"/>
    <xdr:graphicFrame macro="">
      <xdr:nvGraphicFramePr>
        <xdr:cNvPr id="36"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xdr:col>
      <xdr:colOff>723900</xdr:colOff>
      <xdr:row>0</xdr:row>
      <xdr:rowOff>0</xdr:rowOff>
    </xdr:from>
    <xdr:to>
      <xdr:col>1</xdr:col>
      <xdr:colOff>2114550</xdr:colOff>
      <xdr:row>2</xdr:row>
      <xdr:rowOff>127000</xdr:rowOff>
    </xdr:to>
    <xdr:pic>
      <xdr:nvPicPr>
        <xdr:cNvPr id="4"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381125" y="0"/>
          <a:ext cx="1390650"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6"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3712825" y="5105400"/>
          <a:ext cx="142875"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442232</xdr:colOff>
      <xdr:row>0</xdr:row>
      <xdr:rowOff>0</xdr:rowOff>
    </xdr:from>
    <xdr:to>
      <xdr:col>16</xdr:col>
      <xdr:colOff>215446</xdr:colOff>
      <xdr:row>6</xdr:row>
      <xdr:rowOff>102052</xdr:rowOff>
    </xdr:to>
    <xdr:grpSp>
      <xdr:nvGrpSpPr>
        <xdr:cNvPr id="26" name="Grupo 25"/>
        <xdr:cNvGrpSpPr/>
      </xdr:nvGrpSpPr>
      <xdr:grpSpPr>
        <a:xfrm>
          <a:off x="13977257" y="0"/>
          <a:ext cx="3878489" cy="1226002"/>
          <a:chOff x="19557175" y="4113316"/>
          <a:chExt cx="3649188" cy="1220685"/>
        </a:xfrm>
      </xdr:grpSpPr>
      <xdr:sp macro="" textlink="">
        <xdr:nvSpPr>
          <xdr:cNvPr id="27" name="Rectángulo redondeado 26">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329901</a:t>
            </a:r>
          </a:p>
        </xdr:txBody>
      </xdr:sp>
      <xdr:sp macro="" textlink="">
        <xdr:nvSpPr>
          <xdr:cNvPr id="28" name="Rectángulo redondeado 27">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320801</a:t>
            </a:r>
          </a:p>
        </xdr:txBody>
      </xdr:sp>
      <xdr:sp macro="" textlink="">
        <xdr:nvSpPr>
          <xdr:cNvPr id="29" name="Rectángulo redondeado 28">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320301</a:t>
            </a:r>
          </a:p>
        </xdr:txBody>
      </xdr:sp>
      <xdr:sp macro="" textlink="">
        <xdr:nvSpPr>
          <xdr:cNvPr id="30" name="Rectángulo redondeado 29">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320601</a:t>
            </a:r>
          </a:p>
        </xdr:txBody>
      </xdr:sp>
      <xdr:sp macro="" textlink="">
        <xdr:nvSpPr>
          <xdr:cNvPr id="31" name="Rectángulo redondeado 30">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320503</a:t>
            </a:r>
          </a:p>
        </xdr:txBody>
      </xdr:sp>
      <xdr:sp macro="" textlink="">
        <xdr:nvSpPr>
          <xdr:cNvPr id="32" name="Rectángulo redondeado 31">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320502</a:t>
            </a:r>
          </a:p>
        </xdr:txBody>
      </xdr:sp>
      <xdr:sp macro="" textlink="">
        <xdr:nvSpPr>
          <xdr:cNvPr id="33" name="Rectángulo redondeado 32">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320501</a:t>
            </a:r>
          </a:p>
        </xdr:txBody>
      </xdr:sp>
      <xdr:sp macro="" textlink="">
        <xdr:nvSpPr>
          <xdr:cNvPr id="34" name="Rectángulo redondeado 33">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320401</a:t>
            </a:r>
          </a:p>
        </xdr:txBody>
      </xdr:sp>
      <xdr:sp macro="" textlink="">
        <xdr:nvSpPr>
          <xdr:cNvPr id="35" name="Rectángulo redondeado 34">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320201</a:t>
            </a:r>
          </a:p>
        </xdr:txBody>
      </xdr:sp>
      <xdr:sp macro="" textlink="">
        <xdr:nvSpPr>
          <xdr:cNvPr id="36" name="Rectángulo redondeado 35">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320302</a:t>
            </a:r>
          </a:p>
        </xdr:txBody>
      </xdr:sp>
      <xdr:sp macro="" textlink="">
        <xdr:nvSpPr>
          <xdr:cNvPr id="37" name="Rectángulo redondeado 36">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320202</a:t>
            </a:r>
          </a:p>
        </xdr:txBody>
      </xdr:sp>
      <xdr:sp macro="" textlink="">
        <xdr:nvSpPr>
          <xdr:cNvPr id="38" name="Rectángulo redondeado 37">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320203</a:t>
            </a:r>
          </a:p>
        </xdr:txBody>
      </xdr:sp>
      <xdr:sp macro="" textlink="">
        <xdr:nvSpPr>
          <xdr:cNvPr id="39" name="Rectángulo redondeado 38">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320101</a:t>
            </a:r>
          </a:p>
        </xdr:txBody>
      </xdr:sp>
      <xdr:sp macro="" textlink="">
        <xdr:nvSpPr>
          <xdr:cNvPr id="40" name="Rectángulo redondeado 39">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320102</a:t>
            </a:r>
          </a:p>
        </xdr:txBody>
      </xdr:sp>
      <xdr:sp macro="" textlink="">
        <xdr:nvSpPr>
          <xdr:cNvPr id="41" name="Rectángulo redondeado 40">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320103</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4"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6325850" y="4581525"/>
          <a:ext cx="1428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6</xdr:row>
      <xdr:rowOff>39158</xdr:rowOff>
    </xdr:to>
    <xdr:pic>
      <xdr:nvPicPr>
        <xdr:cNvPr id="5"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7620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0</xdr:row>
      <xdr:rowOff>0</xdr:rowOff>
    </xdr:from>
    <xdr:to>
      <xdr:col>2</xdr:col>
      <xdr:colOff>2009775</xdr:colOff>
      <xdr:row>3</xdr:row>
      <xdr:rowOff>0</xdr:rowOff>
    </xdr:to>
    <xdr:pic>
      <xdr:nvPicPr>
        <xdr:cNvPr id="6"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13</xdr:col>
      <xdr:colOff>859027</xdr:colOff>
      <xdr:row>5</xdr:row>
      <xdr:rowOff>98844</xdr:rowOff>
    </xdr:to>
    <xdr:grpSp>
      <xdr:nvGrpSpPr>
        <xdr:cNvPr id="23" name="Grupo 22"/>
        <xdr:cNvGrpSpPr/>
      </xdr:nvGrpSpPr>
      <xdr:grpSpPr>
        <a:xfrm>
          <a:off x="12630150" y="0"/>
          <a:ext cx="2868802" cy="917994"/>
          <a:chOff x="19557175" y="4113316"/>
          <a:chExt cx="3649188" cy="1220685"/>
        </a:xfrm>
      </xdr:grpSpPr>
      <xdr:sp macro="" textlink="">
        <xdr:nvSpPr>
          <xdr:cNvPr id="24" name="Rectángulo redondeado 23">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329901</a:t>
            </a:r>
          </a:p>
        </xdr:txBody>
      </xdr:sp>
      <xdr:sp macro="" textlink="">
        <xdr:nvSpPr>
          <xdr:cNvPr id="25" name="Rectángulo redondeado 24">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320801</a:t>
            </a:r>
          </a:p>
        </xdr:txBody>
      </xdr:sp>
      <xdr:sp macro="" textlink="">
        <xdr:nvSpPr>
          <xdr:cNvPr id="26" name="Rectángulo redondeado 25">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320301</a:t>
            </a:r>
          </a:p>
        </xdr:txBody>
      </xdr:sp>
      <xdr:sp macro="" textlink="">
        <xdr:nvSpPr>
          <xdr:cNvPr id="27" name="Rectángulo redondeado 26">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320601</a:t>
            </a:r>
          </a:p>
        </xdr:txBody>
      </xdr:sp>
      <xdr:sp macro="" textlink="">
        <xdr:nvSpPr>
          <xdr:cNvPr id="28" name="Rectángulo redondeado 27">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320503</a:t>
            </a:r>
          </a:p>
        </xdr:txBody>
      </xdr:sp>
      <xdr:sp macro="" textlink="">
        <xdr:nvSpPr>
          <xdr:cNvPr id="29" name="Rectángulo redondeado 28">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320502</a:t>
            </a:r>
          </a:p>
        </xdr:txBody>
      </xdr:sp>
      <xdr:sp macro="" textlink="">
        <xdr:nvSpPr>
          <xdr:cNvPr id="30" name="Rectángulo redondeado 29">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320501</a:t>
            </a:r>
          </a:p>
        </xdr:txBody>
      </xdr:sp>
      <xdr:sp macro="" textlink="">
        <xdr:nvSpPr>
          <xdr:cNvPr id="31" name="Rectángulo redondeado 30">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320401</a:t>
            </a:r>
          </a:p>
        </xdr:txBody>
      </xdr:sp>
      <xdr:sp macro="" textlink="">
        <xdr:nvSpPr>
          <xdr:cNvPr id="32" name="Rectángulo redondeado 31">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320201</a:t>
            </a:r>
          </a:p>
        </xdr:txBody>
      </xdr:sp>
      <xdr:sp macro="" textlink="">
        <xdr:nvSpPr>
          <xdr:cNvPr id="35" name="Rectángulo redondeado 34">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320302</a:t>
            </a:r>
          </a:p>
        </xdr:txBody>
      </xdr:sp>
      <xdr:sp macro="" textlink="">
        <xdr:nvSpPr>
          <xdr:cNvPr id="36" name="Rectángulo redondeado 35">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320202</a:t>
            </a:r>
          </a:p>
        </xdr:txBody>
      </xdr:sp>
      <xdr:sp macro="" textlink="">
        <xdr:nvSpPr>
          <xdr:cNvPr id="37" name="Rectángulo redondeado 36">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320203</a:t>
            </a:r>
          </a:p>
        </xdr:txBody>
      </xdr:sp>
      <xdr:sp macro="" textlink="">
        <xdr:nvSpPr>
          <xdr:cNvPr id="38" name="Rectángulo redondeado 37">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320101</a:t>
            </a:r>
          </a:p>
        </xdr:txBody>
      </xdr:sp>
      <xdr:sp macro="" textlink="">
        <xdr:nvSpPr>
          <xdr:cNvPr id="39" name="Rectángulo redondeado 38">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320102</a:t>
            </a:r>
          </a:p>
        </xdr:txBody>
      </xdr:sp>
      <xdr:sp macro="" textlink="">
        <xdr:nvSpPr>
          <xdr:cNvPr id="40" name="Rectángulo redondeado 39">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320103</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3" name="Imagen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2239625" y="0"/>
          <a:ext cx="142875" cy="583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6"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128587</xdr:colOff>
      <xdr:row>0</xdr:row>
      <xdr:rowOff>33337</xdr:rowOff>
    </xdr:from>
    <xdr:to>
      <xdr:col>24</xdr:col>
      <xdr:colOff>549970</xdr:colOff>
      <xdr:row>7</xdr:row>
      <xdr:rowOff>138365</xdr:rowOff>
    </xdr:to>
    <xdr:grpSp>
      <xdr:nvGrpSpPr>
        <xdr:cNvPr id="7" name="Grupo 6"/>
        <xdr:cNvGrpSpPr/>
      </xdr:nvGrpSpPr>
      <xdr:grpSpPr>
        <a:xfrm>
          <a:off x="18589769" y="33337"/>
          <a:ext cx="5270474" cy="1369255"/>
          <a:chOff x="19557175" y="4113316"/>
          <a:chExt cx="3649188" cy="1220685"/>
        </a:xfrm>
      </xdr:grpSpPr>
      <xdr:sp macro="" textlink="">
        <xdr:nvSpPr>
          <xdr:cNvPr id="8" name="Rectángulo redondeado 7">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329901</a:t>
            </a:r>
          </a:p>
        </xdr:txBody>
      </xdr:sp>
      <xdr:sp macro="" textlink="">
        <xdr:nvSpPr>
          <xdr:cNvPr id="9" name="Rectángulo redondeado 8">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320801</a:t>
            </a:r>
          </a:p>
        </xdr:txBody>
      </xdr:sp>
      <xdr:sp macro="" textlink="">
        <xdr:nvSpPr>
          <xdr:cNvPr id="10" name="Rectángulo redondeado 9">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320301</a:t>
            </a:r>
          </a:p>
        </xdr:txBody>
      </xdr:sp>
      <xdr:sp macro="" textlink="">
        <xdr:nvSpPr>
          <xdr:cNvPr id="11" name="Rectángulo redondeado 10">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320601</a:t>
            </a:r>
          </a:p>
        </xdr:txBody>
      </xdr:sp>
      <xdr:sp macro="" textlink="">
        <xdr:nvSpPr>
          <xdr:cNvPr id="12" name="Rectángulo redondeado 11">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320503</a:t>
            </a:r>
          </a:p>
        </xdr:txBody>
      </xdr:sp>
      <xdr:sp macro="" textlink="">
        <xdr:nvSpPr>
          <xdr:cNvPr id="13" name="Rectángulo redondeado 12">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320502</a:t>
            </a:r>
          </a:p>
        </xdr:txBody>
      </xdr:sp>
      <xdr:sp macro="" textlink="">
        <xdr:nvSpPr>
          <xdr:cNvPr id="14" name="Rectángulo redondeado 13">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320501</a:t>
            </a:r>
          </a:p>
        </xdr:txBody>
      </xdr:sp>
      <xdr:sp macro="" textlink="">
        <xdr:nvSpPr>
          <xdr:cNvPr id="15" name="Rectángulo redondeado 14">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320401</a:t>
            </a:r>
          </a:p>
        </xdr:txBody>
      </xdr:sp>
      <xdr:sp macro="" textlink="">
        <xdr:nvSpPr>
          <xdr:cNvPr id="16" name="Rectángulo redondeado 15">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320201</a:t>
            </a:r>
          </a:p>
        </xdr:txBody>
      </xdr:sp>
      <xdr:sp macro="" textlink="">
        <xdr:nvSpPr>
          <xdr:cNvPr id="17" name="Rectángulo redondeado 16">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320302</a:t>
            </a:r>
          </a:p>
        </xdr:txBody>
      </xdr:sp>
      <xdr:sp macro="" textlink="">
        <xdr:nvSpPr>
          <xdr:cNvPr id="18" name="Rectángulo redondeado 17">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320202</a:t>
            </a:r>
          </a:p>
        </xdr:txBody>
      </xdr:sp>
      <xdr:sp macro="" textlink="">
        <xdr:nvSpPr>
          <xdr:cNvPr id="19" name="Rectángulo redondeado 18">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320203</a:t>
            </a:r>
          </a:p>
        </xdr:txBody>
      </xdr:sp>
      <xdr:sp macro="" textlink="">
        <xdr:nvSpPr>
          <xdr:cNvPr id="20" name="Rectángulo redondeado 19">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320101</a:t>
            </a:r>
          </a:p>
        </xdr:txBody>
      </xdr:sp>
      <xdr:sp macro="" textlink="">
        <xdr:nvSpPr>
          <xdr:cNvPr id="21" name="Rectángulo redondeado 20">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320102</a:t>
            </a:r>
          </a:p>
        </xdr:txBody>
      </xdr:sp>
      <xdr:sp macro="" textlink="">
        <xdr:nvSpPr>
          <xdr:cNvPr id="22" name="Rectángulo redondeado 21">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320103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142875</xdr:colOff>
      <xdr:row>0</xdr:row>
      <xdr:rowOff>0</xdr:rowOff>
    </xdr:from>
    <xdr:to>
      <xdr:col>1</xdr:col>
      <xdr:colOff>1533525</xdr:colOff>
      <xdr:row>3</xdr:row>
      <xdr:rowOff>0</xdr:rowOff>
    </xdr:to>
    <xdr:pic>
      <xdr:nvPicPr>
        <xdr:cNvPr id="6" name="Imagen 5"/>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745191" y="0"/>
          <a:ext cx="1390650" cy="588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619125</xdr:colOff>
      <xdr:row>0</xdr:row>
      <xdr:rowOff>0</xdr:rowOff>
    </xdr:from>
    <xdr:to>
      <xdr:col>0</xdr:col>
      <xdr:colOff>2009775</xdr:colOff>
      <xdr:row>3</xdr:row>
      <xdr:rowOff>0</xdr:rowOff>
    </xdr:to>
    <xdr:pic>
      <xdr:nvPicPr>
        <xdr:cNvPr id="7" name="Imagen 6"/>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1432801" y="0"/>
          <a:ext cx="142875" cy="588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7"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1382375" y="0"/>
          <a:ext cx="1095375" cy="583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20</xdr:col>
      <xdr:colOff>744904</xdr:colOff>
      <xdr:row>5</xdr:row>
      <xdr:rowOff>188912</xdr:rowOff>
    </xdr:to>
    <xdr:grpSp>
      <xdr:nvGrpSpPr>
        <xdr:cNvPr id="9" name="Grupo 8"/>
        <xdr:cNvGrpSpPr/>
      </xdr:nvGrpSpPr>
      <xdr:grpSpPr>
        <a:xfrm>
          <a:off x="21580078" y="0"/>
          <a:ext cx="2783849" cy="1022350"/>
          <a:chOff x="19557175" y="4113316"/>
          <a:chExt cx="3649188" cy="1220685"/>
        </a:xfrm>
      </xdr:grpSpPr>
      <xdr:sp macro="" textlink="">
        <xdr:nvSpPr>
          <xdr:cNvPr id="10" name="Rectángulo redondeado 9">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329901</a:t>
            </a:r>
          </a:p>
        </xdr:txBody>
      </xdr:sp>
      <xdr:sp macro="" textlink="">
        <xdr:nvSpPr>
          <xdr:cNvPr id="11" name="Rectángulo redondeado 10">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320801</a:t>
            </a:r>
          </a:p>
        </xdr:txBody>
      </xdr:sp>
      <xdr:sp macro="" textlink="">
        <xdr:nvSpPr>
          <xdr:cNvPr id="12" name="Rectángulo redondeado 11">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320301</a:t>
            </a:r>
          </a:p>
        </xdr:txBody>
      </xdr:sp>
      <xdr:sp macro="" textlink="">
        <xdr:nvSpPr>
          <xdr:cNvPr id="13" name="Rectángulo redondeado 12">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320601</a:t>
            </a:r>
          </a:p>
        </xdr:txBody>
      </xdr:sp>
      <xdr:sp macro="" textlink="">
        <xdr:nvSpPr>
          <xdr:cNvPr id="14" name="Rectángulo redondeado 13">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320503</a:t>
            </a:r>
          </a:p>
        </xdr:txBody>
      </xdr:sp>
      <xdr:sp macro="" textlink="">
        <xdr:nvSpPr>
          <xdr:cNvPr id="15" name="Rectángulo redondeado 14">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320502</a:t>
            </a:r>
          </a:p>
        </xdr:txBody>
      </xdr:sp>
      <xdr:sp macro="" textlink="">
        <xdr:nvSpPr>
          <xdr:cNvPr id="16" name="Rectángulo redondeado 15">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320501</a:t>
            </a:r>
          </a:p>
        </xdr:txBody>
      </xdr:sp>
      <xdr:sp macro="" textlink="">
        <xdr:nvSpPr>
          <xdr:cNvPr id="17" name="Rectángulo redondeado 16">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320401</a:t>
            </a:r>
          </a:p>
        </xdr:txBody>
      </xdr:sp>
      <xdr:sp macro="" textlink="">
        <xdr:nvSpPr>
          <xdr:cNvPr id="18" name="Rectángulo redondeado 17">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320201</a:t>
            </a:r>
          </a:p>
        </xdr:txBody>
      </xdr:sp>
      <xdr:sp macro="" textlink="">
        <xdr:nvSpPr>
          <xdr:cNvPr id="19" name="Rectángulo redondeado 18">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320302</a:t>
            </a:r>
          </a:p>
        </xdr:txBody>
      </xdr:sp>
      <xdr:sp macro="" textlink="">
        <xdr:nvSpPr>
          <xdr:cNvPr id="20" name="Rectángulo redondeado 19">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320202</a:t>
            </a:r>
          </a:p>
        </xdr:txBody>
      </xdr:sp>
      <xdr:sp macro="" textlink="">
        <xdr:nvSpPr>
          <xdr:cNvPr id="21" name="Rectángulo redondeado 20">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320203</a:t>
            </a:r>
          </a:p>
        </xdr:txBody>
      </xdr:sp>
      <xdr:sp macro="" textlink="">
        <xdr:nvSpPr>
          <xdr:cNvPr id="22" name="Rectángulo redondeado 21">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320101</a:t>
            </a:r>
          </a:p>
        </xdr:txBody>
      </xdr:sp>
      <xdr:sp macro="" textlink="">
        <xdr:nvSpPr>
          <xdr:cNvPr id="23" name="Rectángulo redondeado 22">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320102</a:t>
            </a:r>
          </a:p>
        </xdr:txBody>
      </xdr:sp>
      <xdr:sp macro="" textlink="">
        <xdr:nvSpPr>
          <xdr:cNvPr id="24" name="Rectángulo redondeado 23">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320103</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3" name="Imagen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0868025" y="771525"/>
          <a:ext cx="1428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5"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1431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209550</xdr:colOff>
      <xdr:row>0</xdr:row>
      <xdr:rowOff>0</xdr:rowOff>
    </xdr:from>
    <xdr:to>
      <xdr:col>22</xdr:col>
      <xdr:colOff>589249</xdr:colOff>
      <xdr:row>8</xdr:row>
      <xdr:rowOff>72159</xdr:rowOff>
    </xdr:to>
    <xdr:grpSp>
      <xdr:nvGrpSpPr>
        <xdr:cNvPr id="6" name="Grupo 5"/>
        <xdr:cNvGrpSpPr/>
      </xdr:nvGrpSpPr>
      <xdr:grpSpPr>
        <a:xfrm>
          <a:off x="17771269" y="0"/>
          <a:ext cx="4621300" cy="1530675"/>
          <a:chOff x="19557175" y="4113316"/>
          <a:chExt cx="3649188" cy="1220685"/>
        </a:xfrm>
      </xdr:grpSpPr>
      <xdr:sp macro="" textlink="">
        <xdr:nvSpPr>
          <xdr:cNvPr id="7" name="Rectángulo redondeado 6">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329901</a:t>
            </a:r>
          </a:p>
        </xdr:txBody>
      </xdr:sp>
      <xdr:sp macro="" textlink="">
        <xdr:nvSpPr>
          <xdr:cNvPr id="8" name="Rectángulo redondeado 7">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320801</a:t>
            </a:r>
          </a:p>
        </xdr:txBody>
      </xdr:sp>
      <xdr:sp macro="" textlink="">
        <xdr:nvSpPr>
          <xdr:cNvPr id="9" name="Rectángulo redondeado 8">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320301</a:t>
            </a:r>
          </a:p>
        </xdr:txBody>
      </xdr:sp>
      <xdr:sp macro="" textlink="">
        <xdr:nvSpPr>
          <xdr:cNvPr id="10" name="Rectángulo redondeado 9">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320601</a:t>
            </a:r>
          </a:p>
        </xdr:txBody>
      </xdr:sp>
      <xdr:sp macro="" textlink="">
        <xdr:nvSpPr>
          <xdr:cNvPr id="11" name="Rectángulo redondeado 10">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320503</a:t>
            </a:r>
          </a:p>
        </xdr:txBody>
      </xdr:sp>
      <xdr:sp macro="" textlink="">
        <xdr:nvSpPr>
          <xdr:cNvPr id="12" name="Rectángulo redondeado 11">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320502</a:t>
            </a:r>
          </a:p>
        </xdr:txBody>
      </xdr:sp>
      <xdr:sp macro="" textlink="">
        <xdr:nvSpPr>
          <xdr:cNvPr id="13" name="Rectángulo redondeado 12">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320501</a:t>
            </a:r>
          </a:p>
        </xdr:txBody>
      </xdr:sp>
      <xdr:sp macro="" textlink="">
        <xdr:nvSpPr>
          <xdr:cNvPr id="14" name="Rectángulo redondeado 13">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320401</a:t>
            </a:r>
          </a:p>
        </xdr:txBody>
      </xdr:sp>
      <xdr:sp macro="" textlink="">
        <xdr:nvSpPr>
          <xdr:cNvPr id="15" name="Rectángulo redondeado 14">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320201</a:t>
            </a:r>
          </a:p>
        </xdr:txBody>
      </xdr:sp>
      <xdr:sp macro="" textlink="">
        <xdr:nvSpPr>
          <xdr:cNvPr id="16" name="Rectángulo redondeado 15">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320302</a:t>
            </a:r>
          </a:p>
        </xdr:txBody>
      </xdr:sp>
      <xdr:sp macro="" textlink="">
        <xdr:nvSpPr>
          <xdr:cNvPr id="17" name="Rectángulo redondeado 16">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320202</a:t>
            </a:r>
          </a:p>
        </xdr:txBody>
      </xdr:sp>
      <xdr:sp macro="" textlink="">
        <xdr:nvSpPr>
          <xdr:cNvPr id="18" name="Rectángulo redondeado 17">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320203</a:t>
            </a:r>
          </a:p>
        </xdr:txBody>
      </xdr:sp>
      <xdr:sp macro="" textlink="">
        <xdr:nvSpPr>
          <xdr:cNvPr id="19" name="Rectángulo redondeado 18">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320101</a:t>
            </a:r>
          </a:p>
        </xdr:txBody>
      </xdr:sp>
      <xdr:sp macro="" textlink="">
        <xdr:nvSpPr>
          <xdr:cNvPr id="20" name="Rectángulo redondeado 19">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320102</a:t>
            </a:r>
          </a:p>
        </xdr:txBody>
      </xdr:sp>
      <xdr:sp macro="" textlink="">
        <xdr:nvSpPr>
          <xdr:cNvPr id="21" name="Rectángulo redondeado 20">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320103</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6" name="Imagen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0696575" y="0"/>
          <a:ext cx="1428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5"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1431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0</xdr:row>
      <xdr:rowOff>0</xdr:rowOff>
    </xdr:from>
    <xdr:to>
      <xdr:col>17</xdr:col>
      <xdr:colOff>676919</xdr:colOff>
      <xdr:row>5</xdr:row>
      <xdr:rowOff>57149</xdr:rowOff>
    </xdr:to>
    <xdr:grpSp>
      <xdr:nvGrpSpPr>
        <xdr:cNvPr id="6" name="Grupo 5"/>
        <xdr:cNvGrpSpPr/>
      </xdr:nvGrpSpPr>
      <xdr:grpSpPr>
        <a:xfrm>
          <a:off x="16287750" y="0"/>
          <a:ext cx="2515244" cy="1000124"/>
          <a:chOff x="19557175" y="4113316"/>
          <a:chExt cx="3649188" cy="1220685"/>
        </a:xfrm>
      </xdr:grpSpPr>
      <xdr:sp macro="" textlink="">
        <xdr:nvSpPr>
          <xdr:cNvPr id="7" name="Rectángulo redondeado 6">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329901</a:t>
            </a:r>
          </a:p>
        </xdr:txBody>
      </xdr:sp>
      <xdr:sp macro="" textlink="">
        <xdr:nvSpPr>
          <xdr:cNvPr id="8" name="Rectángulo redondeado 7">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320801</a:t>
            </a:r>
          </a:p>
        </xdr:txBody>
      </xdr:sp>
      <xdr:sp macro="" textlink="">
        <xdr:nvSpPr>
          <xdr:cNvPr id="9" name="Rectángulo redondeado 8">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320301</a:t>
            </a:r>
          </a:p>
        </xdr:txBody>
      </xdr:sp>
      <xdr:sp macro="" textlink="">
        <xdr:nvSpPr>
          <xdr:cNvPr id="10" name="Rectángulo redondeado 9">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320601</a:t>
            </a:r>
          </a:p>
        </xdr:txBody>
      </xdr:sp>
      <xdr:sp macro="" textlink="">
        <xdr:nvSpPr>
          <xdr:cNvPr id="11" name="Rectángulo redondeado 10">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320503</a:t>
            </a:r>
          </a:p>
        </xdr:txBody>
      </xdr:sp>
      <xdr:sp macro="" textlink="">
        <xdr:nvSpPr>
          <xdr:cNvPr id="12" name="Rectángulo redondeado 11">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320502</a:t>
            </a:r>
          </a:p>
        </xdr:txBody>
      </xdr:sp>
      <xdr:sp macro="" textlink="">
        <xdr:nvSpPr>
          <xdr:cNvPr id="13" name="Rectángulo redondeado 12">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320501</a:t>
            </a:r>
          </a:p>
        </xdr:txBody>
      </xdr:sp>
      <xdr:sp macro="" textlink="">
        <xdr:nvSpPr>
          <xdr:cNvPr id="14" name="Rectángulo redondeado 13">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320401</a:t>
            </a:r>
          </a:p>
        </xdr:txBody>
      </xdr:sp>
      <xdr:sp macro="" textlink="">
        <xdr:nvSpPr>
          <xdr:cNvPr id="15" name="Rectángulo redondeado 14">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320201</a:t>
            </a:r>
          </a:p>
        </xdr:txBody>
      </xdr:sp>
      <xdr:sp macro="" textlink="">
        <xdr:nvSpPr>
          <xdr:cNvPr id="16" name="Rectángulo redondeado 15">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320302</a:t>
            </a:r>
          </a:p>
        </xdr:txBody>
      </xdr:sp>
      <xdr:sp macro="" textlink="">
        <xdr:nvSpPr>
          <xdr:cNvPr id="17" name="Rectángulo redondeado 16">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320202</a:t>
            </a:r>
          </a:p>
        </xdr:txBody>
      </xdr:sp>
      <xdr:sp macro="" textlink="">
        <xdr:nvSpPr>
          <xdr:cNvPr id="18" name="Rectángulo redondeado 17">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320203</a:t>
            </a:r>
          </a:p>
        </xdr:txBody>
      </xdr:sp>
      <xdr:sp macro="" textlink="">
        <xdr:nvSpPr>
          <xdr:cNvPr id="19" name="Rectángulo redondeado 18">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320101</a:t>
            </a:r>
          </a:p>
        </xdr:txBody>
      </xdr:sp>
      <xdr:sp macro="" textlink="">
        <xdr:nvSpPr>
          <xdr:cNvPr id="20" name="Rectángulo redondeado 19">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320102</a:t>
            </a:r>
          </a:p>
        </xdr:txBody>
      </xdr:sp>
      <xdr:sp macro="" textlink="">
        <xdr:nvSpPr>
          <xdr:cNvPr id="21" name="Rectángulo redondeado 20">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320103</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143125" y="0"/>
          <a:ext cx="13906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6"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5918656" y="0"/>
          <a:ext cx="400050" cy="89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242308</xdr:colOff>
      <xdr:row>0</xdr:row>
      <xdr:rowOff>23867</xdr:rowOff>
    </xdr:from>
    <xdr:to>
      <xdr:col>20</xdr:col>
      <xdr:colOff>986733</xdr:colOff>
      <xdr:row>5</xdr:row>
      <xdr:rowOff>46017</xdr:rowOff>
    </xdr:to>
    <xdr:grpSp>
      <xdr:nvGrpSpPr>
        <xdr:cNvPr id="7" name="Grupo 6"/>
        <xdr:cNvGrpSpPr/>
      </xdr:nvGrpSpPr>
      <xdr:grpSpPr>
        <a:xfrm>
          <a:off x="18292183" y="23867"/>
          <a:ext cx="3182825" cy="1393750"/>
          <a:chOff x="19557175" y="4113316"/>
          <a:chExt cx="3649188" cy="1220685"/>
        </a:xfrm>
      </xdr:grpSpPr>
      <xdr:sp macro="" textlink="">
        <xdr:nvSpPr>
          <xdr:cNvPr id="8" name="Rectángulo redondeado 7">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329901</a:t>
            </a:r>
          </a:p>
        </xdr:txBody>
      </xdr:sp>
      <xdr:sp macro="" textlink="">
        <xdr:nvSpPr>
          <xdr:cNvPr id="9" name="Rectángulo redondeado 8">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320801</a:t>
            </a:r>
          </a:p>
        </xdr:txBody>
      </xdr:sp>
      <xdr:sp macro="" textlink="">
        <xdr:nvSpPr>
          <xdr:cNvPr id="10" name="Rectángulo redondeado 9">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320301</a:t>
            </a:r>
          </a:p>
        </xdr:txBody>
      </xdr:sp>
      <xdr:sp macro="" textlink="">
        <xdr:nvSpPr>
          <xdr:cNvPr id="11" name="Rectángulo redondeado 10">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320601</a:t>
            </a:r>
          </a:p>
        </xdr:txBody>
      </xdr:sp>
      <xdr:sp macro="" textlink="">
        <xdr:nvSpPr>
          <xdr:cNvPr id="12" name="Rectángulo redondeado 11">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320503</a:t>
            </a:r>
          </a:p>
        </xdr:txBody>
      </xdr:sp>
      <xdr:sp macro="" textlink="">
        <xdr:nvSpPr>
          <xdr:cNvPr id="13" name="Rectángulo redondeado 12">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320502</a:t>
            </a:r>
          </a:p>
        </xdr:txBody>
      </xdr:sp>
      <xdr:sp macro="" textlink="">
        <xdr:nvSpPr>
          <xdr:cNvPr id="14" name="Rectángulo redondeado 13">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320501</a:t>
            </a:r>
          </a:p>
        </xdr:txBody>
      </xdr:sp>
      <xdr:sp macro="" textlink="">
        <xdr:nvSpPr>
          <xdr:cNvPr id="15" name="Rectángulo redondeado 14">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320401</a:t>
            </a:r>
          </a:p>
        </xdr:txBody>
      </xdr:sp>
      <xdr:sp macro="" textlink="">
        <xdr:nvSpPr>
          <xdr:cNvPr id="16" name="Rectángulo redondeado 15">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320201</a:t>
            </a:r>
          </a:p>
        </xdr:txBody>
      </xdr:sp>
      <xdr:sp macro="" textlink="">
        <xdr:nvSpPr>
          <xdr:cNvPr id="17" name="Rectángulo redondeado 16">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320302</a:t>
            </a:r>
          </a:p>
        </xdr:txBody>
      </xdr:sp>
      <xdr:sp macro="" textlink="">
        <xdr:nvSpPr>
          <xdr:cNvPr id="18" name="Rectángulo redondeado 17">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320202</a:t>
            </a:r>
          </a:p>
        </xdr:txBody>
      </xdr:sp>
      <xdr:sp macro="" textlink="">
        <xdr:nvSpPr>
          <xdr:cNvPr id="19" name="Rectángulo redondeado 18">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320203</a:t>
            </a:r>
          </a:p>
        </xdr:txBody>
      </xdr:sp>
      <xdr:sp macro="" textlink="">
        <xdr:nvSpPr>
          <xdr:cNvPr id="20" name="Rectángulo redondeado 19">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320101</a:t>
            </a:r>
          </a:p>
        </xdr:txBody>
      </xdr:sp>
      <xdr:sp macro="" textlink="">
        <xdr:nvSpPr>
          <xdr:cNvPr id="21" name="Rectángulo redondeado 20">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320102</a:t>
            </a:r>
          </a:p>
        </xdr:txBody>
      </xdr:sp>
      <xdr:sp macro="" textlink="">
        <xdr:nvSpPr>
          <xdr:cNvPr id="22" name="Rectángulo redondeado 21">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320103</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9145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6"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143125" y="0"/>
          <a:ext cx="13906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245680</xdr:colOff>
      <xdr:row>0</xdr:row>
      <xdr:rowOff>0</xdr:rowOff>
    </xdr:from>
    <xdr:to>
      <xdr:col>20</xdr:col>
      <xdr:colOff>631031</xdr:colOff>
      <xdr:row>8</xdr:row>
      <xdr:rowOff>133944</xdr:rowOff>
    </xdr:to>
    <xdr:grpSp>
      <xdr:nvGrpSpPr>
        <xdr:cNvPr id="8" name="Grupo 7"/>
        <xdr:cNvGrpSpPr/>
      </xdr:nvGrpSpPr>
      <xdr:grpSpPr>
        <a:xfrm>
          <a:off x="16467044" y="0"/>
          <a:ext cx="2680010" cy="1764739"/>
          <a:chOff x="19557175" y="4113316"/>
          <a:chExt cx="3649188" cy="1220685"/>
        </a:xfrm>
      </xdr:grpSpPr>
      <xdr:sp macro="" textlink="">
        <xdr:nvSpPr>
          <xdr:cNvPr id="9" name="Rectángulo redondeado 8">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329901</a:t>
            </a:r>
          </a:p>
        </xdr:txBody>
      </xdr:sp>
      <xdr:sp macro="" textlink="">
        <xdr:nvSpPr>
          <xdr:cNvPr id="10" name="Rectángulo redondeado 9">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320801</a:t>
            </a:r>
          </a:p>
        </xdr:txBody>
      </xdr:sp>
      <xdr:sp macro="" textlink="">
        <xdr:nvSpPr>
          <xdr:cNvPr id="11" name="Rectángulo redondeado 10">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320301</a:t>
            </a:r>
          </a:p>
        </xdr:txBody>
      </xdr:sp>
      <xdr:sp macro="" textlink="">
        <xdr:nvSpPr>
          <xdr:cNvPr id="12" name="Rectángulo redondeado 11">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320601</a:t>
            </a:r>
          </a:p>
        </xdr:txBody>
      </xdr:sp>
      <xdr:sp macro="" textlink="">
        <xdr:nvSpPr>
          <xdr:cNvPr id="13" name="Rectángulo redondeado 12">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320503</a:t>
            </a:r>
          </a:p>
        </xdr:txBody>
      </xdr:sp>
      <xdr:sp macro="" textlink="">
        <xdr:nvSpPr>
          <xdr:cNvPr id="14" name="Rectángulo redondeado 13">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320502</a:t>
            </a:r>
          </a:p>
        </xdr:txBody>
      </xdr:sp>
      <xdr:sp macro="" textlink="">
        <xdr:nvSpPr>
          <xdr:cNvPr id="15" name="Rectángulo redondeado 14">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320501</a:t>
            </a:r>
          </a:p>
        </xdr:txBody>
      </xdr:sp>
      <xdr:sp macro="" textlink="">
        <xdr:nvSpPr>
          <xdr:cNvPr id="16" name="Rectángulo redondeado 15">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320401</a:t>
            </a:r>
          </a:p>
        </xdr:txBody>
      </xdr:sp>
      <xdr:sp macro="" textlink="">
        <xdr:nvSpPr>
          <xdr:cNvPr id="17" name="Rectángulo redondeado 16">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320201</a:t>
            </a:r>
          </a:p>
        </xdr:txBody>
      </xdr:sp>
      <xdr:sp macro="" textlink="">
        <xdr:nvSpPr>
          <xdr:cNvPr id="18" name="Rectángulo redondeado 17">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320302</a:t>
            </a:r>
          </a:p>
        </xdr:txBody>
      </xdr:sp>
      <xdr:sp macro="" textlink="">
        <xdr:nvSpPr>
          <xdr:cNvPr id="19" name="Rectángulo redondeado 18">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320202</a:t>
            </a:r>
          </a:p>
        </xdr:txBody>
      </xdr:sp>
      <xdr:sp macro="" textlink="">
        <xdr:nvSpPr>
          <xdr:cNvPr id="20" name="Rectángulo redondeado 19">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320203</a:t>
            </a:r>
          </a:p>
        </xdr:txBody>
      </xdr:sp>
      <xdr:sp macro="" textlink="">
        <xdr:nvSpPr>
          <xdr:cNvPr id="21" name="Rectángulo redondeado 20">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320101</a:t>
            </a:r>
          </a:p>
        </xdr:txBody>
      </xdr:sp>
      <xdr:sp macro="" textlink="">
        <xdr:nvSpPr>
          <xdr:cNvPr id="22" name="Rectángulo redondeado 21">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320102</a:t>
            </a:r>
          </a:p>
        </xdr:txBody>
      </xdr:sp>
      <xdr:sp macro="" textlink="">
        <xdr:nvSpPr>
          <xdr:cNvPr id="23" name="Rectángulo redondeado 22">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320103</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5"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9145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64213</xdr:colOff>
      <xdr:row>0</xdr:row>
      <xdr:rowOff>21405</xdr:rowOff>
    </xdr:from>
    <xdr:to>
      <xdr:col>18</xdr:col>
      <xdr:colOff>283289</xdr:colOff>
      <xdr:row>5</xdr:row>
      <xdr:rowOff>154398</xdr:rowOff>
    </xdr:to>
    <xdr:grpSp>
      <xdr:nvGrpSpPr>
        <xdr:cNvPr id="6" name="Grupo 5"/>
        <xdr:cNvGrpSpPr/>
      </xdr:nvGrpSpPr>
      <xdr:grpSpPr>
        <a:xfrm>
          <a:off x="13815247" y="21405"/>
          <a:ext cx="2791921" cy="1008855"/>
          <a:chOff x="19557175" y="4113316"/>
          <a:chExt cx="3649188" cy="1220685"/>
        </a:xfrm>
      </xdr:grpSpPr>
      <xdr:sp macro="" textlink="">
        <xdr:nvSpPr>
          <xdr:cNvPr id="7" name="Rectángulo redondeado 6">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329901</a:t>
            </a:r>
          </a:p>
        </xdr:txBody>
      </xdr:sp>
      <xdr:sp macro="" textlink="">
        <xdr:nvSpPr>
          <xdr:cNvPr id="8" name="Rectángulo redondeado 7">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320801</a:t>
            </a:r>
          </a:p>
        </xdr:txBody>
      </xdr:sp>
      <xdr:sp macro="" textlink="">
        <xdr:nvSpPr>
          <xdr:cNvPr id="9" name="Rectángulo redondeado 8">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320301</a:t>
            </a:r>
          </a:p>
        </xdr:txBody>
      </xdr:sp>
      <xdr:sp macro="" textlink="">
        <xdr:nvSpPr>
          <xdr:cNvPr id="10" name="Rectángulo redondeado 9">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320601</a:t>
            </a:r>
          </a:p>
        </xdr:txBody>
      </xdr:sp>
      <xdr:sp macro="" textlink="">
        <xdr:nvSpPr>
          <xdr:cNvPr id="11" name="Rectángulo redondeado 10">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320503</a:t>
            </a:r>
          </a:p>
        </xdr:txBody>
      </xdr:sp>
      <xdr:sp macro="" textlink="">
        <xdr:nvSpPr>
          <xdr:cNvPr id="12" name="Rectángulo redondeado 11">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320502</a:t>
            </a:r>
          </a:p>
        </xdr:txBody>
      </xdr:sp>
      <xdr:sp macro="" textlink="">
        <xdr:nvSpPr>
          <xdr:cNvPr id="13" name="Rectángulo redondeado 12">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320501</a:t>
            </a:r>
          </a:p>
        </xdr:txBody>
      </xdr:sp>
      <xdr:sp macro="" textlink="">
        <xdr:nvSpPr>
          <xdr:cNvPr id="14" name="Rectángulo redondeado 13">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320401</a:t>
            </a:r>
          </a:p>
        </xdr:txBody>
      </xdr:sp>
      <xdr:sp macro="" textlink="">
        <xdr:nvSpPr>
          <xdr:cNvPr id="15" name="Rectángulo redondeado 14">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320201</a:t>
            </a:r>
          </a:p>
        </xdr:txBody>
      </xdr:sp>
      <xdr:sp macro="" textlink="">
        <xdr:nvSpPr>
          <xdr:cNvPr id="16" name="Rectángulo redondeado 15">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320302</a:t>
            </a:r>
          </a:p>
        </xdr:txBody>
      </xdr:sp>
      <xdr:sp macro="" textlink="">
        <xdr:nvSpPr>
          <xdr:cNvPr id="17" name="Rectángulo redondeado 16">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320202</a:t>
            </a:r>
          </a:p>
        </xdr:txBody>
      </xdr:sp>
      <xdr:sp macro="" textlink="">
        <xdr:nvSpPr>
          <xdr:cNvPr id="18" name="Rectángulo redondeado 17">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320203</a:t>
            </a:r>
          </a:p>
        </xdr:txBody>
      </xdr:sp>
      <xdr:sp macro="" textlink="">
        <xdr:nvSpPr>
          <xdr:cNvPr id="19" name="Rectángulo redondeado 18">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320101</a:t>
            </a:r>
          </a:p>
        </xdr:txBody>
      </xdr:sp>
      <xdr:sp macro="" textlink="">
        <xdr:nvSpPr>
          <xdr:cNvPr id="20" name="Rectángulo redondeado 19">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320102</a:t>
            </a:r>
          </a:p>
        </xdr:txBody>
      </xdr:sp>
      <xdr:sp macro="" textlink="">
        <xdr:nvSpPr>
          <xdr:cNvPr id="21" name="Rectángulo redondeado 20">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320103</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3"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1431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6"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0</xdr:row>
      <xdr:rowOff>0</xdr:rowOff>
    </xdr:from>
    <xdr:to>
      <xdr:col>17</xdr:col>
      <xdr:colOff>396264</xdr:colOff>
      <xdr:row>5</xdr:row>
      <xdr:rowOff>62804</xdr:rowOff>
    </xdr:to>
    <xdr:grpSp>
      <xdr:nvGrpSpPr>
        <xdr:cNvPr id="7" name="Grupo 6"/>
        <xdr:cNvGrpSpPr/>
      </xdr:nvGrpSpPr>
      <xdr:grpSpPr>
        <a:xfrm>
          <a:off x="13954125" y="0"/>
          <a:ext cx="2806089" cy="1034354"/>
          <a:chOff x="19557175" y="4113316"/>
          <a:chExt cx="3649188" cy="1220685"/>
        </a:xfrm>
      </xdr:grpSpPr>
      <xdr:sp macro="" textlink="">
        <xdr:nvSpPr>
          <xdr:cNvPr id="8" name="Rectángulo redondeado 7">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329901</a:t>
            </a:r>
          </a:p>
        </xdr:txBody>
      </xdr:sp>
      <xdr:sp macro="" textlink="">
        <xdr:nvSpPr>
          <xdr:cNvPr id="9" name="Rectángulo redondeado 8">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320801</a:t>
            </a:r>
          </a:p>
        </xdr:txBody>
      </xdr:sp>
      <xdr:sp macro="" textlink="">
        <xdr:nvSpPr>
          <xdr:cNvPr id="10" name="Rectángulo redondeado 9">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320301</a:t>
            </a:r>
          </a:p>
        </xdr:txBody>
      </xdr:sp>
      <xdr:sp macro="" textlink="">
        <xdr:nvSpPr>
          <xdr:cNvPr id="11" name="Rectángulo redondeado 10">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320601</a:t>
            </a:r>
          </a:p>
        </xdr:txBody>
      </xdr:sp>
      <xdr:sp macro="" textlink="">
        <xdr:nvSpPr>
          <xdr:cNvPr id="12" name="Rectángulo redondeado 11">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320503</a:t>
            </a:r>
          </a:p>
        </xdr:txBody>
      </xdr:sp>
      <xdr:sp macro="" textlink="">
        <xdr:nvSpPr>
          <xdr:cNvPr id="13" name="Rectángulo redondeado 12">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320502</a:t>
            </a:r>
          </a:p>
        </xdr:txBody>
      </xdr:sp>
      <xdr:sp macro="" textlink="">
        <xdr:nvSpPr>
          <xdr:cNvPr id="14" name="Rectángulo redondeado 13">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320501</a:t>
            </a:r>
          </a:p>
        </xdr:txBody>
      </xdr:sp>
      <xdr:sp macro="" textlink="">
        <xdr:nvSpPr>
          <xdr:cNvPr id="15" name="Rectángulo redondeado 14">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320401</a:t>
            </a:r>
          </a:p>
        </xdr:txBody>
      </xdr:sp>
      <xdr:sp macro="" textlink="">
        <xdr:nvSpPr>
          <xdr:cNvPr id="16" name="Rectángulo redondeado 15">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320201</a:t>
            </a:r>
          </a:p>
        </xdr:txBody>
      </xdr:sp>
      <xdr:sp macro="" textlink="">
        <xdr:nvSpPr>
          <xdr:cNvPr id="17" name="Rectángulo redondeado 16">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320302</a:t>
            </a:r>
          </a:p>
        </xdr:txBody>
      </xdr:sp>
      <xdr:sp macro="" textlink="">
        <xdr:nvSpPr>
          <xdr:cNvPr id="18" name="Rectángulo redondeado 17">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320202</a:t>
            </a:r>
          </a:p>
        </xdr:txBody>
      </xdr:sp>
      <xdr:sp macro="" textlink="">
        <xdr:nvSpPr>
          <xdr:cNvPr id="19" name="Rectángulo redondeado 18">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320203</a:t>
            </a:r>
          </a:p>
        </xdr:txBody>
      </xdr:sp>
      <xdr:sp macro="" textlink="">
        <xdr:nvSpPr>
          <xdr:cNvPr id="20" name="Rectángulo redondeado 19">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320101</a:t>
            </a:r>
          </a:p>
        </xdr:txBody>
      </xdr:sp>
      <xdr:sp macro="" textlink="">
        <xdr:nvSpPr>
          <xdr:cNvPr id="21" name="Rectángulo redondeado 20">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320102</a:t>
            </a:r>
          </a:p>
        </xdr:txBody>
      </xdr:sp>
      <xdr:sp macro="" textlink="">
        <xdr:nvSpPr>
          <xdr:cNvPr id="22" name="Rectángulo redondeado 21">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320103</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3"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1431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8"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1431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696057</xdr:colOff>
      <xdr:row>0</xdr:row>
      <xdr:rowOff>0</xdr:rowOff>
    </xdr:from>
    <xdr:to>
      <xdr:col>17</xdr:col>
      <xdr:colOff>347035</xdr:colOff>
      <xdr:row>5</xdr:row>
      <xdr:rowOff>112132</xdr:rowOff>
    </xdr:to>
    <xdr:grpSp>
      <xdr:nvGrpSpPr>
        <xdr:cNvPr id="9" name="Grupo 8"/>
        <xdr:cNvGrpSpPr/>
      </xdr:nvGrpSpPr>
      <xdr:grpSpPr>
        <a:xfrm>
          <a:off x="13964382" y="0"/>
          <a:ext cx="2756128" cy="1055107"/>
          <a:chOff x="19557175" y="4113316"/>
          <a:chExt cx="3649188" cy="1220685"/>
        </a:xfrm>
      </xdr:grpSpPr>
      <xdr:sp macro="" textlink="">
        <xdr:nvSpPr>
          <xdr:cNvPr id="10" name="Rectángulo redondeado 9">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329901</a:t>
            </a:r>
          </a:p>
        </xdr:txBody>
      </xdr:sp>
      <xdr:sp macro="" textlink="">
        <xdr:nvSpPr>
          <xdr:cNvPr id="11" name="Rectángulo redondeado 10">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320801</a:t>
            </a:r>
          </a:p>
        </xdr:txBody>
      </xdr:sp>
      <xdr:sp macro="" textlink="">
        <xdr:nvSpPr>
          <xdr:cNvPr id="12" name="Rectángulo redondeado 11">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320301</a:t>
            </a:r>
          </a:p>
        </xdr:txBody>
      </xdr:sp>
      <xdr:sp macro="" textlink="">
        <xdr:nvSpPr>
          <xdr:cNvPr id="13" name="Rectángulo redondeado 12">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320601</a:t>
            </a:r>
          </a:p>
        </xdr:txBody>
      </xdr:sp>
      <xdr:sp macro="" textlink="">
        <xdr:nvSpPr>
          <xdr:cNvPr id="14" name="Rectángulo redondeado 13">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320503</a:t>
            </a:r>
          </a:p>
        </xdr:txBody>
      </xdr:sp>
      <xdr:sp macro="" textlink="">
        <xdr:nvSpPr>
          <xdr:cNvPr id="15" name="Rectángulo redondeado 14">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320502</a:t>
            </a:r>
          </a:p>
        </xdr:txBody>
      </xdr:sp>
      <xdr:sp macro="" textlink="">
        <xdr:nvSpPr>
          <xdr:cNvPr id="16" name="Rectángulo redondeado 15">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320501</a:t>
            </a:r>
          </a:p>
        </xdr:txBody>
      </xdr:sp>
      <xdr:sp macro="" textlink="">
        <xdr:nvSpPr>
          <xdr:cNvPr id="17" name="Rectángulo redondeado 16">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320401</a:t>
            </a:r>
          </a:p>
        </xdr:txBody>
      </xdr:sp>
      <xdr:sp macro="" textlink="">
        <xdr:nvSpPr>
          <xdr:cNvPr id="18" name="Rectángulo redondeado 17">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320201</a:t>
            </a:r>
          </a:p>
        </xdr:txBody>
      </xdr:sp>
      <xdr:sp macro="" textlink="">
        <xdr:nvSpPr>
          <xdr:cNvPr id="19" name="Rectángulo redondeado 18">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320302</a:t>
            </a:r>
          </a:p>
        </xdr:txBody>
      </xdr:sp>
      <xdr:sp macro="" textlink="">
        <xdr:nvSpPr>
          <xdr:cNvPr id="20" name="Rectángulo redondeado 19">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320202</a:t>
            </a:r>
          </a:p>
        </xdr:txBody>
      </xdr:sp>
      <xdr:sp macro="" textlink="">
        <xdr:nvSpPr>
          <xdr:cNvPr id="21" name="Rectángulo redondeado 20">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320203</a:t>
            </a:r>
          </a:p>
        </xdr:txBody>
      </xdr:sp>
      <xdr:sp macro="" textlink="">
        <xdr:nvSpPr>
          <xdr:cNvPr id="22" name="Rectángulo redondeado 21">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320101</a:t>
            </a:r>
          </a:p>
        </xdr:txBody>
      </xdr:sp>
      <xdr:sp macro="" textlink="">
        <xdr:nvSpPr>
          <xdr:cNvPr id="23" name="Rectángulo redondeado 22">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320102</a:t>
            </a:r>
          </a:p>
        </xdr:txBody>
      </xdr:sp>
      <xdr:sp macro="" textlink="">
        <xdr:nvSpPr>
          <xdr:cNvPr id="24" name="Rectángulo redondeado 23">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320103</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762000</xdr:colOff>
      <xdr:row>2</xdr:row>
      <xdr:rowOff>0</xdr:rowOff>
    </xdr:from>
    <xdr:to>
      <xdr:col>0</xdr:col>
      <xdr:colOff>2152650</xdr:colOff>
      <xdr:row>5</xdr:row>
      <xdr:rowOff>39158</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2860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762000</xdr:colOff>
      <xdr:row>0</xdr:row>
      <xdr:rowOff>0</xdr:rowOff>
    </xdr:from>
    <xdr:to>
      <xdr:col>0</xdr:col>
      <xdr:colOff>2152650</xdr:colOff>
      <xdr:row>3</xdr:row>
      <xdr:rowOff>39158</xdr:rowOff>
    </xdr:to>
    <xdr:pic>
      <xdr:nvPicPr>
        <xdr:cNvPr id="3"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2860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762000</xdr:colOff>
      <xdr:row>0</xdr:row>
      <xdr:rowOff>0</xdr:rowOff>
    </xdr:from>
    <xdr:to>
      <xdr:col>1</xdr:col>
      <xdr:colOff>2152650</xdr:colOff>
      <xdr:row>3</xdr:row>
      <xdr:rowOff>39158</xdr:rowOff>
    </xdr:to>
    <xdr:pic>
      <xdr:nvPicPr>
        <xdr:cNvPr id="4"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2860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16</xdr:col>
      <xdr:colOff>457200</xdr:colOff>
      <xdr:row>1</xdr:row>
      <xdr:rowOff>190500</xdr:rowOff>
    </xdr:from>
    <xdr:to>
      <xdr:col>16</xdr:col>
      <xdr:colOff>457200</xdr:colOff>
      <xdr:row>5</xdr:row>
      <xdr:rowOff>29633</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4868525" y="381000"/>
          <a:ext cx="0"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762000</xdr:colOff>
      <xdr:row>0</xdr:row>
      <xdr:rowOff>0</xdr:rowOff>
    </xdr:from>
    <xdr:to>
      <xdr:col>3</xdr:col>
      <xdr:colOff>2152650</xdr:colOff>
      <xdr:row>3</xdr:row>
      <xdr:rowOff>39158</xdr:rowOff>
    </xdr:to>
    <xdr:pic>
      <xdr:nvPicPr>
        <xdr:cNvPr id="3" name="Imagen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2887325" y="390525"/>
          <a:ext cx="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762000</xdr:colOff>
      <xdr:row>0</xdr:row>
      <xdr:rowOff>0</xdr:rowOff>
    </xdr:from>
    <xdr:to>
      <xdr:col>2</xdr:col>
      <xdr:colOff>2152650</xdr:colOff>
      <xdr:row>3</xdr:row>
      <xdr:rowOff>39158</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495425"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91887</xdr:colOff>
      <xdr:row>0</xdr:row>
      <xdr:rowOff>56029</xdr:rowOff>
    </xdr:from>
    <xdr:to>
      <xdr:col>19</xdr:col>
      <xdr:colOff>378198</xdr:colOff>
      <xdr:row>6</xdr:row>
      <xdr:rowOff>84044</xdr:rowOff>
    </xdr:to>
    <xdr:grpSp>
      <xdr:nvGrpSpPr>
        <xdr:cNvPr id="3" name="Grupo 2"/>
        <xdr:cNvGrpSpPr/>
      </xdr:nvGrpSpPr>
      <xdr:grpSpPr>
        <a:xfrm>
          <a:off x="16217712" y="56029"/>
          <a:ext cx="2572311" cy="1104340"/>
          <a:chOff x="19557175" y="4113316"/>
          <a:chExt cx="3649188" cy="1220685"/>
        </a:xfrm>
      </xdr:grpSpPr>
      <xdr:sp macro="" textlink="">
        <xdr:nvSpPr>
          <xdr:cNvPr id="4" name="Rectángulo redondeado 3">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329901</a:t>
            </a:r>
          </a:p>
        </xdr:txBody>
      </xdr:sp>
      <xdr:sp macro="" textlink="">
        <xdr:nvSpPr>
          <xdr:cNvPr id="5" name="Rectángulo redondeado 4">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320801</a:t>
            </a:r>
          </a:p>
        </xdr:txBody>
      </xdr:sp>
      <xdr:sp macro="" textlink="">
        <xdr:nvSpPr>
          <xdr:cNvPr id="6" name="Rectángulo redondeado 5">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320301</a:t>
            </a:r>
          </a:p>
        </xdr:txBody>
      </xdr:sp>
      <xdr:sp macro="" textlink="">
        <xdr:nvSpPr>
          <xdr:cNvPr id="7" name="Rectángulo redondeado 6">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320601</a:t>
            </a:r>
          </a:p>
        </xdr:txBody>
      </xdr:sp>
      <xdr:sp macro="" textlink="">
        <xdr:nvSpPr>
          <xdr:cNvPr id="8" name="Rectángulo redondeado 7">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320503</a:t>
            </a:r>
          </a:p>
        </xdr:txBody>
      </xdr:sp>
      <xdr:sp macro="" textlink="">
        <xdr:nvSpPr>
          <xdr:cNvPr id="9" name="Rectángulo redondeado 8">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320502</a:t>
            </a:r>
          </a:p>
        </xdr:txBody>
      </xdr:sp>
      <xdr:sp macro="" textlink="">
        <xdr:nvSpPr>
          <xdr:cNvPr id="10" name="Rectángulo redondeado 9">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320501</a:t>
            </a:r>
          </a:p>
        </xdr:txBody>
      </xdr:sp>
      <xdr:sp macro="" textlink="">
        <xdr:nvSpPr>
          <xdr:cNvPr id="11" name="Rectángulo redondeado 10">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320401</a:t>
            </a:r>
          </a:p>
        </xdr:txBody>
      </xdr:sp>
      <xdr:sp macro="" textlink="">
        <xdr:nvSpPr>
          <xdr:cNvPr id="12" name="Rectángulo redondeado 11">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320201</a:t>
            </a:r>
          </a:p>
        </xdr:txBody>
      </xdr:sp>
      <xdr:sp macro="" textlink="">
        <xdr:nvSpPr>
          <xdr:cNvPr id="13" name="Rectángulo redondeado 12">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320302</a:t>
            </a:r>
          </a:p>
        </xdr:txBody>
      </xdr:sp>
      <xdr:sp macro="" textlink="">
        <xdr:nvSpPr>
          <xdr:cNvPr id="14" name="Rectángulo redondeado 13">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320202</a:t>
            </a:r>
          </a:p>
        </xdr:txBody>
      </xdr:sp>
      <xdr:sp macro="" textlink="">
        <xdr:nvSpPr>
          <xdr:cNvPr id="15" name="Rectángulo redondeado 14">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320203</a:t>
            </a:r>
          </a:p>
        </xdr:txBody>
      </xdr:sp>
      <xdr:sp macro="" textlink="">
        <xdr:nvSpPr>
          <xdr:cNvPr id="16" name="Rectángulo redondeado 15">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320101</a:t>
            </a:r>
          </a:p>
        </xdr:txBody>
      </xdr:sp>
      <xdr:sp macro="" textlink="">
        <xdr:nvSpPr>
          <xdr:cNvPr id="17" name="Rectángulo redondeado 16">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320102</a:t>
            </a:r>
          </a:p>
        </xdr:txBody>
      </xdr:sp>
      <xdr:sp macro="" textlink="">
        <xdr:nvSpPr>
          <xdr:cNvPr id="18" name="Rectángulo redondeado 17">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50" b="1"/>
              <a:t>320103</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762000</xdr:colOff>
      <xdr:row>0</xdr:row>
      <xdr:rowOff>0</xdr:rowOff>
    </xdr:from>
    <xdr:to>
      <xdr:col>1</xdr:col>
      <xdr:colOff>2152650</xdr:colOff>
      <xdr:row>3</xdr:row>
      <xdr:rowOff>0</xdr:rowOff>
    </xdr:to>
    <xdr:pic>
      <xdr:nvPicPr>
        <xdr:cNvPr id="3"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2860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2</xdr:col>
      <xdr:colOff>762000</xdr:colOff>
      <xdr:row>0</xdr:row>
      <xdr:rowOff>0</xdr:rowOff>
    </xdr:from>
    <xdr:to>
      <xdr:col>2</xdr:col>
      <xdr:colOff>2152650</xdr:colOff>
      <xdr:row>3</xdr:row>
      <xdr:rowOff>39158</xdr:rowOff>
    </xdr:to>
    <xdr:pic>
      <xdr:nvPicPr>
        <xdr:cNvPr id="5"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7620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0</xdr:row>
      <xdr:rowOff>0</xdr:rowOff>
    </xdr:from>
    <xdr:to>
      <xdr:col>16</xdr:col>
      <xdr:colOff>49110</xdr:colOff>
      <xdr:row>5</xdr:row>
      <xdr:rowOff>28575</xdr:rowOff>
    </xdr:to>
    <xdr:grpSp>
      <xdr:nvGrpSpPr>
        <xdr:cNvPr id="6" name="Grupo 5"/>
        <xdr:cNvGrpSpPr/>
      </xdr:nvGrpSpPr>
      <xdr:grpSpPr>
        <a:xfrm>
          <a:off x="17945100" y="0"/>
          <a:ext cx="2087460" cy="828675"/>
          <a:chOff x="19557175" y="4113316"/>
          <a:chExt cx="3649188" cy="1220685"/>
        </a:xfrm>
      </xdr:grpSpPr>
      <xdr:sp macro="" textlink="">
        <xdr:nvSpPr>
          <xdr:cNvPr id="7" name="Rectángulo redondeado 6">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329901</a:t>
            </a:r>
          </a:p>
        </xdr:txBody>
      </xdr:sp>
      <xdr:sp macro="" textlink="">
        <xdr:nvSpPr>
          <xdr:cNvPr id="8" name="Rectángulo redondeado 7">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320801</a:t>
            </a:r>
          </a:p>
        </xdr:txBody>
      </xdr:sp>
      <xdr:sp macro="" textlink="">
        <xdr:nvSpPr>
          <xdr:cNvPr id="9" name="Rectángulo redondeado 8">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320301</a:t>
            </a:r>
          </a:p>
        </xdr:txBody>
      </xdr:sp>
      <xdr:sp macro="" textlink="">
        <xdr:nvSpPr>
          <xdr:cNvPr id="10" name="Rectángulo redondeado 9">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320601</a:t>
            </a:r>
          </a:p>
        </xdr:txBody>
      </xdr:sp>
      <xdr:sp macro="" textlink="">
        <xdr:nvSpPr>
          <xdr:cNvPr id="11" name="Rectángulo redondeado 10">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320503</a:t>
            </a:r>
          </a:p>
        </xdr:txBody>
      </xdr:sp>
      <xdr:sp macro="" textlink="">
        <xdr:nvSpPr>
          <xdr:cNvPr id="12" name="Rectángulo redondeado 11">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320502</a:t>
            </a:r>
          </a:p>
        </xdr:txBody>
      </xdr:sp>
      <xdr:sp macro="" textlink="">
        <xdr:nvSpPr>
          <xdr:cNvPr id="13" name="Rectángulo redondeado 12">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320501</a:t>
            </a:r>
          </a:p>
        </xdr:txBody>
      </xdr:sp>
      <xdr:sp macro="" textlink="">
        <xdr:nvSpPr>
          <xdr:cNvPr id="14" name="Rectángulo redondeado 13">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320401</a:t>
            </a:r>
          </a:p>
        </xdr:txBody>
      </xdr:sp>
      <xdr:sp macro="" textlink="">
        <xdr:nvSpPr>
          <xdr:cNvPr id="15" name="Rectángulo redondeado 14">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320201</a:t>
            </a:r>
          </a:p>
        </xdr:txBody>
      </xdr:sp>
      <xdr:sp macro="" textlink="">
        <xdr:nvSpPr>
          <xdr:cNvPr id="16" name="Rectángulo redondeado 15">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320302</a:t>
            </a:r>
          </a:p>
        </xdr:txBody>
      </xdr:sp>
      <xdr:sp macro="" textlink="">
        <xdr:nvSpPr>
          <xdr:cNvPr id="17" name="Rectángulo redondeado 16">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320202</a:t>
            </a:r>
          </a:p>
        </xdr:txBody>
      </xdr:sp>
      <xdr:sp macro="" textlink="">
        <xdr:nvSpPr>
          <xdr:cNvPr id="18" name="Rectángulo redondeado 17">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320203</a:t>
            </a:r>
          </a:p>
        </xdr:txBody>
      </xdr:sp>
      <xdr:sp macro="" textlink="">
        <xdr:nvSpPr>
          <xdr:cNvPr id="19" name="Rectángulo redondeado 18">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320101</a:t>
            </a:r>
          </a:p>
        </xdr:txBody>
      </xdr:sp>
      <xdr:sp macro="" textlink="">
        <xdr:nvSpPr>
          <xdr:cNvPr id="20" name="Rectángulo redondeado 19">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320102</a:t>
            </a:r>
          </a:p>
        </xdr:txBody>
      </xdr:sp>
      <xdr:sp macro="" textlink="">
        <xdr:nvSpPr>
          <xdr:cNvPr id="21" name="Rectángulo redondeado 20">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000" b="1"/>
              <a:t>320103</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762000</xdr:colOff>
      <xdr:row>0</xdr:row>
      <xdr:rowOff>0</xdr:rowOff>
    </xdr:from>
    <xdr:to>
      <xdr:col>1</xdr:col>
      <xdr:colOff>2152650</xdr:colOff>
      <xdr:row>3</xdr:row>
      <xdr:rowOff>39158</xdr:rowOff>
    </xdr:to>
    <xdr:pic>
      <xdr:nvPicPr>
        <xdr:cNvPr id="6"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2639675" y="581025"/>
          <a:ext cx="1019175" cy="591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2</xdr:col>
      <xdr:colOff>762000</xdr:colOff>
      <xdr:row>0</xdr:row>
      <xdr:rowOff>0</xdr:rowOff>
    </xdr:from>
    <xdr:to>
      <xdr:col>2</xdr:col>
      <xdr:colOff>2152650</xdr:colOff>
      <xdr:row>3</xdr:row>
      <xdr:rowOff>39158</xdr:rowOff>
    </xdr:to>
    <xdr:pic>
      <xdr:nvPicPr>
        <xdr:cNvPr id="2" name="Imagen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4097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690203</xdr:colOff>
      <xdr:row>0</xdr:row>
      <xdr:rowOff>0</xdr:rowOff>
    </xdr:from>
    <xdr:to>
      <xdr:col>20</xdr:col>
      <xdr:colOff>1447305</xdr:colOff>
      <xdr:row>9</xdr:row>
      <xdr:rowOff>24739</xdr:rowOff>
    </xdr:to>
    <xdr:grpSp>
      <xdr:nvGrpSpPr>
        <xdr:cNvPr id="3" name="Grupo 2"/>
        <xdr:cNvGrpSpPr/>
      </xdr:nvGrpSpPr>
      <xdr:grpSpPr>
        <a:xfrm>
          <a:off x="17358953" y="0"/>
          <a:ext cx="3614602" cy="1632083"/>
          <a:chOff x="19557175" y="4113316"/>
          <a:chExt cx="3649188" cy="1220685"/>
        </a:xfrm>
      </xdr:grpSpPr>
      <xdr:sp macro="" textlink="">
        <xdr:nvSpPr>
          <xdr:cNvPr id="4" name="Rectángulo redondeado 3">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329901</a:t>
            </a:r>
          </a:p>
        </xdr:txBody>
      </xdr:sp>
      <xdr:sp macro="" textlink="">
        <xdr:nvSpPr>
          <xdr:cNvPr id="5" name="Rectángulo redondeado 4">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320801</a:t>
            </a:r>
          </a:p>
        </xdr:txBody>
      </xdr:sp>
      <xdr:sp macro="" textlink="">
        <xdr:nvSpPr>
          <xdr:cNvPr id="6" name="Rectángulo redondeado 5">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320301</a:t>
            </a:r>
          </a:p>
        </xdr:txBody>
      </xdr:sp>
      <xdr:sp macro="" textlink="">
        <xdr:nvSpPr>
          <xdr:cNvPr id="7" name="Rectángulo redondeado 6">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320601</a:t>
            </a:r>
          </a:p>
        </xdr:txBody>
      </xdr:sp>
      <xdr:sp macro="" textlink="">
        <xdr:nvSpPr>
          <xdr:cNvPr id="8" name="Rectángulo redondeado 7">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320503</a:t>
            </a:r>
          </a:p>
        </xdr:txBody>
      </xdr:sp>
      <xdr:sp macro="" textlink="">
        <xdr:nvSpPr>
          <xdr:cNvPr id="9" name="Rectángulo redondeado 8">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320502</a:t>
            </a:r>
          </a:p>
        </xdr:txBody>
      </xdr:sp>
      <xdr:sp macro="" textlink="">
        <xdr:nvSpPr>
          <xdr:cNvPr id="10" name="Rectángulo redondeado 9">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320501</a:t>
            </a:r>
          </a:p>
        </xdr:txBody>
      </xdr:sp>
      <xdr:sp macro="" textlink="">
        <xdr:nvSpPr>
          <xdr:cNvPr id="11" name="Rectángulo redondeado 10">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320401</a:t>
            </a:r>
          </a:p>
        </xdr:txBody>
      </xdr:sp>
      <xdr:sp macro="" textlink="">
        <xdr:nvSpPr>
          <xdr:cNvPr id="12" name="Rectángulo redondeado 11">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320201</a:t>
            </a:r>
          </a:p>
        </xdr:txBody>
      </xdr:sp>
      <xdr:sp macro="" textlink="">
        <xdr:nvSpPr>
          <xdr:cNvPr id="13" name="Rectángulo redondeado 12">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320302</a:t>
            </a:r>
          </a:p>
        </xdr:txBody>
      </xdr:sp>
      <xdr:sp macro="" textlink="">
        <xdr:nvSpPr>
          <xdr:cNvPr id="14" name="Rectángulo redondeado 13">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320202</a:t>
            </a:r>
          </a:p>
        </xdr:txBody>
      </xdr:sp>
      <xdr:sp macro="" textlink="">
        <xdr:nvSpPr>
          <xdr:cNvPr id="15" name="Rectángulo redondeado 14">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320203</a:t>
            </a:r>
          </a:p>
        </xdr:txBody>
      </xdr:sp>
      <xdr:sp macro="" textlink="">
        <xdr:nvSpPr>
          <xdr:cNvPr id="16" name="Rectángulo redondeado 15">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320101</a:t>
            </a:r>
          </a:p>
        </xdr:txBody>
      </xdr:sp>
      <xdr:sp macro="" textlink="">
        <xdr:nvSpPr>
          <xdr:cNvPr id="17" name="Rectángulo redondeado 16">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320102</a:t>
            </a:r>
          </a:p>
        </xdr:txBody>
      </xdr:sp>
      <xdr:sp macro="" textlink="">
        <xdr:nvSpPr>
          <xdr:cNvPr id="18" name="Rectángulo redondeado 17">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200" b="1"/>
              <a:t>320103</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762000</xdr:colOff>
      <xdr:row>0</xdr:row>
      <xdr:rowOff>0</xdr:rowOff>
    </xdr:from>
    <xdr:to>
      <xdr:col>1</xdr:col>
      <xdr:colOff>2152650</xdr:colOff>
      <xdr:row>3</xdr:row>
      <xdr:rowOff>0</xdr:rowOff>
    </xdr:to>
    <xdr:pic>
      <xdr:nvPicPr>
        <xdr:cNvPr id="3"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762000"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2</xdr:col>
      <xdr:colOff>762000</xdr:colOff>
      <xdr:row>0</xdr:row>
      <xdr:rowOff>0</xdr:rowOff>
    </xdr:from>
    <xdr:to>
      <xdr:col>2</xdr:col>
      <xdr:colOff>2152650</xdr:colOff>
      <xdr:row>3</xdr:row>
      <xdr:rowOff>0</xdr:rowOff>
    </xdr:to>
    <xdr:pic>
      <xdr:nvPicPr>
        <xdr:cNvPr id="5"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8240994" y="0"/>
          <a:ext cx="1076325" cy="60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1255485</xdr:colOff>
      <xdr:row>0</xdr:row>
      <xdr:rowOff>172667</xdr:rowOff>
    </xdr:from>
    <xdr:to>
      <xdr:col>19</xdr:col>
      <xdr:colOff>737997</xdr:colOff>
      <xdr:row>7</xdr:row>
      <xdr:rowOff>14029</xdr:rowOff>
    </xdr:to>
    <xdr:grpSp>
      <xdr:nvGrpSpPr>
        <xdr:cNvPr id="30" name="Grupo 29"/>
        <xdr:cNvGrpSpPr/>
      </xdr:nvGrpSpPr>
      <xdr:grpSpPr>
        <a:xfrm>
          <a:off x="17838510" y="172667"/>
          <a:ext cx="3759237" cy="1508237"/>
          <a:chOff x="19557175" y="4113316"/>
          <a:chExt cx="3649188" cy="1220685"/>
        </a:xfrm>
      </xdr:grpSpPr>
      <xdr:sp macro="" textlink="">
        <xdr:nvSpPr>
          <xdr:cNvPr id="13" name="Rectángulo redondeado 12">
            <a:hlinkClick xmlns:r="http://schemas.openxmlformats.org/officeDocument/2006/relationships" r:id="rId2"/>
          </xdr:cNvPr>
          <xdr:cNvSpPr/>
        </xdr:nvSpPr>
        <xdr:spPr>
          <a:xfrm>
            <a:off x="22328084" y="4750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329901</a:t>
            </a:r>
          </a:p>
        </xdr:txBody>
      </xdr:sp>
      <xdr:sp macro="" textlink="">
        <xdr:nvSpPr>
          <xdr:cNvPr id="14" name="Rectángulo redondeado 13">
            <a:hlinkClick xmlns:r="http://schemas.openxmlformats.org/officeDocument/2006/relationships" r:id="rId3"/>
          </xdr:cNvPr>
          <xdr:cNvSpPr/>
        </xdr:nvSpPr>
        <xdr:spPr>
          <a:xfrm>
            <a:off x="22328084" y="44408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320801</a:t>
            </a:r>
          </a:p>
        </xdr:txBody>
      </xdr:sp>
      <xdr:sp macro="" textlink="">
        <xdr:nvSpPr>
          <xdr:cNvPr id="16" name="Rectángulo redondeado 15">
            <a:hlinkClick xmlns:r="http://schemas.openxmlformats.org/officeDocument/2006/relationships" r:id="rId4"/>
          </xdr:cNvPr>
          <xdr:cNvSpPr/>
        </xdr:nvSpPr>
        <xdr:spPr>
          <a:xfrm>
            <a:off x="20480482" y="474567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320301</a:t>
            </a:r>
          </a:p>
        </xdr:txBody>
      </xdr:sp>
      <xdr:sp macro="" textlink="">
        <xdr:nvSpPr>
          <xdr:cNvPr id="17" name="Rectángulo redondeado 16">
            <a:hlinkClick xmlns:r="http://schemas.openxmlformats.org/officeDocument/2006/relationships" r:id="rId5"/>
          </xdr:cNvPr>
          <xdr:cNvSpPr/>
        </xdr:nvSpPr>
        <xdr:spPr>
          <a:xfrm>
            <a:off x="22327589" y="413112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320601</a:t>
            </a:r>
          </a:p>
        </xdr:txBody>
      </xdr:sp>
      <xdr:sp macro="" textlink="">
        <xdr:nvSpPr>
          <xdr:cNvPr id="19" name="Rectángulo redondeado 18">
            <a:hlinkClick xmlns:r="http://schemas.openxmlformats.org/officeDocument/2006/relationships" r:id="rId6"/>
          </xdr:cNvPr>
          <xdr:cNvSpPr/>
        </xdr:nvSpPr>
        <xdr:spPr>
          <a:xfrm>
            <a:off x="21407746" y="5066805"/>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320503</a:t>
            </a:r>
          </a:p>
        </xdr:txBody>
      </xdr:sp>
      <xdr:sp macro="" textlink="">
        <xdr:nvSpPr>
          <xdr:cNvPr id="20" name="Rectángulo redondeado 19">
            <a:hlinkClick xmlns:r="http://schemas.openxmlformats.org/officeDocument/2006/relationships" r:id="rId7"/>
          </xdr:cNvPr>
          <xdr:cNvSpPr/>
        </xdr:nvSpPr>
        <xdr:spPr>
          <a:xfrm>
            <a:off x="21424076" y="4749141"/>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320502</a:t>
            </a:r>
          </a:p>
        </xdr:txBody>
      </xdr:sp>
      <xdr:sp macro="" textlink="">
        <xdr:nvSpPr>
          <xdr:cNvPr id="21" name="Rectángulo redondeado 20">
            <a:hlinkClick xmlns:r="http://schemas.openxmlformats.org/officeDocument/2006/relationships" r:id="rId8"/>
          </xdr:cNvPr>
          <xdr:cNvSpPr/>
        </xdr:nvSpPr>
        <xdr:spPr>
          <a:xfrm>
            <a:off x="21428034" y="44314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320501</a:t>
            </a:r>
          </a:p>
        </xdr:txBody>
      </xdr:sp>
      <xdr:sp macro="" textlink="">
        <xdr:nvSpPr>
          <xdr:cNvPr id="22" name="Rectángulo redondeado 21">
            <a:hlinkClick xmlns:r="http://schemas.openxmlformats.org/officeDocument/2006/relationships" r:id="rId9"/>
          </xdr:cNvPr>
          <xdr:cNvSpPr/>
        </xdr:nvSpPr>
        <xdr:spPr>
          <a:xfrm>
            <a:off x="21407251" y="411381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320401</a:t>
            </a:r>
          </a:p>
        </xdr:txBody>
      </xdr:sp>
      <xdr:sp macro="" textlink="">
        <xdr:nvSpPr>
          <xdr:cNvPr id="23" name="Rectángulo redondeado 22">
            <a:hlinkClick xmlns:r="http://schemas.openxmlformats.org/officeDocument/2006/relationships" r:id="rId10"/>
          </xdr:cNvPr>
          <xdr:cNvSpPr/>
        </xdr:nvSpPr>
        <xdr:spPr>
          <a:xfrm>
            <a:off x="19568061" y="5057899"/>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320201</a:t>
            </a:r>
          </a:p>
        </xdr:txBody>
      </xdr:sp>
      <xdr:sp macro="" textlink="">
        <xdr:nvSpPr>
          <xdr:cNvPr id="24" name="Rectángulo redondeado 23">
            <a:hlinkClick xmlns:r="http://schemas.openxmlformats.org/officeDocument/2006/relationships" r:id="rId11"/>
          </xdr:cNvPr>
          <xdr:cNvSpPr/>
        </xdr:nvSpPr>
        <xdr:spPr>
          <a:xfrm>
            <a:off x="20499778" y="5074227"/>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320302</a:t>
            </a:r>
          </a:p>
        </xdr:txBody>
      </xdr:sp>
      <xdr:sp macro="" textlink="">
        <xdr:nvSpPr>
          <xdr:cNvPr id="25" name="Rectángulo redondeado 24">
            <a:hlinkClick xmlns:r="http://schemas.openxmlformats.org/officeDocument/2006/relationships" r:id="rId12"/>
          </xdr:cNvPr>
          <xdr:cNvSpPr/>
        </xdr:nvSpPr>
        <xdr:spPr>
          <a:xfrm>
            <a:off x="20478997" y="411331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320202</a:t>
            </a:r>
          </a:p>
        </xdr:txBody>
      </xdr:sp>
      <xdr:sp macro="" textlink="">
        <xdr:nvSpPr>
          <xdr:cNvPr id="26" name="Rectángulo redondeado 25">
            <a:hlinkClick xmlns:r="http://schemas.openxmlformats.org/officeDocument/2006/relationships" r:id="rId13"/>
          </xdr:cNvPr>
          <xdr:cNvSpPr/>
        </xdr:nvSpPr>
        <xdr:spPr>
          <a:xfrm>
            <a:off x="2049730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320203</a:t>
            </a:r>
          </a:p>
        </xdr:txBody>
      </xdr:sp>
      <xdr:sp macro="" textlink="">
        <xdr:nvSpPr>
          <xdr:cNvPr id="27" name="Rectángulo redondeado 26">
            <a:hlinkClick xmlns:r="http://schemas.openxmlformats.org/officeDocument/2006/relationships" r:id="rId14"/>
          </xdr:cNvPr>
          <xdr:cNvSpPr/>
        </xdr:nvSpPr>
        <xdr:spPr>
          <a:xfrm>
            <a:off x="19569545" y="4119253"/>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320101</a:t>
            </a:r>
          </a:p>
        </xdr:txBody>
      </xdr:sp>
      <xdr:sp macro="" textlink="">
        <xdr:nvSpPr>
          <xdr:cNvPr id="28" name="Rectángulo redondeado 27">
            <a:hlinkClick xmlns:r="http://schemas.openxmlformats.org/officeDocument/2006/relationships" r:id="rId15"/>
          </xdr:cNvPr>
          <xdr:cNvSpPr/>
        </xdr:nvSpPr>
        <xdr:spPr>
          <a:xfrm>
            <a:off x="19569545" y="4440876"/>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320102</a:t>
            </a:r>
          </a:p>
        </xdr:txBody>
      </xdr:sp>
      <xdr:sp macro="" textlink="">
        <xdr:nvSpPr>
          <xdr:cNvPr id="29" name="Rectángulo redondeado 28">
            <a:hlinkClick xmlns:r="http://schemas.openxmlformats.org/officeDocument/2006/relationships" r:id="rId16"/>
          </xdr:cNvPr>
          <xdr:cNvSpPr/>
        </xdr:nvSpPr>
        <xdr:spPr>
          <a:xfrm>
            <a:off x="19557175" y="4762500"/>
            <a:ext cx="878279" cy="259774"/>
          </a:xfrm>
          <a:prstGeom prst="roundRect">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lang="en-US" sz="1600" b="1"/>
              <a:t>320103</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ontes/Downloads/POAI%202022%20-%20NOVIEMBRE%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EIDY\2.%20POAI\POAI%202023\6.%20POAI%20JUNIO\5.%20POAI%20JUNIO%2021\POAI%202023_20_06_2023_SR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EIDY\2.%20POAI\POAI%202023\POAI%20MAYO\POAI%20MAYO%209\POAI%202023_08_05_2023_SR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montes/Downloads/POAI%202023_14_04_2023_SRCA%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EIDY\2.%20POAI\POAI%202023\POAI%20MAYO\POAI%20MAYO%2025\POAI%20%20AJUSTADO%20MAYO%2023%20ANTU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 prop"/>
      <sheetName val="Estr actual"/>
      <sheetName val="FUENTES"/>
      <sheetName val="NOMINA"/>
      <sheetName val="COMPARATIVO INDIC"/>
      <sheetName val="2021"/>
      <sheetName val="Matriz indic "/>
      <sheetName val="INDIC"/>
      <sheetName val="CONSOLIDADO"/>
      <sheetName val="320101"/>
      <sheetName val="ACCIONES 320101"/>
      <sheetName val="320102"/>
      <sheetName val="ACCIONES 320102"/>
      <sheetName val="320103"/>
      <sheetName val="ACCIONES 320103"/>
      <sheetName val="320201"/>
      <sheetName val="ACCIONES 320201"/>
      <sheetName val="320202"/>
      <sheetName val="ACCIONES 320202"/>
      <sheetName val="320203"/>
      <sheetName val="ACCIONES 320203"/>
      <sheetName val="320301"/>
      <sheetName val="ACCIONES 320301"/>
      <sheetName val="320302"/>
      <sheetName val="ACCIONES 320302"/>
      <sheetName val="320401"/>
      <sheetName val="ACCIONES 320401"/>
      <sheetName val="320501"/>
      <sheetName val="ACCIONES 320501"/>
      <sheetName val="320502"/>
      <sheetName val="ACCIONES 320502"/>
      <sheetName val="320503"/>
      <sheetName val="ACCIONES 320503"/>
      <sheetName val="320504"/>
      <sheetName val="320601"/>
      <sheetName val="ACCIONES 320601"/>
      <sheetName val="320801"/>
      <sheetName val="ACCIONES 320801"/>
      <sheetName val="329901"/>
      <sheetName val="ACCIONES 3299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H7">
            <v>92397396</v>
          </cell>
        </row>
        <row r="119">
          <cell r="G119">
            <v>2020</v>
          </cell>
          <cell r="H119">
            <v>23755585130</v>
          </cell>
        </row>
        <row r="120">
          <cell r="G120">
            <v>2021</v>
          </cell>
          <cell r="H120">
            <v>24873867190</v>
          </cell>
        </row>
        <row r="121">
          <cell r="G121">
            <v>2022</v>
          </cell>
          <cell r="H121">
            <v>27934280541</v>
          </cell>
        </row>
      </sheetData>
      <sheetData sheetId="8" refreshError="1"/>
      <sheetData sheetId="9" refreshError="1">
        <row r="7">
          <cell r="F7">
            <v>115852891</v>
          </cell>
        </row>
        <row r="15">
          <cell r="F15">
            <v>93971273</v>
          </cell>
        </row>
      </sheetData>
      <sheetData sheetId="10" refreshError="1"/>
      <sheetData sheetId="11" refreshError="1">
        <row r="7">
          <cell r="F7">
            <v>209563485.71000001</v>
          </cell>
        </row>
        <row r="13">
          <cell r="F13">
            <v>107725787.28999999</v>
          </cell>
        </row>
      </sheetData>
      <sheetData sheetId="12" refreshError="1"/>
      <sheetData sheetId="13" refreshError="1">
        <row r="7">
          <cell r="I7">
            <v>31025889.559999999</v>
          </cell>
        </row>
        <row r="9">
          <cell r="I9">
            <v>51185778</v>
          </cell>
        </row>
        <row r="11">
          <cell r="I11">
            <v>534137651.79853165</v>
          </cell>
        </row>
        <row r="21">
          <cell r="I21">
            <v>0</v>
          </cell>
        </row>
        <row r="24">
          <cell r="I24">
            <v>0</v>
          </cell>
        </row>
        <row r="29">
          <cell r="I29">
            <v>24254612.219999999</v>
          </cell>
        </row>
        <row r="31">
          <cell r="I31">
            <v>20948279</v>
          </cell>
        </row>
        <row r="33">
          <cell r="I33">
            <v>2085702731.249373</v>
          </cell>
        </row>
      </sheetData>
      <sheetData sheetId="14" refreshError="1"/>
      <sheetData sheetId="15" refreshError="1">
        <row r="7">
          <cell r="H7">
            <v>212579955.74160001</v>
          </cell>
        </row>
        <row r="10">
          <cell r="H10">
            <v>894310183</v>
          </cell>
        </row>
        <row r="12">
          <cell r="H12">
            <v>95000000</v>
          </cell>
        </row>
        <row r="14">
          <cell r="H14">
            <v>549785969.72399998</v>
          </cell>
        </row>
        <row r="16">
          <cell r="H16">
            <v>15293340</v>
          </cell>
        </row>
        <row r="18">
          <cell r="H18">
            <v>13280342</v>
          </cell>
        </row>
        <row r="20">
          <cell r="H20">
            <v>1061468969</v>
          </cell>
        </row>
        <row r="24">
          <cell r="H24">
            <v>269517539</v>
          </cell>
        </row>
        <row r="27">
          <cell r="H27">
            <v>246410033</v>
          </cell>
        </row>
        <row r="30">
          <cell r="H30">
            <v>210425038</v>
          </cell>
        </row>
      </sheetData>
      <sheetData sheetId="16" refreshError="1"/>
      <sheetData sheetId="17" refreshError="1"/>
      <sheetData sheetId="18" refreshError="1"/>
      <sheetData sheetId="19" refreshError="1">
        <row r="7">
          <cell r="H7">
            <v>120228593</v>
          </cell>
        </row>
        <row r="9">
          <cell r="H9">
            <v>339734237</v>
          </cell>
        </row>
        <row r="12">
          <cell r="H12">
            <v>182234366</v>
          </cell>
        </row>
        <row r="15">
          <cell r="H15">
            <v>297701035</v>
          </cell>
        </row>
        <row r="17">
          <cell r="H17">
            <v>189874187</v>
          </cell>
        </row>
      </sheetData>
      <sheetData sheetId="20" refreshError="1"/>
      <sheetData sheetId="21" refreshError="1">
        <row r="7">
          <cell r="I7">
            <v>2477657714.6479998</v>
          </cell>
        </row>
        <row r="9">
          <cell r="I9">
            <v>4695590813.9959993</v>
          </cell>
        </row>
        <row r="11">
          <cell r="I11">
            <v>2541158677</v>
          </cell>
        </row>
      </sheetData>
      <sheetData sheetId="22" refreshError="1"/>
      <sheetData sheetId="23" refreshError="1">
        <row r="7">
          <cell r="H7">
            <v>10394833.68</v>
          </cell>
        </row>
        <row r="9">
          <cell r="H9">
            <v>6929889.1200000001</v>
          </cell>
        </row>
        <row r="11">
          <cell r="H11">
            <v>2200000</v>
          </cell>
        </row>
        <row r="13">
          <cell r="H13">
            <v>402328070.68000001</v>
          </cell>
        </row>
        <row r="16">
          <cell r="H16">
            <v>1547935389.1877935</v>
          </cell>
        </row>
        <row r="20">
          <cell r="H20">
            <v>278658189.30325603</v>
          </cell>
        </row>
        <row r="22">
          <cell r="H22">
            <v>129513</v>
          </cell>
        </row>
      </sheetData>
      <sheetData sheetId="24" refreshError="1"/>
      <sheetData sheetId="25" refreshError="1">
        <row r="8">
          <cell r="G8">
            <v>202185481.31200001</v>
          </cell>
        </row>
        <row r="10">
          <cell r="G10">
            <v>53444144.679999992</v>
          </cell>
        </row>
      </sheetData>
      <sheetData sheetId="26" refreshError="1"/>
      <sheetData sheetId="27" refreshError="1">
        <row r="7">
          <cell r="E7">
            <v>240183338.06400001</v>
          </cell>
          <cell r="F7">
            <v>8364592</v>
          </cell>
          <cell r="G7">
            <v>146993465</v>
          </cell>
        </row>
        <row r="9">
          <cell r="E9">
            <v>100606350.936</v>
          </cell>
        </row>
      </sheetData>
      <sheetData sheetId="28" refreshError="1"/>
      <sheetData sheetId="29" refreshError="1">
        <row r="7">
          <cell r="G7">
            <v>735135069.17999995</v>
          </cell>
        </row>
        <row r="13">
          <cell r="G13">
            <v>2058749902.6599998</v>
          </cell>
        </row>
      </sheetData>
      <sheetData sheetId="30" refreshError="1"/>
      <sheetData sheetId="31" refreshError="1">
        <row r="8">
          <cell r="G8">
            <v>169562988.87599999</v>
          </cell>
        </row>
        <row r="10">
          <cell r="G10">
            <v>116484900</v>
          </cell>
          <cell r="K10">
            <v>0</v>
          </cell>
        </row>
      </sheetData>
      <sheetData sheetId="32" refreshError="1"/>
      <sheetData sheetId="33" refreshError="1"/>
      <sheetData sheetId="34" refreshError="1">
        <row r="7">
          <cell r="G7">
            <v>57750000</v>
          </cell>
        </row>
        <row r="9">
          <cell r="G9">
            <v>220000000</v>
          </cell>
        </row>
      </sheetData>
      <sheetData sheetId="35" refreshError="1"/>
      <sheetData sheetId="36" refreshError="1">
        <row r="7">
          <cell r="F7">
            <v>686501375.32879996</v>
          </cell>
        </row>
        <row r="13">
          <cell r="F13">
            <v>98069898</v>
          </cell>
          <cell r="J13">
            <v>0</v>
          </cell>
        </row>
      </sheetData>
      <sheetData sheetId="37" refreshError="1"/>
      <sheetData sheetId="38" refreshError="1">
        <row r="7">
          <cell r="G7">
            <v>352079879.85399997</v>
          </cell>
        </row>
        <row r="11">
          <cell r="G11">
            <v>20080000</v>
          </cell>
        </row>
        <row r="13">
          <cell r="G13">
            <v>44311100.141024001</v>
          </cell>
        </row>
        <row r="16">
          <cell r="G16">
            <v>31860346</v>
          </cell>
        </row>
        <row r="18">
          <cell r="G18">
            <v>467678969.39999998</v>
          </cell>
        </row>
        <row r="22">
          <cell r="G22">
            <v>277238871</v>
          </cell>
        </row>
      </sheetData>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 prop"/>
      <sheetName val="Estr actual"/>
      <sheetName val="FUENTES"/>
      <sheetName val="NOMINA"/>
      <sheetName val="COMPARATIVO INDIC"/>
      <sheetName val="2021"/>
      <sheetName val="Matriz indic "/>
      <sheetName val="INDIC"/>
      <sheetName val="CONSOLIDADO"/>
      <sheetName val="320101"/>
      <sheetName val="ACCIONES 320101"/>
      <sheetName val="320102"/>
      <sheetName val="ACCIONES 320102"/>
      <sheetName val="320103"/>
      <sheetName val="ACCIONES 320103"/>
      <sheetName val="320201"/>
      <sheetName val="ACCIONES 320201"/>
      <sheetName val="320202"/>
      <sheetName val="ACCIONES 320202"/>
      <sheetName val="320203"/>
      <sheetName val="ACCIONES 320203"/>
      <sheetName val="320301"/>
      <sheetName val="ACCIONES 320301"/>
      <sheetName val="320302"/>
      <sheetName val="ACCIONES 320302"/>
      <sheetName val="320401"/>
      <sheetName val="ACCIONES 320401"/>
      <sheetName val="320501"/>
      <sheetName val="ACCIONES 320501"/>
      <sheetName val="320502"/>
      <sheetName val="ACCIONES 320502"/>
      <sheetName val="Hoja1"/>
      <sheetName val="320503"/>
      <sheetName val="320504"/>
      <sheetName val="ACCIONES 320503"/>
      <sheetName val="320601"/>
      <sheetName val="ACCIONES 320601"/>
      <sheetName val="320801"/>
      <sheetName val="ACCIONES 320801 "/>
      <sheetName val="329901"/>
      <sheetName val="ACCIONES 3299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6">
          <cell r="N26">
            <v>23734229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 prop"/>
      <sheetName val="Estr actual"/>
      <sheetName val="FUENTES"/>
      <sheetName val="NOMINA"/>
      <sheetName val="COMPARATIVO INDIC"/>
      <sheetName val="2021"/>
      <sheetName val="Matriz indic "/>
      <sheetName val="INDIC"/>
      <sheetName val="CONSOLIDADO"/>
      <sheetName val="320101"/>
      <sheetName val="ACCIONES 320101"/>
      <sheetName val="320102"/>
      <sheetName val="ACCIONES 320102"/>
      <sheetName val="320103"/>
      <sheetName val="ACCIONES 320103"/>
      <sheetName val="320201"/>
      <sheetName val="ACCIONES 320201"/>
      <sheetName val="320202"/>
      <sheetName val="ACCIONES 320202"/>
      <sheetName val="320203"/>
      <sheetName val="ACCIONES 320203"/>
      <sheetName val="320301"/>
      <sheetName val="ACCIONES 320301"/>
      <sheetName val="320302"/>
      <sheetName val="ACCIONES 320302"/>
      <sheetName val="320401"/>
      <sheetName val="ACCIONES 320401"/>
      <sheetName val="320501"/>
      <sheetName val="ACCIONES 320501"/>
      <sheetName val="320502"/>
      <sheetName val="ACCIONES 320502"/>
      <sheetName val="320503"/>
      <sheetName val="320504"/>
      <sheetName val="ACCIONES 320503"/>
      <sheetName val="320601"/>
      <sheetName val="ACCIONES 320601"/>
      <sheetName val="320801"/>
      <sheetName val="ACCIONES 320801 "/>
      <sheetName val="329901"/>
      <sheetName val="ACCIONES 3299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32">
          <cell r="K132">
            <v>6141912.5</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sheetData sheetId="25" refreshError="1"/>
      <sheetData sheetId="26"/>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 prop"/>
      <sheetName val="Estr actual"/>
      <sheetName val="FUENTES"/>
      <sheetName val="NOMINA"/>
      <sheetName val="COMPARATIVO INDIC"/>
      <sheetName val="2021"/>
      <sheetName val="Matriz indic "/>
      <sheetName val="INDIC"/>
      <sheetName val="CONSOLIDADO"/>
      <sheetName val="320101"/>
      <sheetName val="ACCIONES 320101"/>
      <sheetName val="320102"/>
      <sheetName val="ACCIONES 320102"/>
      <sheetName val="320103"/>
      <sheetName val="ACCIONES 320103"/>
      <sheetName val="320201"/>
      <sheetName val="ACCIONES 320201"/>
      <sheetName val="320202"/>
      <sheetName val="ACCIONES 320202"/>
      <sheetName val="320203"/>
      <sheetName val="ACCIONES 320203"/>
      <sheetName val="320301"/>
      <sheetName val="ACCIONES 320301"/>
      <sheetName val="320302"/>
      <sheetName val="ACCIONES 320302"/>
      <sheetName val="320401"/>
      <sheetName val="ACCIONES 320401"/>
      <sheetName val="320501"/>
      <sheetName val="ACCIONES 320501"/>
      <sheetName val="320502"/>
      <sheetName val="ACCIONES 320502"/>
      <sheetName val="320503"/>
      <sheetName val="320504"/>
      <sheetName val="ACCIONES 320503"/>
      <sheetName val="320601"/>
      <sheetName val="ACCIONES 320601"/>
      <sheetName val="320801"/>
      <sheetName val="ACCIONES 320801 "/>
      <sheetName val="329901"/>
      <sheetName val="ACCIONES 3299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9">
          <cell r="O119">
            <v>19080000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 prop"/>
      <sheetName val="Estr actual"/>
      <sheetName val="FUENTES"/>
      <sheetName val="NOMINA"/>
      <sheetName val="COMPARATIVO INDIC"/>
      <sheetName val="2021"/>
      <sheetName val="Matriz indic "/>
      <sheetName val="INDIC"/>
      <sheetName val="RESOLUCIONES"/>
      <sheetName val="CONSOLIDADO"/>
      <sheetName val="320101"/>
      <sheetName val="ACCIONES 320101"/>
      <sheetName val="320102"/>
      <sheetName val="ACCIONES 320102"/>
      <sheetName val="320103"/>
      <sheetName val="ACCIONES 320103"/>
      <sheetName val="320201"/>
      <sheetName val="ACCIONES 320201"/>
      <sheetName val="320202"/>
      <sheetName val="ACCIONES 320202"/>
      <sheetName val="320203"/>
      <sheetName val="ACCIONES 320203"/>
      <sheetName val="320301"/>
      <sheetName val="ACCIONES 320301"/>
      <sheetName val="320302"/>
      <sheetName val="ACCIONES 320302"/>
      <sheetName val="320401"/>
      <sheetName val="ACCIONES 320401"/>
      <sheetName val="320501"/>
      <sheetName val="ACCIONES 320501"/>
      <sheetName val="320502"/>
      <sheetName val="ACCIONES 320502"/>
      <sheetName val="320503"/>
      <sheetName val="320504"/>
      <sheetName val="ACCIONES 320503"/>
      <sheetName val="320601"/>
      <sheetName val="ACCIONES 320601"/>
      <sheetName val="320801"/>
      <sheetName val="ACCIONES 320801 "/>
      <sheetName val="329901"/>
      <sheetName val="ACCIONES 329901"/>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2">
          <cell r="P22">
            <v>456380700</v>
          </cell>
        </row>
        <row r="24">
          <cell r="P24">
            <v>261040000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6.bin"/><Relationship Id="rId4" Type="http://schemas.openxmlformats.org/officeDocument/2006/relationships/comments" Target="../comments24.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5.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7.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7.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29.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0.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19"/>
  <sheetViews>
    <sheetView workbookViewId="0"/>
  </sheetViews>
  <sheetFormatPr baseColWidth="10" defaultRowHeight="15"/>
  <cols>
    <col min="2" max="2" width="35.5703125" customWidth="1"/>
    <col min="3" max="3" width="11.85546875" customWidth="1"/>
    <col min="4" max="4" width="49.42578125" customWidth="1"/>
    <col min="5" max="5" width="9.42578125" customWidth="1"/>
  </cols>
  <sheetData>
    <row r="1" spans="1:5" ht="27.75" customHeight="1" thickBot="1">
      <c r="B1" s="2253"/>
      <c r="C1" s="2253"/>
      <c r="D1" s="2253"/>
    </row>
    <row r="2" spans="1:5" ht="19.5" customHeight="1">
      <c r="A2" s="2254" t="s">
        <v>351</v>
      </c>
      <c r="B2" s="2255"/>
      <c r="C2" s="2255"/>
      <c r="D2" s="2255"/>
      <c r="E2" s="2256"/>
    </row>
    <row r="3" spans="1:5" ht="22.5" customHeight="1">
      <c r="A3" s="88" t="s">
        <v>350</v>
      </c>
      <c r="B3" s="87" t="s">
        <v>127</v>
      </c>
      <c r="C3" s="87" t="s">
        <v>350</v>
      </c>
      <c r="D3" s="87" t="s">
        <v>14</v>
      </c>
      <c r="E3" s="87" t="s">
        <v>367</v>
      </c>
    </row>
    <row r="4" spans="1:5" ht="21" customHeight="1">
      <c r="A4" s="2247">
        <v>3201</v>
      </c>
      <c r="B4" s="2257" t="s">
        <v>342</v>
      </c>
      <c r="C4" s="89">
        <v>320101</v>
      </c>
      <c r="D4" s="113" t="s">
        <v>352</v>
      </c>
      <c r="E4" s="109">
        <v>2</v>
      </c>
    </row>
    <row r="5" spans="1:5" ht="21.75" customHeight="1">
      <c r="A5" s="2248"/>
      <c r="B5" s="2258"/>
      <c r="C5" s="89">
        <v>320102</v>
      </c>
      <c r="D5" s="113" t="s">
        <v>353</v>
      </c>
      <c r="E5" s="109">
        <v>2</v>
      </c>
    </row>
    <row r="6" spans="1:5" ht="30.75" customHeight="1">
      <c r="A6" s="2249"/>
      <c r="B6" s="2259"/>
      <c r="C6" s="89">
        <v>320103</v>
      </c>
      <c r="D6" s="113" t="s">
        <v>354</v>
      </c>
      <c r="E6" s="109">
        <v>12</v>
      </c>
    </row>
    <row r="7" spans="1:5" ht="28.5">
      <c r="A7" s="2250">
        <v>3202</v>
      </c>
      <c r="B7" s="2260" t="s">
        <v>343</v>
      </c>
      <c r="C7" s="66">
        <v>320201</v>
      </c>
      <c r="D7" s="105" t="s">
        <v>355</v>
      </c>
      <c r="E7" s="110">
        <v>10</v>
      </c>
    </row>
    <row r="8" spans="1:5" ht="28.5">
      <c r="A8" s="2251"/>
      <c r="B8" s="2261"/>
      <c r="C8" s="66">
        <v>320202</v>
      </c>
      <c r="D8" s="105" t="s">
        <v>356</v>
      </c>
      <c r="E8" s="110">
        <v>3</v>
      </c>
    </row>
    <row r="9" spans="1:5" ht="42.75">
      <c r="A9" s="2252"/>
      <c r="B9" s="2262"/>
      <c r="C9" s="66">
        <v>320203</v>
      </c>
      <c r="D9" s="105" t="s">
        <v>357</v>
      </c>
      <c r="E9" s="110">
        <v>5</v>
      </c>
    </row>
    <row r="10" spans="1:5">
      <c r="A10" s="2247">
        <v>3203</v>
      </c>
      <c r="B10" s="2257" t="s">
        <v>344</v>
      </c>
      <c r="C10" s="89">
        <v>320301</v>
      </c>
      <c r="D10" s="113" t="s">
        <v>358</v>
      </c>
      <c r="E10" s="109">
        <v>3</v>
      </c>
    </row>
    <row r="11" spans="1:5">
      <c r="A11" s="2249"/>
      <c r="B11" s="2259"/>
      <c r="C11" s="89">
        <v>320302</v>
      </c>
      <c r="D11" s="113" t="s">
        <v>359</v>
      </c>
      <c r="E11" s="109">
        <v>7</v>
      </c>
    </row>
    <row r="12" spans="1:5" ht="28.5">
      <c r="A12" s="103">
        <v>3204</v>
      </c>
      <c r="B12" s="86" t="s">
        <v>345</v>
      </c>
      <c r="C12" s="66">
        <v>320401</v>
      </c>
      <c r="D12" s="105" t="s">
        <v>360</v>
      </c>
      <c r="E12" s="110">
        <v>2</v>
      </c>
    </row>
    <row r="13" spans="1:5" ht="28.5">
      <c r="A13" s="2247">
        <v>3205</v>
      </c>
      <c r="B13" s="2257" t="s">
        <v>346</v>
      </c>
      <c r="C13" s="89">
        <v>320501</v>
      </c>
      <c r="D13" s="113" t="s">
        <v>361</v>
      </c>
      <c r="E13" s="109">
        <v>2</v>
      </c>
    </row>
    <row r="14" spans="1:5" ht="28.5">
      <c r="A14" s="2248"/>
      <c r="B14" s="2258"/>
      <c r="C14" s="89">
        <v>320502</v>
      </c>
      <c r="D14" s="113" t="s">
        <v>362</v>
      </c>
      <c r="E14" s="109">
        <v>2</v>
      </c>
    </row>
    <row r="15" spans="1:5">
      <c r="A15" s="2249"/>
      <c r="B15" s="2259"/>
      <c r="C15" s="89">
        <v>320503</v>
      </c>
      <c r="D15" s="113" t="s">
        <v>363</v>
      </c>
      <c r="E15" s="109">
        <v>2</v>
      </c>
    </row>
    <row r="16" spans="1:5" ht="42.75">
      <c r="A16" s="103">
        <v>3206</v>
      </c>
      <c r="B16" s="86" t="s">
        <v>347</v>
      </c>
      <c r="C16" s="66">
        <v>320601</v>
      </c>
      <c r="D16" s="105" t="s">
        <v>364</v>
      </c>
      <c r="E16" s="110">
        <v>2</v>
      </c>
    </row>
    <row r="17" spans="1:5">
      <c r="A17" s="112">
        <v>3208</v>
      </c>
      <c r="B17" s="91" t="s">
        <v>348</v>
      </c>
      <c r="C17" s="89">
        <v>320801</v>
      </c>
      <c r="D17" s="113" t="s">
        <v>365</v>
      </c>
      <c r="E17" s="109">
        <v>2</v>
      </c>
    </row>
    <row r="18" spans="1:5" ht="42.75">
      <c r="A18" s="103">
        <v>3299</v>
      </c>
      <c r="B18" s="86" t="s">
        <v>349</v>
      </c>
      <c r="C18" s="66">
        <v>329901</v>
      </c>
      <c r="D18" s="105" t="s">
        <v>366</v>
      </c>
      <c r="E18" s="110">
        <v>6</v>
      </c>
    </row>
    <row r="19" spans="1:5" ht="16.5" thickBot="1">
      <c r="A19" s="107"/>
      <c r="B19" s="108"/>
      <c r="C19" s="108"/>
      <c r="D19" s="108"/>
      <c r="E19" s="111">
        <f>SUM(E4:E18)</f>
        <v>62</v>
      </c>
    </row>
  </sheetData>
  <mergeCells count="10">
    <mergeCell ref="A4:A6"/>
    <mergeCell ref="A7:A9"/>
    <mergeCell ref="A10:A11"/>
    <mergeCell ref="A13:A15"/>
    <mergeCell ref="B1:D1"/>
    <mergeCell ref="A2:E2"/>
    <mergeCell ref="B13:B15"/>
    <mergeCell ref="B4:B6"/>
    <mergeCell ref="B7:B9"/>
    <mergeCell ref="B10:B11"/>
  </mergeCells>
  <pageMargins left="0.70866141732283472" right="0.70866141732283472" top="0.74803149606299213" bottom="0.74803149606299213" header="0.31496062992125984" footer="0.31496062992125984"/>
  <pageSetup scale="75" orientation="landscape"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9"/>
  <sheetViews>
    <sheetView workbookViewId="0"/>
  </sheetViews>
  <sheetFormatPr baseColWidth="10" defaultRowHeight="15"/>
  <cols>
    <col min="1" max="1" width="7.5703125" customWidth="1"/>
    <col min="2" max="2" width="36.7109375" customWidth="1"/>
    <col min="3" max="3" width="10.42578125" customWidth="1"/>
    <col min="4" max="4" width="45.85546875" customWidth="1"/>
    <col min="5" max="5" width="18.42578125" hidden="1" customWidth="1"/>
  </cols>
  <sheetData>
    <row r="1" spans="1:6" ht="15.75">
      <c r="A1" s="100" t="s">
        <v>69</v>
      </c>
      <c r="B1" s="101" t="s">
        <v>13</v>
      </c>
      <c r="C1" s="101" t="s">
        <v>69</v>
      </c>
      <c r="D1" s="101" t="s">
        <v>14</v>
      </c>
      <c r="E1" s="101"/>
      <c r="F1" s="102" t="s">
        <v>372</v>
      </c>
    </row>
    <row r="2" spans="1:6" ht="62.25" customHeight="1">
      <c r="A2" s="2271">
        <v>1</v>
      </c>
      <c r="B2" s="2264" t="s">
        <v>368</v>
      </c>
      <c r="C2" s="93" t="s">
        <v>15</v>
      </c>
      <c r="D2" s="115" t="s">
        <v>125</v>
      </c>
      <c r="E2" s="116">
        <v>3980276606</v>
      </c>
      <c r="F2" s="117">
        <v>10</v>
      </c>
    </row>
    <row r="3" spans="1:6" ht="15" customHeight="1">
      <c r="A3" s="2271"/>
      <c r="B3" s="2264"/>
      <c r="C3" s="2263" t="s">
        <v>16</v>
      </c>
      <c r="D3" s="2264" t="s">
        <v>17</v>
      </c>
      <c r="E3" s="2265">
        <v>10236150965</v>
      </c>
      <c r="F3" s="2266">
        <v>8</v>
      </c>
    </row>
    <row r="4" spans="1:6" ht="24" customHeight="1">
      <c r="A4" s="2271"/>
      <c r="B4" s="2264"/>
      <c r="C4" s="2263"/>
      <c r="D4" s="2264"/>
      <c r="E4" s="2265"/>
      <c r="F4" s="2266"/>
    </row>
    <row r="5" spans="1:6" ht="15" customHeight="1">
      <c r="A5" s="2272">
        <v>2</v>
      </c>
      <c r="B5" s="2269" t="s">
        <v>369</v>
      </c>
      <c r="C5" s="2268" t="s">
        <v>18</v>
      </c>
      <c r="D5" s="2269" t="s">
        <v>19</v>
      </c>
      <c r="E5" s="2270">
        <v>300000000</v>
      </c>
      <c r="F5" s="2267">
        <v>3</v>
      </c>
    </row>
    <row r="6" spans="1:6">
      <c r="A6" s="2272"/>
      <c r="B6" s="2269"/>
      <c r="C6" s="2268"/>
      <c r="D6" s="2269"/>
      <c r="E6" s="2270"/>
      <c r="F6" s="2267"/>
    </row>
    <row r="7" spans="1:6" ht="33.75" customHeight="1">
      <c r="A7" s="2272"/>
      <c r="B7" s="2269"/>
      <c r="C7" s="89" t="s">
        <v>20</v>
      </c>
      <c r="D7" s="90" t="s">
        <v>21</v>
      </c>
      <c r="E7" s="118">
        <v>300000000</v>
      </c>
      <c r="F7" s="106">
        <v>2</v>
      </c>
    </row>
    <row r="8" spans="1:6" ht="15" customHeight="1">
      <c r="A8" s="2271">
        <v>3</v>
      </c>
      <c r="B8" s="2264" t="s">
        <v>370</v>
      </c>
      <c r="C8" s="2263" t="s">
        <v>22</v>
      </c>
      <c r="D8" s="2263" t="s">
        <v>23</v>
      </c>
      <c r="E8" s="2265">
        <v>612138303</v>
      </c>
      <c r="F8" s="2266">
        <v>4</v>
      </c>
    </row>
    <row r="9" spans="1:6">
      <c r="A9" s="2271"/>
      <c r="B9" s="2264"/>
      <c r="C9" s="2263"/>
      <c r="D9" s="2263"/>
      <c r="E9" s="2265"/>
      <c r="F9" s="2266"/>
    </row>
    <row r="10" spans="1:6">
      <c r="A10" s="2271"/>
      <c r="B10" s="2264"/>
      <c r="C10" s="2263"/>
      <c r="D10" s="2263"/>
      <c r="E10" s="2265"/>
      <c r="F10" s="2266"/>
    </row>
    <row r="11" spans="1:6" ht="28.5">
      <c r="A11" s="2271"/>
      <c r="B11" s="2264"/>
      <c r="C11" s="93" t="s">
        <v>24</v>
      </c>
      <c r="D11" s="115" t="s">
        <v>126</v>
      </c>
      <c r="E11" s="116">
        <v>1671309671</v>
      </c>
      <c r="F11" s="117">
        <v>2</v>
      </c>
    </row>
    <row r="12" spans="1:6" ht="28.5">
      <c r="A12" s="2271"/>
      <c r="B12" s="2264"/>
      <c r="C12" s="93" t="s">
        <v>25</v>
      </c>
      <c r="D12" s="115" t="s">
        <v>26</v>
      </c>
      <c r="E12" s="116">
        <v>250000000</v>
      </c>
      <c r="F12" s="117">
        <v>2</v>
      </c>
    </row>
    <row r="13" spans="1:6" ht="15" customHeight="1">
      <c r="A13" s="2272">
        <v>4</v>
      </c>
      <c r="B13" s="2269" t="s">
        <v>371</v>
      </c>
      <c r="C13" s="2268" t="s">
        <v>27</v>
      </c>
      <c r="D13" s="2269" t="s">
        <v>28</v>
      </c>
      <c r="E13" s="2270">
        <v>5862664120</v>
      </c>
      <c r="F13" s="2267">
        <v>23</v>
      </c>
    </row>
    <row r="14" spans="1:6">
      <c r="A14" s="2272"/>
      <c r="B14" s="2269"/>
      <c r="C14" s="2268"/>
      <c r="D14" s="2269"/>
      <c r="E14" s="2270"/>
      <c r="F14" s="2267"/>
    </row>
    <row r="15" spans="1:6">
      <c r="A15" s="2272"/>
      <c r="B15" s="2269"/>
      <c r="C15" s="2268"/>
      <c r="D15" s="2269"/>
      <c r="E15" s="2270"/>
      <c r="F15" s="2267"/>
    </row>
    <row r="16" spans="1:6">
      <c r="A16" s="2272"/>
      <c r="B16" s="2269"/>
      <c r="C16" s="2268"/>
      <c r="D16" s="2269"/>
      <c r="E16" s="2270"/>
      <c r="F16" s="2267"/>
    </row>
    <row r="17" spans="1:6" ht="28.5">
      <c r="A17" s="2272"/>
      <c r="B17" s="2269"/>
      <c r="C17" s="89" t="s">
        <v>29</v>
      </c>
      <c r="D17" s="90" t="s">
        <v>30</v>
      </c>
      <c r="E17" s="118">
        <v>921189222</v>
      </c>
      <c r="F17" s="106">
        <v>6</v>
      </c>
    </row>
    <row r="18" spans="1:6">
      <c r="A18" s="2272"/>
      <c r="B18" s="2269"/>
      <c r="C18" s="89" t="s">
        <v>31</v>
      </c>
      <c r="D18" s="90" t="s">
        <v>32</v>
      </c>
      <c r="E18" s="118">
        <v>740138303</v>
      </c>
      <c r="F18" s="106">
        <v>2</v>
      </c>
    </row>
    <row r="19" spans="1:6" ht="15.75" thickBot="1">
      <c r="A19" s="2273"/>
      <c r="B19" s="2274"/>
      <c r="C19" s="2274"/>
      <c r="D19" s="2275"/>
      <c r="E19" s="104">
        <f>SUM(E2:E18)</f>
        <v>24873867190</v>
      </c>
      <c r="F19" s="114">
        <f>SUM(F2:F18)</f>
        <v>62</v>
      </c>
    </row>
  </sheetData>
  <mergeCells count="25">
    <mergeCell ref="A19:D19"/>
    <mergeCell ref="B13:B18"/>
    <mergeCell ref="C13:C16"/>
    <mergeCell ref="D13:D16"/>
    <mergeCell ref="E13:E16"/>
    <mergeCell ref="A2:A4"/>
    <mergeCell ref="A5:A7"/>
    <mergeCell ref="A8:A12"/>
    <mergeCell ref="A13:A18"/>
    <mergeCell ref="B5:B7"/>
    <mergeCell ref="B8:B12"/>
    <mergeCell ref="B2:B4"/>
    <mergeCell ref="C3:C4"/>
    <mergeCell ref="D3:D4"/>
    <mergeCell ref="E3:E4"/>
    <mergeCell ref="F3:F4"/>
    <mergeCell ref="F13:F16"/>
    <mergeCell ref="C5:C6"/>
    <mergeCell ref="D5:D6"/>
    <mergeCell ref="E5:E6"/>
    <mergeCell ref="F5:F6"/>
    <mergeCell ref="C8:C10"/>
    <mergeCell ref="D8:D10"/>
    <mergeCell ref="E8:E10"/>
    <mergeCell ref="F8:F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F19"/>
  <sheetViews>
    <sheetView workbookViewId="0"/>
  </sheetViews>
  <sheetFormatPr baseColWidth="10" defaultRowHeight="15"/>
  <cols>
    <col min="1" max="1" width="16.7109375" customWidth="1"/>
    <col min="2" max="2" width="22.42578125" customWidth="1"/>
    <col min="3" max="3" width="12" customWidth="1"/>
    <col min="4" max="4" width="33.42578125" customWidth="1"/>
    <col min="5" max="5" width="111.140625" customWidth="1"/>
    <col min="6" max="6" width="15.140625" customWidth="1"/>
  </cols>
  <sheetData>
    <row r="2" spans="1:6" ht="28.5" customHeight="1">
      <c r="A2" s="319" t="s">
        <v>248</v>
      </c>
      <c r="B2" s="320" t="s">
        <v>482</v>
      </c>
      <c r="C2" s="320" t="s">
        <v>494</v>
      </c>
      <c r="D2" s="320" t="s">
        <v>479</v>
      </c>
      <c r="E2" s="320"/>
    </row>
    <row r="3" spans="1:6" ht="102.75" customHeight="1">
      <c r="A3" s="323" t="s">
        <v>202</v>
      </c>
      <c r="B3" s="318">
        <v>3628421326.533432</v>
      </c>
      <c r="C3" s="326">
        <f>+B3/B9</f>
        <v>0.11771475861587692</v>
      </c>
      <c r="D3" s="321" t="s">
        <v>483</v>
      </c>
      <c r="E3" s="321" t="s">
        <v>484</v>
      </c>
    </row>
    <row r="4" spans="1:6" ht="63" customHeight="1">
      <c r="A4" s="323" t="s">
        <v>201</v>
      </c>
      <c r="B4" s="318">
        <v>12768763433.971201</v>
      </c>
      <c r="C4" s="326">
        <f>+B4/B9</f>
        <v>0.41424955102696959</v>
      </c>
      <c r="D4" s="321" t="s">
        <v>486</v>
      </c>
      <c r="E4" s="321" t="s">
        <v>487</v>
      </c>
    </row>
    <row r="5" spans="1:6" ht="52.5" customHeight="1">
      <c r="A5" s="323" t="s">
        <v>374</v>
      </c>
      <c r="B5" s="318">
        <v>2394775619.8196483</v>
      </c>
      <c r="C5" s="326">
        <f>+B5/B9</f>
        <v>7.7692309866225648E-2</v>
      </c>
      <c r="D5" s="321" t="s">
        <v>480</v>
      </c>
      <c r="E5" s="321" t="s">
        <v>481</v>
      </c>
    </row>
    <row r="6" spans="1:6" ht="24.95" customHeight="1">
      <c r="A6" s="323" t="s">
        <v>442</v>
      </c>
      <c r="B6" s="318">
        <v>223366104.72436002</v>
      </c>
      <c r="C6" s="326">
        <f>+B6/B9</f>
        <v>7.2465363678471525E-3</v>
      </c>
      <c r="D6" s="321" t="s">
        <v>491</v>
      </c>
      <c r="E6" s="321"/>
      <c r="F6" s="269"/>
    </row>
    <row r="7" spans="1:6" ht="71.25" customHeight="1">
      <c r="A7" s="324" t="s">
        <v>492</v>
      </c>
      <c r="B7" s="2033">
        <v>9952885488.4987335</v>
      </c>
      <c r="C7" s="326">
        <f>+B7/B9</f>
        <v>0.32289566380909585</v>
      </c>
      <c r="D7" s="321" t="s">
        <v>490</v>
      </c>
      <c r="E7" s="321" t="s">
        <v>485</v>
      </c>
    </row>
    <row r="8" spans="1:6" ht="39" customHeight="1">
      <c r="A8" s="323" t="s">
        <v>232</v>
      </c>
      <c r="B8" s="318">
        <v>1855631775.5069122</v>
      </c>
      <c r="C8" s="326">
        <f>+B8/B9</f>
        <v>6.0201180313984859E-2</v>
      </c>
      <c r="D8" s="321" t="s">
        <v>489</v>
      </c>
      <c r="E8" s="321" t="s">
        <v>488</v>
      </c>
    </row>
    <row r="9" spans="1:6" ht="50.25" customHeight="1">
      <c r="A9" s="324" t="s">
        <v>468</v>
      </c>
      <c r="B9" s="1390">
        <f>SUM(B3:B8)</f>
        <v>30823843749.054287</v>
      </c>
      <c r="C9" s="325">
        <f>SUM(C3:C8)</f>
        <v>1</v>
      </c>
      <c r="D9" s="322"/>
      <c r="E9" s="322"/>
    </row>
    <row r="11" spans="1:6">
      <c r="B11" s="288"/>
      <c r="C11" s="288"/>
    </row>
    <row r="12" spans="1:6">
      <c r="D12" s="68"/>
    </row>
    <row r="13" spans="1:6">
      <c r="D13" s="68"/>
    </row>
    <row r="14" spans="1:6">
      <c r="D14" s="68"/>
    </row>
    <row r="15" spans="1:6">
      <c r="D15" s="68"/>
    </row>
    <row r="16" spans="1:6">
      <c r="D16" s="68"/>
    </row>
    <row r="17" spans="4:4">
      <c r="D17" s="68"/>
    </row>
    <row r="18" spans="4:4">
      <c r="D18" s="68"/>
    </row>
    <row r="19" spans="4:4">
      <c r="D19" s="68"/>
    </row>
  </sheetData>
  <pageMargins left="0.7" right="0.7" top="0.75" bottom="0.75" header="0.3" footer="0.3"/>
  <pageSetup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H24"/>
  <sheetViews>
    <sheetView workbookViewId="0"/>
  </sheetViews>
  <sheetFormatPr baseColWidth="10" defaultRowHeight="15"/>
  <cols>
    <col min="1" max="1" width="7.28515625" customWidth="1"/>
    <col min="2" max="2" width="14.28515625" customWidth="1"/>
    <col min="3" max="3" width="15.5703125" customWidth="1"/>
    <col min="4" max="4" width="14.7109375" customWidth="1"/>
    <col min="5" max="5" width="15" customWidth="1"/>
    <col min="8" max="8" width="15.7109375" customWidth="1"/>
  </cols>
  <sheetData>
    <row r="2" spans="1:8" ht="20.100000000000001" customHeight="1">
      <c r="A2" s="237" t="s">
        <v>69</v>
      </c>
      <c r="B2" s="238" t="s">
        <v>282</v>
      </c>
      <c r="C2" s="238" t="s">
        <v>248</v>
      </c>
      <c r="D2" s="238">
        <v>2021</v>
      </c>
      <c r="E2" s="238">
        <v>2022</v>
      </c>
      <c r="F2" s="239" t="s">
        <v>214</v>
      </c>
    </row>
    <row r="3" spans="1:8" ht="20.100000000000001" customHeight="1">
      <c r="A3" s="233">
        <v>1</v>
      </c>
      <c r="B3" s="234">
        <v>320101</v>
      </c>
      <c r="C3" s="234" t="s">
        <v>203</v>
      </c>
      <c r="D3" s="235">
        <v>80276606</v>
      </c>
      <c r="E3" s="235">
        <v>83971273</v>
      </c>
      <c r="F3" s="236">
        <f>+(E3-D3)/D3</f>
        <v>4.6024205358158765E-2</v>
      </c>
    </row>
    <row r="4" spans="1:8" ht="20.100000000000001" customHeight="1">
      <c r="A4" s="225">
        <v>2</v>
      </c>
      <c r="B4" s="226">
        <v>320102</v>
      </c>
      <c r="C4" s="226" t="s">
        <v>203</v>
      </c>
      <c r="D4" s="227">
        <v>80276606</v>
      </c>
      <c r="E4" s="227">
        <v>83971273</v>
      </c>
      <c r="F4" s="228">
        <f>+(E4-D4)/D4</f>
        <v>4.6024205358158765E-2</v>
      </c>
    </row>
    <row r="5" spans="1:8" ht="20.100000000000001" customHeight="1">
      <c r="A5" s="225">
        <v>3</v>
      </c>
      <c r="B5" s="226">
        <v>320103</v>
      </c>
      <c r="C5" s="226" t="s">
        <v>232</v>
      </c>
      <c r="D5" s="227">
        <v>679776582</v>
      </c>
      <c r="E5" s="227">
        <v>730989282</v>
      </c>
      <c r="F5" s="228">
        <f t="shared" ref="F5:F13" si="0">+(E5-D5)/D5</f>
        <v>7.533754671178125E-2</v>
      </c>
    </row>
    <row r="6" spans="1:8" ht="20.100000000000001" customHeight="1">
      <c r="A6" s="225"/>
      <c r="B6" s="229"/>
      <c r="C6" s="226" t="s">
        <v>203</v>
      </c>
      <c r="D6" s="227">
        <v>1201200840</v>
      </c>
      <c r="E6" s="227">
        <v>1307792702</v>
      </c>
      <c r="F6" s="228">
        <f t="shared" si="0"/>
        <v>8.8737751798441969E-2</v>
      </c>
      <c r="H6" s="59">
        <f>+E5+E6</f>
        <v>2038781984</v>
      </c>
    </row>
    <row r="7" spans="1:8" ht="20.100000000000001" customHeight="1">
      <c r="A7" s="225">
        <v>4</v>
      </c>
      <c r="B7" s="226">
        <v>320201</v>
      </c>
      <c r="C7" s="226" t="s">
        <v>203</v>
      </c>
      <c r="D7" s="227">
        <v>126812042</v>
      </c>
      <c r="E7" s="227">
        <v>141824283</v>
      </c>
      <c r="F7" s="228">
        <f t="shared" si="0"/>
        <v>0.11838182528438428</v>
      </c>
    </row>
    <row r="8" spans="1:8" ht="20.100000000000001" customHeight="1">
      <c r="A8" s="225">
        <v>5</v>
      </c>
      <c r="B8" s="226">
        <v>320301</v>
      </c>
      <c r="C8" s="226" t="s">
        <v>203</v>
      </c>
      <c r="D8" s="227">
        <v>222501587</v>
      </c>
      <c r="E8" s="227">
        <v>241914324</v>
      </c>
      <c r="F8" s="228">
        <f t="shared" si="0"/>
        <v>8.7247633878674319E-2</v>
      </c>
    </row>
    <row r="9" spans="1:8" ht="20.100000000000001" customHeight="1">
      <c r="A9" s="225">
        <v>6</v>
      </c>
      <c r="B9" s="226">
        <v>320501</v>
      </c>
      <c r="C9" s="226" t="s">
        <v>203</v>
      </c>
      <c r="D9" s="227">
        <v>80276606</v>
      </c>
      <c r="E9" s="227">
        <v>83971273</v>
      </c>
      <c r="F9" s="228">
        <f t="shared" si="0"/>
        <v>4.6024205358158765E-2</v>
      </c>
    </row>
    <row r="10" spans="1:8" ht="20.100000000000001" customHeight="1">
      <c r="A10" s="225">
        <v>7</v>
      </c>
      <c r="B10" s="226">
        <v>320503</v>
      </c>
      <c r="C10" s="226" t="s">
        <v>203</v>
      </c>
      <c r="D10" s="227">
        <v>54820000</v>
      </c>
      <c r="E10" s="227">
        <v>116484900</v>
      </c>
      <c r="F10" s="228">
        <f t="shared" si="0"/>
        <v>1.1248613644655234</v>
      </c>
    </row>
    <row r="11" spans="1:8" ht="20.100000000000001" customHeight="1">
      <c r="A11" s="225">
        <v>8</v>
      </c>
      <c r="B11" s="226">
        <v>320801</v>
      </c>
      <c r="C11" s="226" t="s">
        <v>203</v>
      </c>
      <c r="D11" s="227">
        <v>124157758</v>
      </c>
      <c r="E11" s="227">
        <v>83971273</v>
      </c>
      <c r="F11" s="228">
        <f t="shared" si="0"/>
        <v>-0.32367276638484405</v>
      </c>
    </row>
    <row r="12" spans="1:8" ht="20.100000000000001" customHeight="1">
      <c r="A12" s="245">
        <v>9</v>
      </c>
      <c r="B12" s="230">
        <v>329901</v>
      </c>
      <c r="C12" s="230" t="s">
        <v>203</v>
      </c>
      <c r="D12" s="231">
        <v>249206594</v>
      </c>
      <c r="E12" s="231">
        <v>274238871</v>
      </c>
      <c r="F12" s="232">
        <f t="shared" si="0"/>
        <v>0.10044789184029376</v>
      </c>
    </row>
    <row r="13" spans="1:8" ht="20.100000000000001" customHeight="1">
      <c r="A13" s="240"/>
      <c r="B13" s="241"/>
      <c r="C13" s="242" t="s">
        <v>10</v>
      </c>
      <c r="D13" s="243">
        <f>SUM(D3:D12)</f>
        <v>2899305221</v>
      </c>
      <c r="E13" s="243">
        <f>SUM(E3:E12)</f>
        <v>3149129454</v>
      </c>
      <c r="F13" s="244">
        <f t="shared" si="0"/>
        <v>8.616693102557621E-2</v>
      </c>
    </row>
    <row r="14" spans="1:8" ht="20.100000000000001" customHeight="1">
      <c r="C14" s="213"/>
      <c r="D14" s="60"/>
      <c r="E14" s="60">
        <f>+E13-D13</f>
        <v>249824233</v>
      </c>
      <c r="F14" s="224"/>
    </row>
    <row r="15" spans="1:8" ht="20.100000000000001" customHeight="1">
      <c r="C15" s="213"/>
      <c r="D15" s="60"/>
      <c r="E15" s="60"/>
      <c r="F15" s="224"/>
    </row>
    <row r="16" spans="1:8" ht="20.100000000000001" customHeight="1">
      <c r="C16" s="213"/>
      <c r="D16" s="60"/>
      <c r="E16" s="60"/>
      <c r="F16" s="224"/>
    </row>
    <row r="17" spans="3:6">
      <c r="C17" s="213"/>
      <c r="D17" s="60"/>
      <c r="E17" s="60"/>
      <c r="F17" s="224"/>
    </row>
    <row r="18" spans="3:6">
      <c r="C18" s="213"/>
      <c r="D18" s="60"/>
      <c r="E18" s="60"/>
      <c r="F18" s="224"/>
    </row>
    <row r="19" spans="3:6">
      <c r="C19" s="213"/>
      <c r="D19" s="60"/>
      <c r="E19" s="60"/>
      <c r="F19" s="224"/>
    </row>
    <row r="20" spans="3:6">
      <c r="C20" s="213"/>
      <c r="D20" s="60"/>
      <c r="E20" s="60"/>
    </row>
    <row r="21" spans="3:6">
      <c r="C21" s="213"/>
      <c r="D21" s="60"/>
      <c r="E21" s="60"/>
    </row>
    <row r="22" spans="3:6">
      <c r="D22" s="60"/>
      <c r="E22" s="60"/>
    </row>
    <row r="23" spans="3:6">
      <c r="D23" s="60"/>
      <c r="E23" s="60"/>
    </row>
    <row r="24" spans="3:6">
      <c r="D24" s="60"/>
      <c r="E24" s="60"/>
    </row>
  </sheetData>
  <pageMargins left="0.7" right="0.7" top="0.75" bottom="0.75" header="0.3" footer="0.3"/>
  <ignoredErrors>
    <ignoredError sqref="D13:E13"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G62"/>
  <sheetViews>
    <sheetView workbookViewId="0"/>
  </sheetViews>
  <sheetFormatPr baseColWidth="10" defaultRowHeight="15"/>
  <cols>
    <col min="1" max="1" width="4" customWidth="1"/>
    <col min="2" max="2" width="62.7109375" customWidth="1"/>
    <col min="3" max="3" width="13.5703125" customWidth="1"/>
    <col min="4" max="6" width="11.42578125" customWidth="1"/>
    <col min="7" max="7" width="10.85546875" customWidth="1"/>
  </cols>
  <sheetData>
    <row r="1" spans="1:7" ht="25.5">
      <c r="A1" s="35">
        <v>1</v>
      </c>
      <c r="B1" s="35" t="s">
        <v>11</v>
      </c>
      <c r="C1" s="124" t="s">
        <v>214</v>
      </c>
      <c r="D1" s="124">
        <v>100</v>
      </c>
      <c r="E1" s="124">
        <v>100</v>
      </c>
      <c r="F1" s="124">
        <v>100</v>
      </c>
      <c r="G1" s="124">
        <v>100</v>
      </c>
    </row>
    <row r="2" spans="1:7" ht="25.5">
      <c r="A2" s="32">
        <v>2</v>
      </c>
      <c r="B2" s="32" t="s">
        <v>239</v>
      </c>
      <c r="C2" s="10" t="s">
        <v>317</v>
      </c>
      <c r="D2" s="10">
        <v>1</v>
      </c>
      <c r="E2" s="10">
        <v>1</v>
      </c>
      <c r="F2" s="10">
        <v>1</v>
      </c>
      <c r="G2" s="10">
        <v>1</v>
      </c>
    </row>
    <row r="3" spans="1:7" ht="25.5">
      <c r="A3" s="35">
        <v>3</v>
      </c>
      <c r="B3" s="35" t="s">
        <v>233</v>
      </c>
      <c r="C3" s="124" t="s">
        <v>214</v>
      </c>
      <c r="D3" s="124">
        <v>100</v>
      </c>
      <c r="E3" s="124">
        <v>100</v>
      </c>
      <c r="F3" s="124">
        <v>100</v>
      </c>
      <c r="G3" s="124">
        <v>100</v>
      </c>
    </row>
    <row r="4" spans="1:7" ht="25.5">
      <c r="A4" s="32">
        <v>4</v>
      </c>
      <c r="B4" s="32" t="s">
        <v>239</v>
      </c>
      <c r="C4" s="10" t="s">
        <v>317</v>
      </c>
      <c r="D4" s="10">
        <v>1</v>
      </c>
      <c r="E4" s="10">
        <v>1</v>
      </c>
      <c r="F4" s="10">
        <v>1</v>
      </c>
      <c r="G4" s="10">
        <v>1</v>
      </c>
    </row>
    <row r="5" spans="1:7" ht="25.5">
      <c r="A5" s="35">
        <v>5</v>
      </c>
      <c r="B5" s="35" t="s">
        <v>46</v>
      </c>
      <c r="C5" s="156" t="s">
        <v>214</v>
      </c>
      <c r="D5" s="156">
        <v>100</v>
      </c>
      <c r="E5" s="156">
        <v>100</v>
      </c>
      <c r="F5" s="156">
        <v>100</v>
      </c>
      <c r="G5" s="156">
        <v>100</v>
      </c>
    </row>
    <row r="6" spans="1:7" ht="25.5">
      <c r="A6" s="32">
        <v>6</v>
      </c>
      <c r="B6" s="146" t="s">
        <v>48</v>
      </c>
      <c r="C6" s="147" t="s">
        <v>214</v>
      </c>
      <c r="D6" s="147">
        <v>100</v>
      </c>
      <c r="E6" s="147">
        <v>100</v>
      </c>
      <c r="F6" s="147">
        <v>100</v>
      </c>
      <c r="G6" s="147">
        <v>100</v>
      </c>
    </row>
    <row r="7" spans="1:7">
      <c r="A7" s="35">
        <v>7</v>
      </c>
      <c r="B7" s="35" t="s">
        <v>49</v>
      </c>
      <c r="C7" s="124" t="s">
        <v>214</v>
      </c>
      <c r="D7" s="124">
        <v>70</v>
      </c>
      <c r="E7" s="124">
        <v>80</v>
      </c>
      <c r="F7" s="124">
        <v>90</v>
      </c>
      <c r="G7" s="124">
        <v>100</v>
      </c>
    </row>
    <row r="8" spans="1:7" ht="25.5">
      <c r="A8" s="35">
        <v>8</v>
      </c>
      <c r="B8" s="35" t="s">
        <v>50</v>
      </c>
      <c r="C8" s="124"/>
      <c r="D8" s="124"/>
      <c r="E8" s="124"/>
      <c r="F8" s="124"/>
      <c r="G8" s="124"/>
    </row>
    <row r="9" spans="1:7">
      <c r="A9" s="32">
        <v>9</v>
      </c>
      <c r="B9" s="146" t="s">
        <v>51</v>
      </c>
      <c r="C9" s="147" t="s">
        <v>214</v>
      </c>
      <c r="D9" s="147">
        <v>70</v>
      </c>
      <c r="E9" s="147">
        <v>80</v>
      </c>
      <c r="F9" s="147">
        <v>80</v>
      </c>
      <c r="G9" s="147">
        <v>80</v>
      </c>
    </row>
    <row r="10" spans="1:7">
      <c r="A10" s="35">
        <v>10</v>
      </c>
      <c r="B10" s="35" t="s">
        <v>52</v>
      </c>
      <c r="C10" s="124" t="s">
        <v>214</v>
      </c>
      <c r="D10" s="124">
        <v>20</v>
      </c>
      <c r="E10" s="124">
        <v>25</v>
      </c>
      <c r="F10" s="124">
        <v>30</v>
      </c>
      <c r="G10" s="166">
        <v>35</v>
      </c>
    </row>
    <row r="11" spans="1:7" ht="38.25">
      <c r="A11" s="32">
        <v>11</v>
      </c>
      <c r="B11" s="146" t="s">
        <v>409</v>
      </c>
      <c r="C11" s="147" t="s">
        <v>210</v>
      </c>
      <c r="D11" s="147">
        <v>60</v>
      </c>
      <c r="E11" s="147">
        <v>120</v>
      </c>
      <c r="F11" s="147">
        <v>120</v>
      </c>
      <c r="G11" s="147">
        <v>120</v>
      </c>
    </row>
    <row r="12" spans="1:7">
      <c r="A12" s="32">
        <v>12</v>
      </c>
      <c r="B12" s="146" t="s">
        <v>410</v>
      </c>
      <c r="C12" s="147" t="s">
        <v>210</v>
      </c>
      <c r="D12" s="147">
        <v>1</v>
      </c>
      <c r="E12" s="147">
        <v>1</v>
      </c>
      <c r="F12" s="147">
        <v>1</v>
      </c>
      <c r="G12" s="147">
        <v>1</v>
      </c>
    </row>
    <row r="13" spans="1:7">
      <c r="A13" s="32">
        <v>13</v>
      </c>
      <c r="B13" s="146" t="s">
        <v>265</v>
      </c>
      <c r="C13" s="147" t="s">
        <v>210</v>
      </c>
      <c r="D13" s="147">
        <v>0</v>
      </c>
      <c r="E13" s="147">
        <v>1</v>
      </c>
      <c r="F13" s="147">
        <v>1</v>
      </c>
      <c r="G13" s="147">
        <v>0</v>
      </c>
    </row>
    <row r="14" spans="1:7" ht="25.5">
      <c r="A14" s="32">
        <v>14</v>
      </c>
      <c r="B14" s="146" t="s">
        <v>411</v>
      </c>
      <c r="C14" s="147" t="s">
        <v>214</v>
      </c>
      <c r="D14" s="147">
        <v>100</v>
      </c>
      <c r="E14" s="147">
        <v>100</v>
      </c>
      <c r="F14" s="147">
        <v>100</v>
      </c>
      <c r="G14" s="147">
        <v>100</v>
      </c>
    </row>
    <row r="15" spans="1:7" ht="25.5">
      <c r="A15" s="32">
        <v>15</v>
      </c>
      <c r="B15" s="146" t="s">
        <v>412</v>
      </c>
      <c r="C15" s="147" t="s">
        <v>214</v>
      </c>
      <c r="D15" s="147">
        <v>100</v>
      </c>
      <c r="E15" s="147">
        <v>100</v>
      </c>
      <c r="F15" s="147">
        <v>100</v>
      </c>
      <c r="G15" s="147">
        <v>100</v>
      </c>
    </row>
    <row r="16" spans="1:7">
      <c r="A16" s="32">
        <v>16</v>
      </c>
      <c r="B16" s="146" t="s">
        <v>38</v>
      </c>
      <c r="C16" s="147" t="s">
        <v>317</v>
      </c>
      <c r="D16" s="147">
        <v>1</v>
      </c>
      <c r="E16" s="147">
        <v>1</v>
      </c>
      <c r="F16" s="147">
        <v>1</v>
      </c>
      <c r="G16" s="147">
        <v>1</v>
      </c>
    </row>
    <row r="17" spans="1:7" ht="25.5">
      <c r="A17" s="32">
        <v>17</v>
      </c>
      <c r="B17" s="146" t="s">
        <v>205</v>
      </c>
      <c r="C17" s="147" t="s">
        <v>210</v>
      </c>
      <c r="D17" s="147">
        <v>30</v>
      </c>
      <c r="E17" s="147">
        <v>30</v>
      </c>
      <c r="F17" s="147">
        <v>30</v>
      </c>
      <c r="G17" s="147">
        <v>30</v>
      </c>
    </row>
    <row r="18" spans="1:7" ht="25.5">
      <c r="A18" s="32">
        <v>18</v>
      </c>
      <c r="B18" s="146" t="s">
        <v>33</v>
      </c>
      <c r="C18" s="147" t="s">
        <v>210</v>
      </c>
      <c r="D18" s="147">
        <v>3</v>
      </c>
      <c r="E18" s="147">
        <v>3</v>
      </c>
      <c r="F18" s="147">
        <v>3</v>
      </c>
      <c r="G18" s="147">
        <v>3</v>
      </c>
    </row>
    <row r="19" spans="1:7" ht="38.25">
      <c r="A19" s="32">
        <v>19</v>
      </c>
      <c r="B19" s="146" t="s">
        <v>211</v>
      </c>
      <c r="C19" s="147" t="s">
        <v>210</v>
      </c>
      <c r="D19" s="147">
        <v>2</v>
      </c>
      <c r="E19" s="147">
        <v>2</v>
      </c>
      <c r="F19" s="147">
        <v>2</v>
      </c>
      <c r="G19" s="147">
        <v>1</v>
      </c>
    </row>
    <row r="20" spans="1:7" ht="25.5">
      <c r="A20" s="32">
        <v>20</v>
      </c>
      <c r="B20" s="146" t="s">
        <v>213</v>
      </c>
      <c r="C20" s="147" t="s">
        <v>210</v>
      </c>
      <c r="D20" s="147">
        <v>3</v>
      </c>
      <c r="E20" s="147">
        <v>2</v>
      </c>
      <c r="F20" s="147">
        <v>1</v>
      </c>
      <c r="G20" s="147">
        <v>1</v>
      </c>
    </row>
    <row r="21" spans="1:7">
      <c r="A21" s="32">
        <v>21</v>
      </c>
      <c r="B21" s="32" t="s">
        <v>34</v>
      </c>
      <c r="C21" s="33" t="s">
        <v>214</v>
      </c>
      <c r="D21" s="147">
        <v>57</v>
      </c>
      <c r="E21" s="147">
        <v>67</v>
      </c>
      <c r="F21" s="147">
        <v>83</v>
      </c>
      <c r="G21" s="147">
        <v>100</v>
      </c>
    </row>
    <row r="22" spans="1:7" ht="25.5">
      <c r="A22" s="35">
        <v>22</v>
      </c>
      <c r="B22" s="35" t="s">
        <v>35</v>
      </c>
      <c r="C22" s="36" t="s">
        <v>214</v>
      </c>
      <c r="D22" s="37">
        <v>100</v>
      </c>
      <c r="E22" s="37">
        <v>100</v>
      </c>
      <c r="F22" s="37">
        <v>100</v>
      </c>
      <c r="G22" s="37">
        <v>100</v>
      </c>
    </row>
    <row r="23" spans="1:7" ht="25.5">
      <c r="A23" s="35">
        <v>23</v>
      </c>
      <c r="B23" s="35" t="s">
        <v>217</v>
      </c>
      <c r="C23" s="37" t="s">
        <v>214</v>
      </c>
      <c r="D23" s="38">
        <v>100</v>
      </c>
      <c r="E23" s="38">
        <v>100</v>
      </c>
      <c r="F23" s="38">
        <v>100</v>
      </c>
      <c r="G23" s="38">
        <v>100</v>
      </c>
    </row>
    <row r="24" spans="1:7" ht="25.5">
      <c r="A24" s="35">
        <v>24</v>
      </c>
      <c r="B24" s="35" t="s">
        <v>36</v>
      </c>
      <c r="C24" s="37" t="s">
        <v>214</v>
      </c>
      <c r="D24" s="38">
        <v>25</v>
      </c>
      <c r="E24" s="38">
        <v>25</v>
      </c>
      <c r="F24" s="38">
        <v>25</v>
      </c>
      <c r="G24" s="38">
        <v>25</v>
      </c>
    </row>
    <row r="25" spans="1:7" ht="25.5">
      <c r="A25" s="35">
        <v>25</v>
      </c>
      <c r="B25" s="35" t="s">
        <v>37</v>
      </c>
      <c r="C25" s="37" t="s">
        <v>214</v>
      </c>
      <c r="D25" s="38">
        <v>100</v>
      </c>
      <c r="E25" s="38">
        <v>100</v>
      </c>
      <c r="F25" s="38">
        <v>100</v>
      </c>
      <c r="G25" s="38">
        <v>100</v>
      </c>
    </row>
    <row r="26" spans="1:7">
      <c r="A26" s="32">
        <v>26</v>
      </c>
      <c r="B26" s="32" t="s">
        <v>38</v>
      </c>
      <c r="C26" s="33" t="s">
        <v>209</v>
      </c>
      <c r="D26" s="40">
        <v>1</v>
      </c>
      <c r="E26" s="40">
        <v>1</v>
      </c>
      <c r="F26" s="40">
        <v>1</v>
      </c>
      <c r="G26" s="40">
        <v>1</v>
      </c>
    </row>
    <row r="27" spans="1:7" ht="25.5">
      <c r="A27" s="32">
        <v>27</v>
      </c>
      <c r="B27" s="32" t="s">
        <v>271</v>
      </c>
      <c r="C27" s="147" t="s">
        <v>210</v>
      </c>
      <c r="D27" s="147">
        <v>1</v>
      </c>
      <c r="E27" s="147">
        <v>1</v>
      </c>
      <c r="F27" s="147">
        <v>1</v>
      </c>
      <c r="G27" s="147">
        <v>1</v>
      </c>
    </row>
    <row r="28" spans="1:7" ht="25.5">
      <c r="A28" s="148">
        <v>28</v>
      </c>
      <c r="B28" s="148" t="s">
        <v>416</v>
      </c>
      <c r="C28" s="10" t="s">
        <v>210</v>
      </c>
      <c r="D28" s="10">
        <v>1</v>
      </c>
      <c r="E28" s="10">
        <v>1</v>
      </c>
      <c r="F28" s="10">
        <v>1</v>
      </c>
      <c r="G28" s="10">
        <v>1</v>
      </c>
    </row>
    <row r="29" spans="1:7" ht="38.25">
      <c r="A29" s="148">
        <v>29</v>
      </c>
      <c r="B29" s="148" t="s">
        <v>417</v>
      </c>
      <c r="C29" s="10" t="s">
        <v>210</v>
      </c>
      <c r="D29" s="10">
        <v>1</v>
      </c>
      <c r="E29" s="10">
        <v>1</v>
      </c>
      <c r="F29" s="10">
        <v>1</v>
      </c>
      <c r="G29" s="10">
        <v>1</v>
      </c>
    </row>
    <row r="30" spans="1:7">
      <c r="A30" s="35">
        <v>30</v>
      </c>
      <c r="B30" s="35" t="s">
        <v>283</v>
      </c>
      <c r="C30" s="37" t="s">
        <v>214</v>
      </c>
      <c r="D30" s="38">
        <v>100</v>
      </c>
      <c r="E30" s="38">
        <v>100</v>
      </c>
      <c r="F30" s="38">
        <v>100</v>
      </c>
      <c r="G30" s="38">
        <v>100</v>
      </c>
    </row>
    <row r="31" spans="1:7" ht="25.5">
      <c r="A31" s="148">
        <v>31</v>
      </c>
      <c r="B31" s="148" t="s">
        <v>418</v>
      </c>
      <c r="C31" s="10" t="s">
        <v>214</v>
      </c>
      <c r="D31" s="10">
        <v>100</v>
      </c>
      <c r="E31" s="10">
        <v>100</v>
      </c>
      <c r="F31" s="10">
        <v>100</v>
      </c>
      <c r="G31" s="10">
        <v>100</v>
      </c>
    </row>
    <row r="32" spans="1:7" ht="25.5">
      <c r="A32" s="148">
        <v>32</v>
      </c>
      <c r="B32" s="148" t="s">
        <v>42</v>
      </c>
      <c r="C32" s="10" t="s">
        <v>287</v>
      </c>
      <c r="D32" s="10">
        <v>500</v>
      </c>
      <c r="E32" s="10">
        <v>300</v>
      </c>
      <c r="F32" s="10">
        <v>300</v>
      </c>
      <c r="G32" s="10">
        <v>300</v>
      </c>
    </row>
    <row r="33" spans="1:7" ht="25.5">
      <c r="A33" s="148">
        <v>33</v>
      </c>
      <c r="B33" s="148" t="s">
        <v>43</v>
      </c>
      <c r="C33" s="10" t="s">
        <v>214</v>
      </c>
      <c r="D33" s="10">
        <v>100</v>
      </c>
      <c r="E33" s="10">
        <v>100</v>
      </c>
      <c r="F33" s="10">
        <v>100</v>
      </c>
      <c r="G33" s="10">
        <v>100</v>
      </c>
    </row>
    <row r="34" spans="1:7" ht="38.25">
      <c r="A34" s="148">
        <v>34</v>
      </c>
      <c r="B34" s="148" t="s">
        <v>44</v>
      </c>
      <c r="C34" s="10" t="s">
        <v>284</v>
      </c>
      <c r="D34" s="10">
        <v>340</v>
      </c>
      <c r="E34" s="10">
        <v>500</v>
      </c>
      <c r="F34" s="10">
        <v>500</v>
      </c>
      <c r="G34" s="10">
        <v>500</v>
      </c>
    </row>
    <row r="35" spans="1:7" ht="38.25">
      <c r="A35" s="49">
        <v>35</v>
      </c>
      <c r="B35" s="49" t="s">
        <v>39</v>
      </c>
      <c r="C35" s="41" t="s">
        <v>214</v>
      </c>
      <c r="D35" s="38">
        <v>30</v>
      </c>
      <c r="E35" s="38">
        <v>36</v>
      </c>
      <c r="F35" s="38">
        <v>60</v>
      </c>
      <c r="G35" s="38">
        <v>100</v>
      </c>
    </row>
    <row r="36" spans="1:7" ht="38.25">
      <c r="A36" s="49">
        <v>36</v>
      </c>
      <c r="B36" s="49" t="s">
        <v>40</v>
      </c>
      <c r="C36" s="41" t="s">
        <v>214</v>
      </c>
      <c r="D36" s="38">
        <v>100</v>
      </c>
      <c r="E36" s="38">
        <v>100</v>
      </c>
      <c r="F36" s="38">
        <v>100</v>
      </c>
      <c r="G36" s="38">
        <v>100</v>
      </c>
    </row>
    <row r="37" spans="1:7" ht="51">
      <c r="A37" s="149">
        <v>37</v>
      </c>
      <c r="B37" s="149" t="s">
        <v>293</v>
      </c>
      <c r="C37" s="150" t="s">
        <v>210</v>
      </c>
      <c r="D37" s="150">
        <v>1</v>
      </c>
      <c r="E37" s="150">
        <v>1</v>
      </c>
      <c r="F37" s="150">
        <v>1</v>
      </c>
      <c r="G37" s="150">
        <v>1</v>
      </c>
    </row>
    <row r="38" spans="1:7" ht="25.5">
      <c r="A38" s="49">
        <v>38</v>
      </c>
      <c r="B38" s="49" t="s">
        <v>45</v>
      </c>
      <c r="C38" s="41" t="s">
        <v>214</v>
      </c>
      <c r="D38" s="38">
        <v>100</v>
      </c>
      <c r="E38" s="38">
        <v>100</v>
      </c>
      <c r="F38" s="38">
        <v>100</v>
      </c>
      <c r="G38" s="38">
        <v>100</v>
      </c>
    </row>
    <row r="39" spans="1:7" ht="25.5">
      <c r="A39" s="49">
        <v>39</v>
      </c>
      <c r="B39" s="49" t="s">
        <v>47</v>
      </c>
      <c r="C39" s="41" t="s">
        <v>214</v>
      </c>
      <c r="D39" s="38">
        <v>100</v>
      </c>
      <c r="E39" s="38">
        <v>100</v>
      </c>
      <c r="F39" s="38">
        <v>100</v>
      </c>
      <c r="G39" s="38">
        <v>100</v>
      </c>
    </row>
    <row r="40" spans="1:7" ht="25.5">
      <c r="A40" s="49">
        <v>40</v>
      </c>
      <c r="B40" s="49" t="s">
        <v>56</v>
      </c>
      <c r="C40" s="41" t="s">
        <v>214</v>
      </c>
      <c r="D40" s="38">
        <v>20</v>
      </c>
      <c r="E40" s="38">
        <v>60</v>
      </c>
      <c r="F40" s="38">
        <v>100</v>
      </c>
      <c r="G40" s="38"/>
    </row>
    <row r="41" spans="1:7" ht="25.5">
      <c r="A41" s="49">
        <v>41</v>
      </c>
      <c r="B41" s="49" t="s">
        <v>57</v>
      </c>
      <c r="C41" s="41" t="s">
        <v>214</v>
      </c>
      <c r="D41" s="38">
        <v>20</v>
      </c>
      <c r="E41" s="38">
        <v>60</v>
      </c>
      <c r="F41" s="38">
        <v>100</v>
      </c>
      <c r="G41" s="38"/>
    </row>
    <row r="42" spans="1:7" ht="25.5">
      <c r="A42" s="149">
        <v>42</v>
      </c>
      <c r="B42" s="149" t="s">
        <v>58</v>
      </c>
      <c r="C42" s="150" t="s">
        <v>210</v>
      </c>
      <c r="D42" s="150">
        <v>1</v>
      </c>
      <c r="E42" s="150">
        <v>1</v>
      </c>
      <c r="F42" s="150">
        <v>1</v>
      </c>
      <c r="G42" s="150">
        <v>1</v>
      </c>
    </row>
    <row r="43" spans="1:7" ht="25.5">
      <c r="A43" s="149">
        <v>43</v>
      </c>
      <c r="B43" s="149" t="s">
        <v>59</v>
      </c>
      <c r="C43" s="150" t="s">
        <v>210</v>
      </c>
      <c r="D43" s="150"/>
      <c r="E43" s="150"/>
      <c r="F43" s="150">
        <v>6</v>
      </c>
      <c r="G43" s="150">
        <v>7</v>
      </c>
    </row>
    <row r="44" spans="1:7" ht="25.5">
      <c r="A44" s="151">
        <v>44</v>
      </c>
      <c r="B44" s="152" t="s">
        <v>3</v>
      </c>
      <c r="C44" s="37" t="s">
        <v>214</v>
      </c>
      <c r="D44" s="37">
        <v>100</v>
      </c>
      <c r="E44" s="37">
        <v>100</v>
      </c>
      <c r="F44" s="37">
        <v>100</v>
      </c>
      <c r="G44" s="37">
        <v>100</v>
      </c>
    </row>
    <row r="45" spans="1:7" ht="25.5">
      <c r="A45" s="153">
        <v>45</v>
      </c>
      <c r="B45" s="153" t="s">
        <v>54</v>
      </c>
      <c r="C45" s="147" t="s">
        <v>214</v>
      </c>
      <c r="D45" s="154">
        <v>1</v>
      </c>
      <c r="E45" s="154">
        <v>1</v>
      </c>
      <c r="F45" s="154">
        <v>1</v>
      </c>
      <c r="G45" s="154">
        <v>1</v>
      </c>
    </row>
    <row r="46" spans="1:7" ht="25.5">
      <c r="A46" s="155">
        <v>46</v>
      </c>
      <c r="B46" s="155" t="s">
        <v>55</v>
      </c>
      <c r="C46" s="156" t="s">
        <v>214</v>
      </c>
      <c r="D46" s="157">
        <v>0.9</v>
      </c>
      <c r="E46" s="157">
        <v>0.9</v>
      </c>
      <c r="F46" s="157">
        <v>0.9</v>
      </c>
      <c r="G46" s="157">
        <v>0.9</v>
      </c>
    </row>
    <row r="47" spans="1:7" ht="51">
      <c r="A47" s="49">
        <v>47</v>
      </c>
      <c r="B47" s="49" t="s">
        <v>1</v>
      </c>
      <c r="C47" s="124" t="s">
        <v>214</v>
      </c>
      <c r="D47" s="124">
        <v>100</v>
      </c>
      <c r="E47" s="124">
        <v>100</v>
      </c>
      <c r="F47" s="124">
        <v>100</v>
      </c>
      <c r="G47" s="124">
        <v>100</v>
      </c>
    </row>
    <row r="48" spans="1:7" ht="25.5">
      <c r="A48" s="158">
        <v>48</v>
      </c>
      <c r="B48" s="158" t="s">
        <v>0</v>
      </c>
      <c r="C48" s="33" t="s">
        <v>317</v>
      </c>
      <c r="D48" s="33">
        <v>1</v>
      </c>
      <c r="E48" s="33">
        <v>1</v>
      </c>
      <c r="F48" s="33">
        <v>1</v>
      </c>
      <c r="G48" s="33">
        <v>1</v>
      </c>
    </row>
    <row r="49" spans="1:7">
      <c r="A49" s="158">
        <v>49</v>
      </c>
      <c r="B49" s="158" t="s">
        <v>425</v>
      </c>
      <c r="C49" s="33" t="s">
        <v>214</v>
      </c>
      <c r="D49" s="33">
        <v>100</v>
      </c>
      <c r="E49" s="33">
        <v>100</v>
      </c>
      <c r="F49" s="33">
        <v>100</v>
      </c>
      <c r="G49" s="33">
        <v>100</v>
      </c>
    </row>
    <row r="50" spans="1:7">
      <c r="A50" s="159">
        <v>50</v>
      </c>
      <c r="B50" s="159" t="s">
        <v>426</v>
      </c>
      <c r="C50" s="33" t="s">
        <v>214</v>
      </c>
      <c r="D50" s="33">
        <v>100</v>
      </c>
      <c r="E50" s="33">
        <v>100</v>
      </c>
      <c r="F50" s="33">
        <v>100</v>
      </c>
      <c r="G50" s="33">
        <v>100</v>
      </c>
    </row>
    <row r="51" spans="1:7" ht="25.5">
      <c r="A51" s="160">
        <v>51</v>
      </c>
      <c r="B51" s="158" t="s">
        <v>4</v>
      </c>
      <c r="C51" s="147" t="s">
        <v>428</v>
      </c>
      <c r="D51" s="10">
        <v>5</v>
      </c>
      <c r="E51" s="10">
        <v>5</v>
      </c>
      <c r="F51" s="10">
        <v>5</v>
      </c>
      <c r="G51" s="10">
        <v>5</v>
      </c>
    </row>
    <row r="52" spans="1:7" ht="25.5">
      <c r="A52" s="160">
        <v>52</v>
      </c>
      <c r="B52" s="158" t="s">
        <v>0</v>
      </c>
      <c r="C52" s="14" t="s">
        <v>317</v>
      </c>
      <c r="D52" s="8">
        <v>1</v>
      </c>
      <c r="E52" s="8">
        <v>1</v>
      </c>
      <c r="F52" s="8">
        <v>1</v>
      </c>
      <c r="G52" s="8">
        <v>1</v>
      </c>
    </row>
    <row r="53" spans="1:7" ht="38.25">
      <c r="A53" s="49">
        <v>53</v>
      </c>
      <c r="B53" s="49" t="s">
        <v>2</v>
      </c>
      <c r="C53" s="37" t="s">
        <v>214</v>
      </c>
      <c r="D53" s="37">
        <v>100</v>
      </c>
      <c r="E53" s="37">
        <v>100</v>
      </c>
      <c r="F53" s="37">
        <v>100</v>
      </c>
      <c r="G53" s="37">
        <v>100</v>
      </c>
    </row>
    <row r="54" spans="1:7" ht="38.25">
      <c r="A54" s="9">
        <v>54</v>
      </c>
      <c r="B54" s="9" t="s">
        <v>12</v>
      </c>
      <c r="C54" s="10" t="s">
        <v>214</v>
      </c>
      <c r="D54" s="10">
        <v>100</v>
      </c>
      <c r="E54" s="10">
        <v>100</v>
      </c>
      <c r="F54" s="10">
        <v>100</v>
      </c>
      <c r="G54" s="10">
        <v>100</v>
      </c>
    </row>
    <row r="55" spans="1:7">
      <c r="A55" s="12">
        <v>55</v>
      </c>
      <c r="B55" s="12" t="s">
        <v>320</v>
      </c>
      <c r="C55" s="13" t="s">
        <v>214</v>
      </c>
      <c r="D55" s="13">
        <v>100</v>
      </c>
      <c r="E55" s="13">
        <v>100</v>
      </c>
      <c r="F55" s="13">
        <v>100</v>
      </c>
      <c r="G55" s="13">
        <v>100</v>
      </c>
    </row>
    <row r="56" spans="1:7" ht="25.5">
      <c r="A56" s="161">
        <v>56</v>
      </c>
      <c r="B56" s="161" t="s">
        <v>0</v>
      </c>
      <c r="C56" s="16" t="s">
        <v>317</v>
      </c>
      <c r="D56" s="16">
        <v>1</v>
      </c>
      <c r="E56" s="16">
        <v>1</v>
      </c>
      <c r="F56" s="16">
        <v>1</v>
      </c>
      <c r="G56" s="16">
        <v>1</v>
      </c>
    </row>
    <row r="57" spans="1:7" ht="25.5">
      <c r="A57" s="162">
        <v>57</v>
      </c>
      <c r="B57" s="162" t="s">
        <v>6</v>
      </c>
      <c r="C57" s="57" t="s">
        <v>214</v>
      </c>
      <c r="D57" s="57">
        <v>25</v>
      </c>
      <c r="E57" s="57">
        <v>50</v>
      </c>
      <c r="F57" s="57">
        <v>75</v>
      </c>
      <c r="G57" s="57">
        <v>100</v>
      </c>
    </row>
    <row r="58" spans="1:7">
      <c r="A58" s="163">
        <v>58</v>
      </c>
      <c r="B58" s="163" t="s">
        <v>7</v>
      </c>
      <c r="C58" s="16" t="s">
        <v>214</v>
      </c>
      <c r="D58" s="164">
        <v>0.05</v>
      </c>
      <c r="E58" s="16">
        <v>40</v>
      </c>
      <c r="F58" s="16">
        <v>70</v>
      </c>
      <c r="G58" s="16">
        <v>100</v>
      </c>
    </row>
    <row r="59" spans="1:7" ht="25.5">
      <c r="A59" s="15">
        <v>59</v>
      </c>
      <c r="B59" s="15" t="s">
        <v>8</v>
      </c>
      <c r="C59" s="16" t="s">
        <v>214</v>
      </c>
      <c r="D59" s="16">
        <v>25</v>
      </c>
      <c r="E59" s="16">
        <v>50</v>
      </c>
      <c r="F59" s="16">
        <v>75</v>
      </c>
      <c r="G59" s="16">
        <v>100</v>
      </c>
    </row>
    <row r="60" spans="1:7" ht="25.5">
      <c r="A60" s="15">
        <v>60</v>
      </c>
      <c r="B60" s="15" t="s">
        <v>331</v>
      </c>
      <c r="C60" s="16" t="s">
        <v>214</v>
      </c>
      <c r="D60" s="16">
        <v>20</v>
      </c>
      <c r="E60" s="16">
        <v>60</v>
      </c>
      <c r="F60" s="16">
        <v>80</v>
      </c>
      <c r="G60" s="16">
        <v>100</v>
      </c>
    </row>
    <row r="61" spans="1:7" ht="25.5">
      <c r="A61" s="15">
        <v>61</v>
      </c>
      <c r="B61" s="15" t="s">
        <v>9</v>
      </c>
      <c r="C61" s="16" t="s">
        <v>214</v>
      </c>
      <c r="D61" s="16">
        <v>100</v>
      </c>
      <c r="E61" s="16">
        <v>100</v>
      </c>
      <c r="F61" s="16">
        <v>100</v>
      </c>
      <c r="G61" s="16">
        <v>100</v>
      </c>
    </row>
    <row r="62" spans="1:7" ht="25.5">
      <c r="A62" s="165">
        <v>62</v>
      </c>
      <c r="B62" s="165" t="s">
        <v>0</v>
      </c>
      <c r="C62" s="61" t="s">
        <v>317</v>
      </c>
      <c r="D62" s="61">
        <v>1</v>
      </c>
      <c r="E62" s="61">
        <v>1</v>
      </c>
      <c r="F62" s="61">
        <v>1</v>
      </c>
      <c r="G62" s="61">
        <v>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M20"/>
  <sheetViews>
    <sheetView workbookViewId="0">
      <selection sqref="A1:M1"/>
    </sheetView>
  </sheetViews>
  <sheetFormatPr baseColWidth="10" defaultRowHeight="15"/>
  <cols>
    <col min="1" max="1" width="7" customWidth="1"/>
    <col min="2" max="2" width="28.28515625" customWidth="1"/>
    <col min="3" max="3" width="11.42578125" customWidth="1"/>
    <col min="4" max="4" width="40.140625" customWidth="1"/>
    <col min="5" max="5" width="22.7109375" customWidth="1"/>
    <col min="6" max="11" width="16.7109375" customWidth="1"/>
    <col min="12" max="12" width="15.42578125" customWidth="1"/>
    <col min="13" max="13" width="20" customWidth="1"/>
    <col min="14" max="14" width="18.85546875" customWidth="1"/>
  </cols>
  <sheetData>
    <row r="1" spans="1:13">
      <c r="A1" s="2276" t="s">
        <v>175</v>
      </c>
      <c r="B1" s="2276"/>
      <c r="C1" s="2276"/>
      <c r="D1" s="2276"/>
      <c r="E1" s="2276"/>
      <c r="F1" s="2276"/>
      <c r="G1" s="2276"/>
      <c r="H1" s="2276"/>
      <c r="I1" s="2276"/>
      <c r="J1" s="2276"/>
      <c r="K1" s="2276"/>
      <c r="L1" s="2276"/>
      <c r="M1" s="2276"/>
    </row>
    <row r="2" spans="1:13" ht="27.95" customHeight="1">
      <c r="A2" s="2277" t="s">
        <v>69</v>
      </c>
      <c r="B2" s="246" t="s">
        <v>13</v>
      </c>
      <c r="C2" s="2277" t="s">
        <v>69</v>
      </c>
      <c r="D2" s="2277" t="s">
        <v>282</v>
      </c>
      <c r="E2" s="2277" t="s">
        <v>341</v>
      </c>
      <c r="F2" s="2279" t="s">
        <v>198</v>
      </c>
      <c r="G2" s="2280"/>
      <c r="H2" s="2280"/>
      <c r="I2" s="2280"/>
      <c r="J2" s="2280"/>
      <c r="K2" s="2280"/>
      <c r="L2" s="2281" t="s">
        <v>384</v>
      </c>
      <c r="M2" s="2281" t="s">
        <v>389</v>
      </c>
    </row>
    <row r="3" spans="1:13">
      <c r="A3" s="2278"/>
      <c r="B3" s="247"/>
      <c r="C3" s="2278"/>
      <c r="D3" s="2278"/>
      <c r="E3" s="2278"/>
      <c r="F3" s="133" t="s">
        <v>202</v>
      </c>
      <c r="G3" s="133" t="s">
        <v>201</v>
      </c>
      <c r="H3" s="133" t="s">
        <v>374</v>
      </c>
      <c r="I3" s="133" t="s">
        <v>442</v>
      </c>
      <c r="J3" s="133" t="s">
        <v>443</v>
      </c>
      <c r="K3" s="133" t="s">
        <v>232</v>
      </c>
      <c r="L3" s="2282"/>
      <c r="M3" s="2282"/>
    </row>
    <row r="4" spans="1:13" ht="28.5">
      <c r="A4" s="2293">
        <v>3201</v>
      </c>
      <c r="B4" s="2294" t="s">
        <v>342</v>
      </c>
      <c r="C4" s="211">
        <v>320101</v>
      </c>
      <c r="D4" s="94" t="s">
        <v>19</v>
      </c>
      <c r="E4" s="95">
        <f t="shared" ref="E4:E19" si="0">SUM(F4:K4)</f>
        <v>195582400</v>
      </c>
      <c r="F4" s="95"/>
      <c r="G4" s="95"/>
      <c r="H4" s="95"/>
      <c r="I4" s="95"/>
      <c r="J4" s="95">
        <v>195582400</v>
      </c>
      <c r="K4" s="95"/>
      <c r="L4" s="95" t="s">
        <v>385</v>
      </c>
      <c r="M4" s="95" t="s">
        <v>390</v>
      </c>
    </row>
    <row r="5" spans="1:13" ht="21" customHeight="1">
      <c r="A5" s="2293"/>
      <c r="B5" s="2294"/>
      <c r="C5" s="211">
        <v>320102</v>
      </c>
      <c r="D5" s="94" t="s">
        <v>21</v>
      </c>
      <c r="E5" s="95">
        <f t="shared" si="0"/>
        <v>300000000</v>
      </c>
      <c r="F5" s="95"/>
      <c r="G5" s="95"/>
      <c r="H5" s="95"/>
      <c r="I5" s="95"/>
      <c r="J5" s="95">
        <v>300000000</v>
      </c>
      <c r="K5" s="95"/>
      <c r="L5" s="95" t="s">
        <v>385</v>
      </c>
      <c r="M5" s="95" t="s">
        <v>391</v>
      </c>
    </row>
    <row r="6" spans="1:13" ht="42.75">
      <c r="A6" s="2293"/>
      <c r="B6" s="2294"/>
      <c r="C6" s="211">
        <v>320103</v>
      </c>
      <c r="D6" s="94" t="s">
        <v>160</v>
      </c>
      <c r="E6" s="95">
        <f t="shared" si="0"/>
        <v>3265675620</v>
      </c>
      <c r="F6" s="95"/>
      <c r="G6" s="95">
        <v>178821938</v>
      </c>
      <c r="H6" s="95"/>
      <c r="I6" s="95">
        <v>54667800</v>
      </c>
      <c r="J6" s="95">
        <v>2183006885</v>
      </c>
      <c r="K6" s="95">
        <v>849178997</v>
      </c>
      <c r="L6" s="95" t="s">
        <v>386</v>
      </c>
      <c r="M6" s="95" t="s">
        <v>402</v>
      </c>
    </row>
    <row r="7" spans="1:13" ht="42.75">
      <c r="A7" s="2268">
        <v>3202</v>
      </c>
      <c r="B7" s="2295" t="s">
        <v>343</v>
      </c>
      <c r="C7" s="209">
        <v>320201</v>
      </c>
      <c r="D7" s="208" t="s">
        <v>125</v>
      </c>
      <c r="E7" s="92">
        <f t="shared" si="0"/>
        <v>3980276607</v>
      </c>
      <c r="F7" s="92">
        <v>280000000</v>
      </c>
      <c r="G7" s="92">
        <v>3520000000</v>
      </c>
      <c r="H7" s="92"/>
      <c r="I7" s="92"/>
      <c r="J7" s="92">
        <v>180276607</v>
      </c>
      <c r="K7" s="92"/>
      <c r="L7" s="138" t="s">
        <v>385</v>
      </c>
      <c r="M7" s="138" t="s">
        <v>399</v>
      </c>
    </row>
    <row r="8" spans="1:13" ht="42.75">
      <c r="A8" s="2268"/>
      <c r="B8" s="2295"/>
      <c r="C8" s="209">
        <v>320202</v>
      </c>
      <c r="D8" s="208" t="s">
        <v>161</v>
      </c>
      <c r="E8" s="92">
        <f t="shared" si="0"/>
        <v>785789335</v>
      </c>
      <c r="F8" s="92">
        <v>41249340</v>
      </c>
      <c r="G8" s="92"/>
      <c r="H8" s="92"/>
      <c r="I8" s="92">
        <v>1272791</v>
      </c>
      <c r="J8" s="92">
        <v>682984437</v>
      </c>
      <c r="K8" s="92">
        <v>60282767</v>
      </c>
      <c r="L8" s="138" t="s">
        <v>386</v>
      </c>
      <c r="M8" s="138" t="s">
        <v>400</v>
      </c>
    </row>
    <row r="9" spans="1:13" ht="57">
      <c r="A9" s="2268"/>
      <c r="B9" s="2295"/>
      <c r="C9" s="209">
        <v>320203</v>
      </c>
      <c r="D9" s="208" t="s">
        <v>162</v>
      </c>
      <c r="E9" s="92">
        <f t="shared" si="0"/>
        <v>942906265</v>
      </c>
      <c r="F9" s="92">
        <v>1860541</v>
      </c>
      <c r="G9" s="92">
        <v>481215554</v>
      </c>
      <c r="H9" s="92"/>
      <c r="I9" s="92">
        <v>447524728</v>
      </c>
      <c r="J9" s="92">
        <v>12305442</v>
      </c>
      <c r="K9" s="92"/>
      <c r="L9" s="138" t="s">
        <v>385</v>
      </c>
      <c r="M9" s="138" t="s">
        <v>392</v>
      </c>
    </row>
    <row r="10" spans="1:13" ht="28.5">
      <c r="A10" s="2285">
        <v>3203</v>
      </c>
      <c r="B10" s="2286" t="s">
        <v>344</v>
      </c>
      <c r="C10" s="211">
        <v>320301</v>
      </c>
      <c r="D10" s="94" t="s">
        <v>17</v>
      </c>
      <c r="E10" s="96">
        <f t="shared" si="0"/>
        <v>9293244698</v>
      </c>
      <c r="F10" s="96">
        <v>1861042477</v>
      </c>
      <c r="G10" s="96">
        <v>2136784444</v>
      </c>
      <c r="H10" s="96">
        <v>2062787847</v>
      </c>
      <c r="I10" s="96"/>
      <c r="J10" s="96">
        <v>3232629930</v>
      </c>
      <c r="K10" s="96"/>
      <c r="L10" s="95" t="s">
        <v>385</v>
      </c>
      <c r="M10" s="95" t="s">
        <v>392</v>
      </c>
    </row>
    <row r="11" spans="1:13" ht="28.5">
      <c r="A11" s="2285"/>
      <c r="B11" s="2286"/>
      <c r="C11" s="211">
        <v>320302</v>
      </c>
      <c r="D11" s="97" t="s">
        <v>164</v>
      </c>
      <c r="E11" s="96">
        <f t="shared" si="0"/>
        <v>1922786223</v>
      </c>
      <c r="F11" s="96">
        <v>385524728</v>
      </c>
      <c r="G11" s="96">
        <v>1213928721</v>
      </c>
      <c r="H11" s="96">
        <v>229198650</v>
      </c>
      <c r="I11" s="96"/>
      <c r="J11" s="96">
        <v>94134124</v>
      </c>
      <c r="K11" s="96"/>
      <c r="L11" s="95" t="s">
        <v>386</v>
      </c>
      <c r="M11" s="95" t="s">
        <v>401</v>
      </c>
    </row>
    <row r="12" spans="1:13" ht="45">
      <c r="A12" s="209">
        <v>3204</v>
      </c>
      <c r="B12" s="210" t="s">
        <v>345</v>
      </c>
      <c r="C12" s="209">
        <v>320401</v>
      </c>
      <c r="D12" s="208" t="s">
        <v>165</v>
      </c>
      <c r="E12" s="92">
        <f t="shared" si="0"/>
        <v>217739488</v>
      </c>
      <c r="F12" s="92"/>
      <c r="G12" s="92"/>
      <c r="H12" s="92"/>
      <c r="I12" s="92"/>
      <c r="J12" s="92">
        <v>88571876</v>
      </c>
      <c r="K12" s="92">
        <v>129167612</v>
      </c>
      <c r="L12" s="138" t="s">
        <v>386</v>
      </c>
      <c r="M12" s="138" t="s">
        <v>403</v>
      </c>
    </row>
    <row r="13" spans="1:13" ht="42.75">
      <c r="A13" s="2287">
        <v>3205</v>
      </c>
      <c r="B13" s="2290" t="s">
        <v>346</v>
      </c>
      <c r="C13" s="211">
        <v>320501</v>
      </c>
      <c r="D13" s="94" t="s">
        <v>23</v>
      </c>
      <c r="E13" s="98">
        <f t="shared" si="0"/>
        <v>230101756</v>
      </c>
      <c r="F13" s="98"/>
      <c r="G13" s="98"/>
      <c r="H13" s="98"/>
      <c r="I13" s="98"/>
      <c r="J13" s="98">
        <v>230101756</v>
      </c>
      <c r="K13" s="98"/>
      <c r="L13" s="95" t="s">
        <v>387</v>
      </c>
      <c r="M13" s="139" t="s">
        <v>393</v>
      </c>
    </row>
    <row r="14" spans="1:13" ht="42.75">
      <c r="A14" s="2288"/>
      <c r="B14" s="2291"/>
      <c r="C14" s="211">
        <v>320502</v>
      </c>
      <c r="D14" s="94" t="s">
        <v>169</v>
      </c>
      <c r="E14" s="98">
        <f t="shared" si="0"/>
        <v>1671309671</v>
      </c>
      <c r="F14" s="98"/>
      <c r="G14" s="98">
        <v>1372171368</v>
      </c>
      <c r="H14" s="98"/>
      <c r="I14" s="98"/>
      <c r="J14" s="98">
        <v>299138303</v>
      </c>
      <c r="K14" s="98"/>
      <c r="L14" s="95" t="s">
        <v>386</v>
      </c>
      <c r="M14" s="95" t="s">
        <v>394</v>
      </c>
    </row>
    <row r="15" spans="1:13" ht="34.5" customHeight="1">
      <c r="A15" s="2288"/>
      <c r="B15" s="2291"/>
      <c r="C15" s="211">
        <v>320503</v>
      </c>
      <c r="D15" s="94" t="s">
        <v>177</v>
      </c>
      <c r="E15" s="98">
        <f t="shared" si="0"/>
        <v>250000000</v>
      </c>
      <c r="F15" s="98"/>
      <c r="G15" s="98">
        <v>150000000</v>
      </c>
      <c r="H15" s="98"/>
      <c r="I15" s="98"/>
      <c r="J15" s="98">
        <v>100000000</v>
      </c>
      <c r="K15" s="98"/>
      <c r="L15" s="95" t="s">
        <v>385</v>
      </c>
      <c r="M15" s="139" t="s">
        <v>395</v>
      </c>
    </row>
    <row r="16" spans="1:13" ht="57">
      <c r="A16" s="2289"/>
      <c r="B16" s="2292"/>
      <c r="C16" s="140">
        <v>320504</v>
      </c>
      <c r="D16" s="141" t="s">
        <v>382</v>
      </c>
      <c r="E16" s="142">
        <f t="shared" si="0"/>
        <v>0</v>
      </c>
      <c r="F16" s="142"/>
      <c r="G16" s="142"/>
      <c r="H16" s="142"/>
      <c r="I16" s="142"/>
      <c r="J16" s="142"/>
      <c r="K16" s="142"/>
      <c r="L16" s="143" t="s">
        <v>386</v>
      </c>
      <c r="M16" s="143" t="s">
        <v>394</v>
      </c>
    </row>
    <row r="17" spans="1:13" ht="63.95" customHeight="1">
      <c r="A17" s="209">
        <v>3206</v>
      </c>
      <c r="B17" s="210" t="s">
        <v>347</v>
      </c>
      <c r="C17" s="209">
        <v>320601</v>
      </c>
      <c r="D17" s="208" t="s">
        <v>166</v>
      </c>
      <c r="E17" s="92">
        <f t="shared" si="0"/>
        <v>157127600</v>
      </c>
      <c r="F17" s="92"/>
      <c r="G17" s="92"/>
      <c r="H17" s="92"/>
      <c r="I17" s="92"/>
      <c r="J17" s="92">
        <v>157127600</v>
      </c>
      <c r="K17" s="92"/>
      <c r="L17" s="138" t="s">
        <v>387</v>
      </c>
      <c r="M17" s="144" t="s">
        <v>396</v>
      </c>
    </row>
    <row r="18" spans="1:13">
      <c r="A18" s="211">
        <v>3208</v>
      </c>
      <c r="B18" s="212" t="s">
        <v>348</v>
      </c>
      <c r="C18" s="211">
        <v>320801</v>
      </c>
      <c r="D18" s="94" t="s">
        <v>32</v>
      </c>
      <c r="E18" s="98">
        <f t="shared" si="0"/>
        <v>740138303</v>
      </c>
      <c r="F18" s="98"/>
      <c r="G18" s="98"/>
      <c r="H18" s="98"/>
      <c r="I18" s="98"/>
      <c r="J18" s="98">
        <v>740138303</v>
      </c>
      <c r="K18" s="98"/>
      <c r="L18" s="95" t="s">
        <v>385</v>
      </c>
      <c r="M18" s="95" t="s">
        <v>397</v>
      </c>
    </row>
    <row r="19" spans="1:13" ht="60">
      <c r="A19" s="209">
        <v>3299</v>
      </c>
      <c r="B19" s="210" t="s">
        <v>349</v>
      </c>
      <c r="C19" s="209">
        <v>329901</v>
      </c>
      <c r="D19" s="208" t="s">
        <v>30</v>
      </c>
      <c r="E19" s="92">
        <f t="shared" si="0"/>
        <v>921189221</v>
      </c>
      <c r="F19" s="92"/>
      <c r="G19" s="92"/>
      <c r="H19" s="92"/>
      <c r="I19" s="92"/>
      <c r="J19" s="92">
        <v>749989221</v>
      </c>
      <c r="K19" s="92">
        <v>171200000</v>
      </c>
      <c r="L19" s="138" t="s">
        <v>387</v>
      </c>
      <c r="M19" s="144" t="s">
        <v>398</v>
      </c>
    </row>
    <row r="20" spans="1:13">
      <c r="A20" s="2283" t="s">
        <v>10</v>
      </c>
      <c r="B20" s="2284"/>
      <c r="C20" s="2283" t="s">
        <v>10</v>
      </c>
      <c r="D20" s="2284"/>
      <c r="E20" s="99">
        <f>SUM(E4:E19)</f>
        <v>24873867187</v>
      </c>
      <c r="F20" s="99"/>
      <c r="G20" s="99"/>
      <c r="H20" s="99"/>
      <c r="I20" s="99"/>
      <c r="J20" s="99"/>
      <c r="K20" s="99"/>
      <c r="L20" s="99"/>
      <c r="M20" s="99"/>
    </row>
  </sheetData>
  <mergeCells count="18">
    <mergeCell ref="A20:B20"/>
    <mergeCell ref="C20:D20"/>
    <mergeCell ref="A2:A3"/>
    <mergeCell ref="A10:A11"/>
    <mergeCell ref="B10:B11"/>
    <mergeCell ref="A13:A16"/>
    <mergeCell ref="B13:B16"/>
    <mergeCell ref="A4:A6"/>
    <mergeCell ref="B4:B6"/>
    <mergeCell ref="A7:A9"/>
    <mergeCell ref="B7:B9"/>
    <mergeCell ref="A1:M1"/>
    <mergeCell ref="C2:C3"/>
    <mergeCell ref="D2:D3"/>
    <mergeCell ref="E2:E3"/>
    <mergeCell ref="F2:K2"/>
    <mergeCell ref="L2:L3"/>
    <mergeCell ref="M2:M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N129"/>
  <sheetViews>
    <sheetView workbookViewId="0"/>
  </sheetViews>
  <sheetFormatPr baseColWidth="10" defaultColWidth="23" defaultRowHeight="12.75"/>
  <cols>
    <col min="1" max="1" width="4.140625" style="178" customWidth="1"/>
    <col min="2" max="2" width="4.42578125" style="1" bestFit="1" customWidth="1"/>
    <col min="3" max="3" width="43.85546875" style="3" customWidth="1"/>
    <col min="4" max="4" width="63" style="1" customWidth="1"/>
    <col min="5" max="8" width="9.140625" style="1" customWidth="1"/>
    <col min="9" max="9" width="9.140625" style="1" hidden="1" customWidth="1"/>
    <col min="10" max="16384" width="23" style="1"/>
  </cols>
  <sheetData>
    <row r="1" spans="1:9" ht="20.25">
      <c r="B1" s="2296" t="s">
        <v>168</v>
      </c>
      <c r="C1" s="2297"/>
      <c r="D1" s="2297"/>
      <c r="E1" s="2297"/>
      <c r="F1" s="2297"/>
      <c r="G1" s="2297"/>
      <c r="H1" s="2297"/>
      <c r="I1" s="2298"/>
    </row>
    <row r="2" spans="1:9" ht="23.25" customHeight="1">
      <c r="B2" s="2299" t="s">
        <v>131</v>
      </c>
      <c r="C2" s="2299"/>
      <c r="D2" s="2299"/>
      <c r="E2" s="2299"/>
      <c r="F2" s="2299"/>
      <c r="G2" s="2299"/>
      <c r="H2" s="2299"/>
      <c r="I2" s="2299"/>
    </row>
    <row r="3" spans="1:9">
      <c r="B3" s="75"/>
      <c r="C3" s="69"/>
      <c r="D3" s="75"/>
      <c r="E3" s="75"/>
      <c r="F3" s="75"/>
      <c r="G3" s="75"/>
      <c r="H3" s="75"/>
      <c r="I3" s="75"/>
    </row>
    <row r="4" spans="1:9" ht="28.5" customHeight="1">
      <c r="B4" s="2299" t="s">
        <v>130</v>
      </c>
      <c r="C4" s="2299"/>
      <c r="D4" s="2299"/>
      <c r="E4" s="2299"/>
      <c r="F4" s="2299"/>
      <c r="G4" s="2299"/>
      <c r="H4" s="2299"/>
      <c r="I4" s="2299"/>
    </row>
    <row r="5" spans="1:9" ht="33.75" customHeight="1">
      <c r="B5" s="76" t="s">
        <v>69</v>
      </c>
      <c r="C5" s="70" t="s">
        <v>62</v>
      </c>
      <c r="D5" s="70" t="s">
        <v>63</v>
      </c>
      <c r="E5" s="70" t="s">
        <v>138</v>
      </c>
      <c r="F5" s="70" t="s">
        <v>139</v>
      </c>
      <c r="G5" s="70" t="s">
        <v>140</v>
      </c>
      <c r="H5" s="70" t="s">
        <v>141</v>
      </c>
      <c r="I5" s="70" t="s">
        <v>142</v>
      </c>
    </row>
    <row r="6" spans="1:9" s="2" customFormat="1" ht="25.5">
      <c r="A6" s="910"/>
      <c r="B6" s="69">
        <v>1</v>
      </c>
      <c r="C6" s="71" t="s">
        <v>84</v>
      </c>
      <c r="D6" s="69" t="s">
        <v>11</v>
      </c>
      <c r="E6" s="72">
        <v>100</v>
      </c>
      <c r="F6" s="72">
        <v>100</v>
      </c>
      <c r="G6" s="72">
        <v>100</v>
      </c>
      <c r="H6" s="72">
        <v>100</v>
      </c>
      <c r="I6" s="72">
        <v>100</v>
      </c>
    </row>
    <row r="7" spans="1:9" s="2" customFormat="1" ht="40.5" customHeight="1">
      <c r="A7" s="910"/>
      <c r="B7" s="69">
        <v>2</v>
      </c>
      <c r="C7" s="69" t="s">
        <v>85</v>
      </c>
      <c r="D7" s="64" t="s">
        <v>0</v>
      </c>
      <c r="E7" s="69">
        <v>1</v>
      </c>
      <c r="F7" s="69">
        <v>1</v>
      </c>
      <c r="G7" s="69">
        <v>1</v>
      </c>
      <c r="H7" s="69">
        <v>1</v>
      </c>
      <c r="I7" s="69">
        <v>1</v>
      </c>
    </row>
    <row r="8" spans="1:9" ht="18.75" customHeight="1">
      <c r="B8" s="2299" t="s">
        <v>132</v>
      </c>
      <c r="C8" s="2299"/>
      <c r="D8" s="2299"/>
      <c r="E8" s="2299"/>
      <c r="F8" s="2299"/>
      <c r="G8" s="2299"/>
      <c r="H8" s="2299"/>
      <c r="I8" s="2299"/>
    </row>
    <row r="9" spans="1:9" ht="12.75" customHeight="1">
      <c r="B9" s="76" t="s">
        <v>69</v>
      </c>
      <c r="C9" s="70" t="s">
        <v>62</v>
      </c>
      <c r="D9" s="70" t="s">
        <v>63</v>
      </c>
      <c r="E9" s="70" t="s">
        <v>138</v>
      </c>
      <c r="F9" s="70" t="s">
        <v>139</v>
      </c>
      <c r="G9" s="70" t="s">
        <v>140</v>
      </c>
      <c r="H9" s="70" t="s">
        <v>141</v>
      </c>
      <c r="I9" s="70" t="s">
        <v>142</v>
      </c>
    </row>
    <row r="10" spans="1:9" s="2" customFormat="1" ht="25.5">
      <c r="A10" s="910"/>
      <c r="B10" s="69">
        <v>3</v>
      </c>
      <c r="C10" s="71" t="s">
        <v>86</v>
      </c>
      <c r="D10" s="69" t="s">
        <v>148</v>
      </c>
      <c r="E10" s="69">
        <v>100</v>
      </c>
      <c r="F10" s="69">
        <v>100</v>
      </c>
      <c r="G10" s="69">
        <v>100</v>
      </c>
      <c r="H10" s="69">
        <v>100</v>
      </c>
      <c r="I10" s="69">
        <v>100</v>
      </c>
    </row>
    <row r="11" spans="1:9" ht="38.25">
      <c r="B11" s="69">
        <v>4</v>
      </c>
      <c r="C11" s="69" t="s">
        <v>5</v>
      </c>
      <c r="D11" s="64" t="s">
        <v>0</v>
      </c>
      <c r="E11" s="69">
        <v>1</v>
      </c>
      <c r="F11" s="69">
        <v>1</v>
      </c>
      <c r="G11" s="69">
        <v>1</v>
      </c>
      <c r="H11" s="69">
        <v>1</v>
      </c>
      <c r="I11" s="69">
        <v>1</v>
      </c>
    </row>
    <row r="12" spans="1:9" ht="23.25" customHeight="1">
      <c r="B12" s="2299" t="s">
        <v>153</v>
      </c>
      <c r="C12" s="2299"/>
      <c r="D12" s="2299"/>
      <c r="E12" s="2299"/>
      <c r="F12" s="2299"/>
      <c r="G12" s="2299"/>
      <c r="H12" s="2299"/>
      <c r="I12" s="2299"/>
    </row>
    <row r="13" spans="1:9" ht="33.75" customHeight="1">
      <c r="B13" s="76" t="s">
        <v>69</v>
      </c>
      <c r="C13" s="70" t="s">
        <v>62</v>
      </c>
      <c r="D13" s="70" t="s">
        <v>63</v>
      </c>
      <c r="E13" s="70" t="s">
        <v>138</v>
      </c>
      <c r="F13" s="70" t="s">
        <v>139</v>
      </c>
      <c r="G13" s="70" t="s">
        <v>140</v>
      </c>
      <c r="H13" s="70" t="s">
        <v>141</v>
      </c>
      <c r="I13" s="70" t="s">
        <v>142</v>
      </c>
    </row>
    <row r="14" spans="1:9" ht="38.25">
      <c r="B14" s="71">
        <v>5</v>
      </c>
      <c r="C14" s="69" t="s">
        <v>95</v>
      </c>
      <c r="D14" s="69" t="s">
        <v>46</v>
      </c>
      <c r="E14" s="69">
        <v>100</v>
      </c>
      <c r="F14" s="69">
        <v>100</v>
      </c>
      <c r="G14" s="69">
        <v>100</v>
      </c>
      <c r="H14" s="69">
        <v>100</v>
      </c>
      <c r="I14" s="69">
        <v>100</v>
      </c>
    </row>
    <row r="15" spans="1:9" ht="38.25">
      <c r="B15" s="71">
        <v>6</v>
      </c>
      <c r="C15" s="69" t="s">
        <v>97</v>
      </c>
      <c r="D15" s="69" t="s">
        <v>48</v>
      </c>
      <c r="E15" s="69">
        <v>100</v>
      </c>
      <c r="F15" s="69">
        <v>100</v>
      </c>
      <c r="G15" s="69">
        <v>100</v>
      </c>
      <c r="H15" s="69">
        <v>100</v>
      </c>
      <c r="I15" s="69">
        <v>100</v>
      </c>
    </row>
    <row r="16" spans="1:9" ht="19.5" customHeight="1">
      <c r="B16" s="71">
        <v>7</v>
      </c>
      <c r="C16" s="69" t="s">
        <v>98</v>
      </c>
      <c r="D16" s="69" t="s">
        <v>49</v>
      </c>
      <c r="E16" s="69">
        <v>70</v>
      </c>
      <c r="F16" s="69">
        <v>80</v>
      </c>
      <c r="G16" s="69">
        <v>90</v>
      </c>
      <c r="H16" s="69">
        <v>100</v>
      </c>
      <c r="I16" s="69">
        <v>100</v>
      </c>
    </row>
    <row r="17" spans="2:9" ht="38.25">
      <c r="B17" s="71">
        <v>8</v>
      </c>
      <c r="C17" s="69" t="s">
        <v>99</v>
      </c>
      <c r="D17" s="69" t="s">
        <v>50</v>
      </c>
      <c r="E17" s="69">
        <v>60</v>
      </c>
      <c r="F17" s="69">
        <v>60</v>
      </c>
      <c r="G17" s="69">
        <v>60</v>
      </c>
      <c r="H17" s="69">
        <v>60</v>
      </c>
      <c r="I17" s="69">
        <v>60</v>
      </c>
    </row>
    <row r="18" spans="2:9" ht="25.5">
      <c r="B18" s="71">
        <v>9</v>
      </c>
      <c r="C18" s="69" t="s">
        <v>100</v>
      </c>
      <c r="D18" s="69" t="s">
        <v>51</v>
      </c>
      <c r="E18" s="69">
        <v>70</v>
      </c>
      <c r="F18" s="69">
        <v>80</v>
      </c>
      <c r="G18" s="69">
        <v>80</v>
      </c>
      <c r="H18" s="69">
        <v>80</v>
      </c>
      <c r="I18" s="69">
        <v>80</v>
      </c>
    </row>
    <row r="19" spans="2:9" ht="19.5" customHeight="1">
      <c r="B19" s="71">
        <v>10</v>
      </c>
      <c r="C19" s="69" t="s">
        <v>101</v>
      </c>
      <c r="D19" s="69" t="s">
        <v>52</v>
      </c>
      <c r="E19" s="69">
        <v>20</v>
      </c>
      <c r="F19" s="69">
        <v>25</v>
      </c>
      <c r="G19" s="69">
        <v>30</v>
      </c>
      <c r="H19" s="69">
        <v>35</v>
      </c>
      <c r="I19" s="69">
        <v>35</v>
      </c>
    </row>
    <row r="20" spans="2:9" ht="51.75" customHeight="1">
      <c r="B20" s="71">
        <v>11</v>
      </c>
      <c r="C20" s="69" t="s">
        <v>103</v>
      </c>
      <c r="D20" s="69" t="s">
        <v>143</v>
      </c>
      <c r="E20" s="69">
        <v>60</v>
      </c>
      <c r="F20" s="69">
        <v>120</v>
      </c>
      <c r="G20" s="69">
        <v>120</v>
      </c>
      <c r="H20" s="69">
        <v>120</v>
      </c>
      <c r="I20" s="69">
        <v>420</v>
      </c>
    </row>
    <row r="21" spans="2:9" ht="39" customHeight="1">
      <c r="B21" s="71">
        <v>12</v>
      </c>
      <c r="C21" s="69" t="s">
        <v>104</v>
      </c>
      <c r="D21" s="69" t="s">
        <v>144</v>
      </c>
      <c r="E21" s="69">
        <v>1</v>
      </c>
      <c r="F21" s="69">
        <v>1</v>
      </c>
      <c r="G21" s="69">
        <v>1</v>
      </c>
      <c r="H21" s="69">
        <v>1</v>
      </c>
      <c r="I21" s="69">
        <v>1</v>
      </c>
    </row>
    <row r="22" spans="2:9" ht="25.5">
      <c r="B22" s="71">
        <v>13</v>
      </c>
      <c r="C22" s="69" t="s">
        <v>145</v>
      </c>
      <c r="D22" s="69" t="s">
        <v>53</v>
      </c>
      <c r="E22" s="69">
        <v>0</v>
      </c>
      <c r="F22" s="69">
        <v>1</v>
      </c>
      <c r="G22" s="69">
        <v>1</v>
      </c>
      <c r="H22" s="69">
        <v>0</v>
      </c>
      <c r="I22" s="69">
        <v>2</v>
      </c>
    </row>
    <row r="23" spans="2:9" ht="25.5">
      <c r="B23" s="71">
        <v>14</v>
      </c>
      <c r="C23" s="69" t="s">
        <v>105</v>
      </c>
      <c r="D23" s="69" t="s">
        <v>146</v>
      </c>
      <c r="E23" s="69">
        <v>100</v>
      </c>
      <c r="F23" s="69">
        <v>100</v>
      </c>
      <c r="G23" s="69">
        <v>100</v>
      </c>
      <c r="H23" s="69">
        <v>100</v>
      </c>
      <c r="I23" s="69">
        <v>100</v>
      </c>
    </row>
    <row r="24" spans="2:9" ht="25.5">
      <c r="B24" s="71">
        <v>15</v>
      </c>
      <c r="C24" s="69" t="s">
        <v>106</v>
      </c>
      <c r="D24" s="69" t="s">
        <v>147</v>
      </c>
      <c r="E24" s="69">
        <v>100</v>
      </c>
      <c r="F24" s="69">
        <v>100</v>
      </c>
      <c r="G24" s="69">
        <v>100</v>
      </c>
      <c r="H24" s="69">
        <v>100</v>
      </c>
      <c r="I24" s="69">
        <v>100</v>
      </c>
    </row>
    <row r="25" spans="2:9" ht="25.5">
      <c r="B25" s="73">
        <v>16</v>
      </c>
      <c r="C25" s="74" t="s">
        <v>38</v>
      </c>
      <c r="D25" s="64" t="s">
        <v>0</v>
      </c>
      <c r="E25" s="69">
        <v>1</v>
      </c>
      <c r="F25" s="69">
        <f>+E25</f>
        <v>1</v>
      </c>
      <c r="G25" s="69">
        <f>+F25</f>
        <v>1</v>
      </c>
      <c r="H25" s="69">
        <f>+G25</f>
        <v>1</v>
      </c>
      <c r="I25" s="69">
        <v>1</v>
      </c>
    </row>
    <row r="26" spans="2:9" ht="23.25" customHeight="1">
      <c r="B26" s="2304" t="s">
        <v>167</v>
      </c>
      <c r="C26" s="2304"/>
      <c r="D26" s="2304"/>
      <c r="E26" s="2304"/>
      <c r="F26" s="2304"/>
      <c r="G26" s="2304"/>
      <c r="H26" s="2304"/>
      <c r="I26" s="2304"/>
    </row>
    <row r="27" spans="2:9">
      <c r="B27" s="77"/>
      <c r="C27" s="71"/>
      <c r="D27" s="77"/>
      <c r="E27" s="77"/>
      <c r="F27" s="77"/>
      <c r="G27" s="77"/>
      <c r="H27" s="77"/>
      <c r="I27" s="77"/>
    </row>
    <row r="28" spans="2:9" ht="26.25" customHeight="1">
      <c r="B28" s="2304" t="s">
        <v>155</v>
      </c>
      <c r="C28" s="2304"/>
      <c r="D28" s="2304"/>
      <c r="E28" s="2304"/>
      <c r="F28" s="2304"/>
      <c r="G28" s="2304"/>
      <c r="H28" s="2304"/>
      <c r="I28" s="2304"/>
    </row>
    <row r="29" spans="2:9" ht="12.75" customHeight="1">
      <c r="B29" s="76" t="s">
        <v>69</v>
      </c>
      <c r="C29" s="70" t="s">
        <v>62</v>
      </c>
      <c r="D29" s="70" t="s">
        <v>63</v>
      </c>
      <c r="E29" s="70" t="s">
        <v>138</v>
      </c>
      <c r="F29" s="70" t="s">
        <v>139</v>
      </c>
      <c r="G29" s="70" t="s">
        <v>140</v>
      </c>
      <c r="H29" s="70" t="s">
        <v>141</v>
      </c>
      <c r="I29" s="70" t="s">
        <v>142</v>
      </c>
    </row>
    <row r="30" spans="2:9" ht="25.5">
      <c r="B30" s="71">
        <v>17</v>
      </c>
      <c r="C30" s="69" t="s">
        <v>64</v>
      </c>
      <c r="D30" s="69" t="s">
        <v>65</v>
      </c>
      <c r="E30" s="69">
        <v>30</v>
      </c>
      <c r="F30" s="69">
        <v>30</v>
      </c>
      <c r="G30" s="69">
        <v>30</v>
      </c>
      <c r="H30" s="69">
        <v>30</v>
      </c>
      <c r="I30" s="69">
        <v>120</v>
      </c>
    </row>
    <row r="31" spans="2:9" ht="38.25">
      <c r="B31" s="71">
        <v>18</v>
      </c>
      <c r="C31" s="69" t="s">
        <v>66</v>
      </c>
      <c r="D31" s="69" t="s">
        <v>33</v>
      </c>
      <c r="E31" s="69">
        <v>3</v>
      </c>
      <c r="F31" s="69">
        <v>3</v>
      </c>
      <c r="G31" s="69">
        <v>3</v>
      </c>
      <c r="H31" s="69">
        <v>3</v>
      </c>
      <c r="I31" s="69">
        <v>3</v>
      </c>
    </row>
    <row r="32" spans="2:9" ht="51">
      <c r="B32" s="71">
        <v>19</v>
      </c>
      <c r="C32" s="69" t="s">
        <v>67</v>
      </c>
      <c r="D32" s="69" t="s">
        <v>149</v>
      </c>
      <c r="E32" s="69">
        <v>2</v>
      </c>
      <c r="F32" s="69">
        <v>2</v>
      </c>
      <c r="G32" s="69">
        <v>2</v>
      </c>
      <c r="H32" s="69">
        <v>1</v>
      </c>
      <c r="I32" s="69">
        <v>7</v>
      </c>
    </row>
    <row r="33" spans="1:14" ht="51">
      <c r="B33" s="71">
        <v>20</v>
      </c>
      <c r="C33" s="69" t="s">
        <v>68</v>
      </c>
      <c r="D33" s="69" t="s">
        <v>150</v>
      </c>
      <c r="E33" s="911">
        <v>3</v>
      </c>
      <c r="F33" s="911">
        <v>2</v>
      </c>
      <c r="G33" s="911">
        <v>1</v>
      </c>
      <c r="H33" s="911">
        <v>1</v>
      </c>
      <c r="I33" s="911">
        <v>7</v>
      </c>
      <c r="N33" s="255"/>
    </row>
    <row r="34" spans="1:14" ht="25.5">
      <c r="B34" s="71">
        <v>21</v>
      </c>
      <c r="C34" s="69" t="s">
        <v>70</v>
      </c>
      <c r="D34" s="69" t="s">
        <v>34</v>
      </c>
      <c r="E34" s="69">
        <v>57</v>
      </c>
      <c r="F34" s="69">
        <v>67</v>
      </c>
      <c r="G34" s="69">
        <v>83</v>
      </c>
      <c r="H34" s="69">
        <v>100</v>
      </c>
      <c r="I34" s="69">
        <v>100</v>
      </c>
      <c r="J34"/>
      <c r="K34"/>
      <c r="L34"/>
      <c r="M34"/>
      <c r="N34"/>
    </row>
    <row r="35" spans="1:14" ht="25.5">
      <c r="B35" s="71">
        <v>22</v>
      </c>
      <c r="C35" s="69" t="s">
        <v>71</v>
      </c>
      <c r="D35" s="69" t="s">
        <v>35</v>
      </c>
      <c r="E35" s="69">
        <v>100</v>
      </c>
      <c r="F35" s="69">
        <v>100</v>
      </c>
      <c r="G35" s="69">
        <v>100</v>
      </c>
      <c r="H35" s="69">
        <v>100</v>
      </c>
      <c r="I35" s="69">
        <v>100</v>
      </c>
    </row>
    <row r="36" spans="1:14" ht="25.5">
      <c r="B36" s="71">
        <v>23</v>
      </c>
      <c r="C36" s="69" t="s">
        <v>72</v>
      </c>
      <c r="D36" s="69" t="s">
        <v>73</v>
      </c>
      <c r="E36" s="69">
        <v>100</v>
      </c>
      <c r="F36" s="69">
        <v>100</v>
      </c>
      <c r="G36" s="69">
        <v>100</v>
      </c>
      <c r="H36" s="69">
        <v>100</v>
      </c>
      <c r="I36" s="69">
        <v>100</v>
      </c>
    </row>
    <row r="37" spans="1:14" ht="27.75" customHeight="1">
      <c r="B37" s="71">
        <v>24</v>
      </c>
      <c r="C37" s="72" t="s">
        <v>74</v>
      </c>
      <c r="D37" s="69" t="s">
        <v>36</v>
      </c>
      <c r="E37" s="69">
        <v>25</v>
      </c>
      <c r="F37" s="69">
        <v>25</v>
      </c>
      <c r="G37" s="69">
        <v>25</v>
      </c>
      <c r="H37" s="69">
        <v>25</v>
      </c>
      <c r="I37" s="69">
        <v>100</v>
      </c>
    </row>
    <row r="38" spans="1:14" ht="25.5">
      <c r="B38" s="71">
        <v>25</v>
      </c>
      <c r="C38" s="69" t="s">
        <v>75</v>
      </c>
      <c r="D38" s="69" t="s">
        <v>37</v>
      </c>
      <c r="E38" s="69">
        <v>100</v>
      </c>
      <c r="F38" s="69">
        <v>100</v>
      </c>
      <c r="G38" s="69">
        <v>100</v>
      </c>
      <c r="H38" s="69">
        <v>100</v>
      </c>
      <c r="I38" s="69">
        <v>100</v>
      </c>
    </row>
    <row r="39" spans="1:14" ht="25.5">
      <c r="B39" s="71">
        <v>26</v>
      </c>
      <c r="C39" s="74" t="s">
        <v>38</v>
      </c>
      <c r="D39" s="64" t="s">
        <v>0</v>
      </c>
      <c r="E39" s="69">
        <v>1</v>
      </c>
      <c r="F39" s="69">
        <f>+E39</f>
        <v>1</v>
      </c>
      <c r="G39" s="69">
        <f>+F39</f>
        <v>1</v>
      </c>
      <c r="H39" s="69">
        <f>+G39</f>
        <v>1</v>
      </c>
      <c r="I39" s="69">
        <v>1</v>
      </c>
    </row>
    <row r="40" spans="1:14" ht="27" customHeight="1">
      <c r="B40" s="2304" t="s">
        <v>151</v>
      </c>
      <c r="C40" s="2304"/>
      <c r="D40" s="2304"/>
      <c r="E40" s="2304"/>
      <c r="F40" s="2304"/>
      <c r="G40" s="2304"/>
      <c r="H40" s="2304"/>
      <c r="I40" s="2304"/>
    </row>
    <row r="41" spans="1:14" ht="12.75" customHeight="1">
      <c r="B41" s="76" t="s">
        <v>69</v>
      </c>
      <c r="C41" s="70" t="s">
        <v>62</v>
      </c>
      <c r="D41" s="70" t="s">
        <v>63</v>
      </c>
      <c r="E41" s="70" t="s">
        <v>138</v>
      </c>
      <c r="F41" s="70" t="s">
        <v>139</v>
      </c>
      <c r="G41" s="70" t="s">
        <v>140</v>
      </c>
      <c r="H41" s="70" t="s">
        <v>141</v>
      </c>
      <c r="I41" s="70" t="s">
        <v>142</v>
      </c>
    </row>
    <row r="42" spans="1:14" ht="38.25">
      <c r="B42" s="71">
        <v>27</v>
      </c>
      <c r="C42" s="69" t="s">
        <v>102</v>
      </c>
      <c r="D42" s="69" t="s">
        <v>133</v>
      </c>
      <c r="E42" s="69">
        <v>1</v>
      </c>
      <c r="F42" s="69">
        <v>1</v>
      </c>
      <c r="G42" s="69">
        <v>1</v>
      </c>
      <c r="H42" s="69">
        <v>1</v>
      </c>
      <c r="I42" s="69">
        <v>1</v>
      </c>
    </row>
    <row r="43" spans="1:14" ht="44.25" customHeight="1">
      <c r="B43" s="71">
        <v>28</v>
      </c>
      <c r="C43" s="69" t="s">
        <v>135</v>
      </c>
      <c r="D43" s="69" t="s">
        <v>134</v>
      </c>
      <c r="E43" s="69">
        <v>1</v>
      </c>
      <c r="F43" s="69">
        <v>1</v>
      </c>
      <c r="G43" s="69">
        <v>1</v>
      </c>
      <c r="H43" s="69">
        <v>1</v>
      </c>
      <c r="I43" s="69">
        <v>1</v>
      </c>
    </row>
    <row r="44" spans="1:14" ht="51">
      <c r="B44" s="71">
        <v>29</v>
      </c>
      <c r="C44" s="69" t="s">
        <v>136</v>
      </c>
      <c r="D44" s="69" t="s">
        <v>137</v>
      </c>
      <c r="E44" s="69">
        <v>1</v>
      </c>
      <c r="F44" s="69">
        <v>1</v>
      </c>
      <c r="G44" s="69">
        <v>1</v>
      </c>
      <c r="H44" s="69">
        <v>1</v>
      </c>
      <c r="I44" s="69">
        <v>1</v>
      </c>
    </row>
    <row r="45" spans="1:14" ht="31.5" customHeight="1">
      <c r="B45" s="2304" t="s">
        <v>163</v>
      </c>
      <c r="C45" s="2304"/>
      <c r="D45" s="2304"/>
      <c r="E45" s="2304"/>
      <c r="F45" s="2304"/>
      <c r="G45" s="2304"/>
      <c r="H45" s="2304"/>
      <c r="I45" s="2304"/>
    </row>
    <row r="46" spans="1:14">
      <c r="B46" s="77"/>
      <c r="C46" s="71"/>
      <c r="D46" s="77"/>
      <c r="E46" s="77"/>
      <c r="F46" s="77"/>
      <c r="G46" s="77"/>
      <c r="H46" s="77"/>
      <c r="I46" s="77"/>
    </row>
    <row r="47" spans="1:14" ht="12.75" customHeight="1">
      <c r="B47" s="76" t="s">
        <v>69</v>
      </c>
      <c r="C47" s="70" t="s">
        <v>62</v>
      </c>
      <c r="D47" s="70" t="s">
        <v>63</v>
      </c>
      <c r="E47" s="70" t="s">
        <v>152</v>
      </c>
      <c r="F47" s="70" t="s">
        <v>139</v>
      </c>
      <c r="G47" s="70" t="s">
        <v>140</v>
      </c>
      <c r="H47" s="70" t="s">
        <v>141</v>
      </c>
      <c r="I47" s="70" t="s">
        <v>142</v>
      </c>
    </row>
    <row r="48" spans="1:14" s="2" customFormat="1" ht="30.75" customHeight="1">
      <c r="A48" s="910"/>
      <c r="B48" s="69">
        <v>30</v>
      </c>
      <c r="C48" s="69" t="s">
        <v>154</v>
      </c>
      <c r="D48" s="69" t="s">
        <v>78</v>
      </c>
      <c r="E48" s="69">
        <v>100</v>
      </c>
      <c r="F48" s="69">
        <v>100</v>
      </c>
      <c r="G48" s="69">
        <v>100</v>
      </c>
      <c r="H48" s="69">
        <v>100</v>
      </c>
      <c r="I48" s="69">
        <v>100</v>
      </c>
    </row>
    <row r="49" spans="1:9" s="2" customFormat="1" ht="25.5">
      <c r="A49" s="910"/>
      <c r="B49" s="69">
        <v>31</v>
      </c>
      <c r="C49" s="72" t="s">
        <v>79</v>
      </c>
      <c r="D49" s="69" t="s">
        <v>60</v>
      </c>
      <c r="E49" s="69">
        <v>100</v>
      </c>
      <c r="F49" s="69">
        <v>100</v>
      </c>
      <c r="G49" s="69">
        <v>100</v>
      </c>
      <c r="H49" s="69">
        <v>100</v>
      </c>
      <c r="I49" s="69">
        <v>100</v>
      </c>
    </row>
    <row r="50" spans="1:9" s="2" customFormat="1" ht="25.5">
      <c r="A50" s="910"/>
      <c r="B50" s="69">
        <v>32</v>
      </c>
      <c r="C50" s="72" t="s">
        <v>80</v>
      </c>
      <c r="D50" s="69" t="s">
        <v>42</v>
      </c>
      <c r="E50" s="69">
        <v>500</v>
      </c>
      <c r="F50" s="69">
        <v>300</v>
      </c>
      <c r="G50" s="69">
        <v>300</v>
      </c>
      <c r="H50" s="69">
        <v>300</v>
      </c>
      <c r="I50" s="69">
        <v>1400</v>
      </c>
    </row>
    <row r="51" spans="1:9" s="2" customFormat="1" ht="38.25" customHeight="1">
      <c r="A51" s="910"/>
      <c r="B51" s="69">
        <v>33</v>
      </c>
      <c r="C51" s="72" t="s">
        <v>81</v>
      </c>
      <c r="D51" s="69" t="s">
        <v>43</v>
      </c>
      <c r="E51" s="69">
        <v>100</v>
      </c>
      <c r="F51" s="69">
        <v>100</v>
      </c>
      <c r="G51" s="69">
        <v>100</v>
      </c>
      <c r="H51" s="69">
        <v>100</v>
      </c>
      <c r="I51" s="69">
        <v>100</v>
      </c>
    </row>
    <row r="52" spans="1:9" s="2" customFormat="1" ht="59.25" customHeight="1">
      <c r="A52" s="910"/>
      <c r="B52" s="69">
        <v>34</v>
      </c>
      <c r="C52" s="72" t="s">
        <v>82</v>
      </c>
      <c r="D52" s="69" t="s">
        <v>44</v>
      </c>
      <c r="E52" s="69">
        <v>340</v>
      </c>
      <c r="F52" s="69">
        <v>50</v>
      </c>
      <c r="G52" s="69">
        <v>110</v>
      </c>
      <c r="H52" s="69">
        <v>110</v>
      </c>
      <c r="I52" s="69">
        <f>SUM(E52:H52)</f>
        <v>610</v>
      </c>
    </row>
    <row r="53" spans="1:9" s="2" customFormat="1" ht="12.75" customHeight="1">
      <c r="A53" s="910"/>
      <c r="B53" s="77"/>
      <c r="C53" s="71"/>
      <c r="D53" s="77"/>
      <c r="E53" s="77"/>
      <c r="F53" s="77"/>
      <c r="G53" s="77"/>
      <c r="H53" s="77"/>
      <c r="I53" s="77"/>
    </row>
    <row r="54" spans="1:9" ht="22.5" customHeight="1">
      <c r="B54" s="2305" t="s">
        <v>61</v>
      </c>
      <c r="C54" s="2305"/>
      <c r="D54" s="2305"/>
      <c r="E54" s="2305"/>
      <c r="F54" s="2305"/>
      <c r="G54" s="2305"/>
      <c r="H54" s="2305"/>
      <c r="I54" s="2305"/>
    </row>
    <row r="55" spans="1:9" s="812" customFormat="1">
      <c r="A55" s="912"/>
      <c r="B55" s="78"/>
      <c r="C55" s="78"/>
      <c r="D55" s="78"/>
      <c r="E55" s="78"/>
      <c r="F55" s="78"/>
      <c r="G55" s="78"/>
      <c r="H55" s="78"/>
      <c r="I55" s="78"/>
    </row>
    <row r="56" spans="1:9" ht="18.75" customHeight="1">
      <c r="B56" s="2306" t="s">
        <v>128</v>
      </c>
      <c r="C56" s="2306"/>
      <c r="D56" s="2306"/>
      <c r="E56" s="2306"/>
      <c r="F56" s="2306"/>
      <c r="G56" s="2306"/>
      <c r="H56" s="2306"/>
      <c r="I56" s="2306"/>
    </row>
    <row r="57" spans="1:9" ht="25.5">
      <c r="B57" s="76" t="s">
        <v>69</v>
      </c>
      <c r="C57" s="70" t="s">
        <v>62</v>
      </c>
      <c r="D57" s="70" t="s">
        <v>63</v>
      </c>
      <c r="E57" s="70" t="s">
        <v>138</v>
      </c>
      <c r="F57" s="70" t="s">
        <v>139</v>
      </c>
      <c r="G57" s="70" t="s">
        <v>140</v>
      </c>
      <c r="H57" s="70" t="s">
        <v>141</v>
      </c>
      <c r="I57" s="70" t="s">
        <v>142</v>
      </c>
    </row>
    <row r="58" spans="1:9" ht="12.75" customHeight="1">
      <c r="B58" s="69">
        <v>35</v>
      </c>
      <c r="C58" s="69" t="s">
        <v>76</v>
      </c>
      <c r="D58" s="69" t="s">
        <v>39</v>
      </c>
      <c r="E58" s="69">
        <v>30</v>
      </c>
      <c r="F58" s="69">
        <v>36</v>
      </c>
      <c r="G58" s="69">
        <v>60</v>
      </c>
      <c r="H58" s="69">
        <v>100</v>
      </c>
      <c r="I58" s="69">
        <v>100</v>
      </c>
    </row>
    <row r="59" spans="1:9" s="2" customFormat="1" ht="51">
      <c r="A59" s="910"/>
      <c r="B59" s="69">
        <v>36</v>
      </c>
      <c r="C59" s="69" t="s">
        <v>77</v>
      </c>
      <c r="D59" s="69" t="s">
        <v>40</v>
      </c>
      <c r="E59" s="69">
        <v>100</v>
      </c>
      <c r="F59" s="69">
        <v>100</v>
      </c>
      <c r="G59" s="69">
        <v>100</v>
      </c>
      <c r="H59" s="69">
        <v>100</v>
      </c>
      <c r="I59" s="69">
        <v>100</v>
      </c>
    </row>
    <row r="60" spans="1:9" s="2" customFormat="1" ht="76.5">
      <c r="A60" s="910"/>
      <c r="B60" s="69">
        <v>37</v>
      </c>
      <c r="C60" s="72" t="s">
        <v>83</v>
      </c>
      <c r="D60" s="72" t="s">
        <v>404</v>
      </c>
      <c r="E60" s="72">
        <v>1</v>
      </c>
      <c r="F60" s="69">
        <v>1</v>
      </c>
      <c r="G60" s="69">
        <v>1</v>
      </c>
      <c r="H60" s="69">
        <v>1</v>
      </c>
      <c r="I60" s="72">
        <v>1</v>
      </c>
    </row>
    <row r="61" spans="1:9" s="2" customFormat="1" ht="15.75" customHeight="1">
      <c r="A61" s="910"/>
      <c r="B61" s="71"/>
      <c r="C61" s="72"/>
      <c r="D61" s="69"/>
      <c r="E61" s="69"/>
      <c r="F61" s="69"/>
      <c r="G61" s="69"/>
      <c r="H61" s="69"/>
      <c r="I61" s="69"/>
    </row>
    <row r="62" spans="1:9" ht="22.5" customHeight="1">
      <c r="B62" s="2300" t="s">
        <v>129</v>
      </c>
      <c r="C62" s="2300"/>
      <c r="D62" s="2300"/>
      <c r="E62" s="2300"/>
      <c r="F62" s="2300"/>
      <c r="G62" s="2300"/>
      <c r="H62" s="2300"/>
      <c r="I62" s="2300"/>
    </row>
    <row r="63" spans="1:9" ht="15.75" customHeight="1">
      <c r="B63" s="76" t="s">
        <v>69</v>
      </c>
      <c r="C63" s="70" t="s">
        <v>62</v>
      </c>
      <c r="D63" s="70" t="s">
        <v>63</v>
      </c>
      <c r="E63" s="70" t="s">
        <v>138</v>
      </c>
      <c r="F63" s="70" t="s">
        <v>139</v>
      </c>
      <c r="G63" s="70" t="s">
        <v>140</v>
      </c>
      <c r="H63" s="70" t="s">
        <v>141</v>
      </c>
      <c r="I63" s="70" t="s">
        <v>142</v>
      </c>
    </row>
    <row r="64" spans="1:9" ht="12.75" customHeight="1">
      <c r="B64" s="71">
        <v>38</v>
      </c>
      <c r="C64" s="69" t="s">
        <v>93</v>
      </c>
      <c r="D64" s="69" t="s">
        <v>45</v>
      </c>
      <c r="E64" s="69">
        <v>100</v>
      </c>
      <c r="F64" s="69">
        <v>100</v>
      </c>
      <c r="G64" s="69">
        <v>100</v>
      </c>
      <c r="H64" s="69">
        <v>100</v>
      </c>
      <c r="I64" s="72">
        <v>100</v>
      </c>
    </row>
    <row r="65" spans="1:9" ht="25.5">
      <c r="B65" s="71">
        <v>39</v>
      </c>
      <c r="C65" s="69" t="s">
        <v>96</v>
      </c>
      <c r="D65" s="69" t="s">
        <v>47</v>
      </c>
      <c r="E65" s="69">
        <v>100</v>
      </c>
      <c r="F65" s="69">
        <v>100</v>
      </c>
      <c r="G65" s="69">
        <v>100</v>
      </c>
      <c r="H65" s="69">
        <v>100</v>
      </c>
      <c r="I65" s="72">
        <v>100</v>
      </c>
    </row>
    <row r="66" spans="1:9" ht="25.5">
      <c r="B66" s="71">
        <v>40</v>
      </c>
      <c r="C66" s="69" t="s">
        <v>109</v>
      </c>
      <c r="D66" s="69" t="s">
        <v>56</v>
      </c>
      <c r="E66" s="69">
        <v>20</v>
      </c>
      <c r="F66" s="69">
        <v>60</v>
      </c>
      <c r="G66" s="69">
        <v>80</v>
      </c>
      <c r="H66" s="69">
        <v>100</v>
      </c>
      <c r="I66" s="72">
        <v>100</v>
      </c>
    </row>
    <row r="67" spans="1:9" ht="38.25" customHeight="1">
      <c r="B67" s="71">
        <v>41</v>
      </c>
      <c r="C67" s="69" t="s">
        <v>110</v>
      </c>
      <c r="D67" s="69" t="s">
        <v>57</v>
      </c>
      <c r="E67" s="69">
        <v>20</v>
      </c>
      <c r="F67" s="69">
        <v>60</v>
      </c>
      <c r="G67" s="69">
        <v>80</v>
      </c>
      <c r="H67" s="69">
        <v>100</v>
      </c>
      <c r="I67" s="72">
        <v>100</v>
      </c>
    </row>
    <row r="68" spans="1:9" ht="42.75" customHeight="1">
      <c r="B68" s="71">
        <v>42</v>
      </c>
      <c r="C68" s="69" t="s">
        <v>58</v>
      </c>
      <c r="D68" s="69" t="s">
        <v>58</v>
      </c>
      <c r="E68" s="69">
        <v>1</v>
      </c>
      <c r="F68" s="69">
        <v>1</v>
      </c>
      <c r="G68" s="69">
        <v>1</v>
      </c>
      <c r="H68" s="69">
        <v>1</v>
      </c>
      <c r="I68" s="72">
        <v>1</v>
      </c>
    </row>
    <row r="69" spans="1:9" ht="25.5">
      <c r="B69" s="71">
        <v>43</v>
      </c>
      <c r="C69" s="69" t="s">
        <v>111</v>
      </c>
      <c r="D69" s="69" t="s">
        <v>59</v>
      </c>
      <c r="E69" s="69">
        <v>0</v>
      </c>
      <c r="F69" s="69">
        <v>0</v>
      </c>
      <c r="G69" s="69">
        <v>6</v>
      </c>
      <c r="H69" s="69">
        <v>7</v>
      </c>
      <c r="I69" s="72">
        <v>13</v>
      </c>
    </row>
    <row r="70" spans="1:9">
      <c r="B70" s="69">
        <v>44</v>
      </c>
      <c r="C70" s="69" t="s">
        <v>89</v>
      </c>
      <c r="D70" s="72" t="s">
        <v>3</v>
      </c>
      <c r="E70" s="69">
        <v>100</v>
      </c>
      <c r="F70" s="72">
        <v>100</v>
      </c>
      <c r="G70" s="72">
        <v>100</v>
      </c>
      <c r="H70" s="72">
        <v>100</v>
      </c>
      <c r="I70" s="72">
        <v>100</v>
      </c>
    </row>
    <row r="71" spans="1:9" s="2" customFormat="1" ht="13.5" customHeight="1">
      <c r="A71" s="910"/>
      <c r="B71" s="77"/>
      <c r="C71" s="71"/>
      <c r="D71" s="77"/>
      <c r="E71" s="77"/>
      <c r="F71" s="77"/>
      <c r="G71" s="77"/>
      <c r="H71" s="77"/>
      <c r="I71" s="77"/>
    </row>
    <row r="72" spans="1:9" ht="21" customHeight="1">
      <c r="B72" s="2301" t="s">
        <v>120</v>
      </c>
      <c r="C72" s="2301"/>
      <c r="D72" s="2301"/>
      <c r="E72" s="2301"/>
      <c r="F72" s="2301"/>
      <c r="G72" s="2301"/>
      <c r="H72" s="2301"/>
      <c r="I72" s="2301"/>
    </row>
    <row r="73" spans="1:9" s="812" customFormat="1">
      <c r="A73" s="912"/>
      <c r="B73" s="84"/>
      <c r="C73" s="84"/>
      <c r="D73" s="84"/>
      <c r="E73" s="84"/>
      <c r="F73" s="84"/>
      <c r="G73" s="84"/>
      <c r="H73" s="84"/>
      <c r="I73" s="84"/>
    </row>
    <row r="74" spans="1:9" ht="21.75" customHeight="1">
      <c r="B74" s="2302" t="s">
        <v>338</v>
      </c>
      <c r="C74" s="2302"/>
      <c r="D74" s="2302"/>
      <c r="E74" s="2302"/>
      <c r="F74" s="2302"/>
      <c r="G74" s="2302"/>
      <c r="H74" s="2302"/>
      <c r="I74" s="2302"/>
    </row>
    <row r="75" spans="1:9" ht="25.5">
      <c r="B75" s="76" t="s">
        <v>94</v>
      </c>
      <c r="C75" s="70" t="s">
        <v>62</v>
      </c>
      <c r="D75" s="70" t="s">
        <v>63</v>
      </c>
      <c r="E75" s="70" t="s">
        <v>138</v>
      </c>
      <c r="F75" s="70" t="s">
        <v>139</v>
      </c>
      <c r="G75" s="70" t="s">
        <v>140</v>
      </c>
      <c r="H75" s="70" t="s">
        <v>141</v>
      </c>
      <c r="I75" s="70" t="s">
        <v>142</v>
      </c>
    </row>
    <row r="76" spans="1:9" ht="12.75" customHeight="1">
      <c r="B76" s="71">
        <v>45</v>
      </c>
      <c r="C76" s="71" t="s">
        <v>107</v>
      </c>
      <c r="D76" s="71" t="s">
        <v>54</v>
      </c>
      <c r="E76" s="71">
        <v>100</v>
      </c>
      <c r="F76" s="71">
        <v>100</v>
      </c>
      <c r="G76" s="71">
        <v>100</v>
      </c>
      <c r="H76" s="71">
        <v>100</v>
      </c>
      <c r="I76" s="79">
        <v>100</v>
      </c>
    </row>
    <row r="77" spans="1:9" ht="25.5">
      <c r="B77" s="71">
        <v>46</v>
      </c>
      <c r="C77" s="71" t="s">
        <v>108</v>
      </c>
      <c r="D77" s="69" t="s">
        <v>55</v>
      </c>
      <c r="E77" s="69">
        <v>90</v>
      </c>
      <c r="F77" s="69">
        <v>90</v>
      </c>
      <c r="G77" s="69">
        <v>90</v>
      </c>
      <c r="H77" s="69">
        <v>90</v>
      </c>
      <c r="I77" s="72">
        <v>90</v>
      </c>
    </row>
    <row r="78" spans="1:9">
      <c r="B78" s="77"/>
      <c r="C78" s="71"/>
      <c r="D78" s="77"/>
      <c r="E78" s="77"/>
      <c r="F78" s="77"/>
      <c r="G78" s="77"/>
      <c r="H78" s="77"/>
      <c r="I78" s="77"/>
    </row>
    <row r="79" spans="1:9" ht="24.75" customHeight="1">
      <c r="B79" s="2303" t="s">
        <v>157</v>
      </c>
      <c r="C79" s="2303"/>
      <c r="D79" s="2303"/>
      <c r="E79" s="2303"/>
      <c r="F79" s="2303"/>
      <c r="G79" s="2303"/>
      <c r="H79" s="2303"/>
      <c r="I79" s="2303"/>
    </row>
    <row r="80" spans="1:9" ht="12.75" customHeight="1">
      <c r="B80" s="77"/>
      <c r="C80" s="80"/>
      <c r="D80" s="81"/>
      <c r="E80" s="81"/>
      <c r="F80" s="81"/>
      <c r="G80" s="81"/>
      <c r="H80" s="81"/>
      <c r="I80" s="81"/>
    </row>
    <row r="81" spans="1:9" ht="21.75" customHeight="1">
      <c r="B81" s="2303" t="s">
        <v>156</v>
      </c>
      <c r="C81" s="2303"/>
      <c r="D81" s="2303"/>
      <c r="E81" s="2303"/>
      <c r="F81" s="2303"/>
      <c r="G81" s="2303"/>
      <c r="H81" s="2303"/>
      <c r="I81" s="2303"/>
    </row>
    <row r="82" spans="1:9" ht="25.5">
      <c r="B82" s="76" t="s">
        <v>69</v>
      </c>
      <c r="C82" s="70" t="s">
        <v>62</v>
      </c>
      <c r="D82" s="70" t="s">
        <v>63</v>
      </c>
      <c r="E82" s="70" t="s">
        <v>138</v>
      </c>
      <c r="F82" s="70" t="s">
        <v>139</v>
      </c>
      <c r="G82" s="70" t="s">
        <v>140</v>
      </c>
      <c r="H82" s="70" t="s">
        <v>141</v>
      </c>
      <c r="I82" s="70" t="s">
        <v>142</v>
      </c>
    </row>
    <row r="83" spans="1:9" ht="12.75" customHeight="1">
      <c r="B83" s="71">
        <v>47</v>
      </c>
      <c r="C83" s="71" t="s">
        <v>87</v>
      </c>
      <c r="D83" s="69" t="s">
        <v>1</v>
      </c>
      <c r="E83" s="69">
        <v>100</v>
      </c>
      <c r="F83" s="69">
        <v>100</v>
      </c>
      <c r="G83" s="69">
        <v>100</v>
      </c>
      <c r="H83" s="69">
        <v>100</v>
      </c>
      <c r="I83" s="69">
        <v>100</v>
      </c>
    </row>
    <row r="84" spans="1:9" ht="25.5">
      <c r="B84" s="82">
        <v>48</v>
      </c>
      <c r="C84" s="82" t="s">
        <v>0</v>
      </c>
      <c r="D84" s="64" t="s">
        <v>0</v>
      </c>
      <c r="E84" s="34">
        <v>1</v>
      </c>
      <c r="F84" s="34">
        <v>1</v>
      </c>
      <c r="G84" s="34">
        <v>1</v>
      </c>
      <c r="H84" s="34">
        <v>1</v>
      </c>
      <c r="I84" s="83">
        <v>1</v>
      </c>
    </row>
    <row r="85" spans="1:9" s="5" customFormat="1" ht="14.25" customHeight="1">
      <c r="A85" s="913"/>
      <c r="B85" s="77"/>
      <c r="C85" s="71"/>
      <c r="D85" s="69"/>
      <c r="E85" s="69"/>
      <c r="F85" s="69"/>
      <c r="G85" s="69"/>
      <c r="H85" s="69"/>
      <c r="I85" s="69"/>
    </row>
    <row r="86" spans="1:9" ht="20.25" customHeight="1">
      <c r="B86" s="2303" t="s">
        <v>170</v>
      </c>
      <c r="C86" s="2303"/>
      <c r="D86" s="2303"/>
      <c r="E86" s="2303"/>
      <c r="F86" s="2303"/>
      <c r="G86" s="2303"/>
      <c r="H86" s="2303"/>
      <c r="I86" s="2303"/>
    </row>
    <row r="87" spans="1:9" ht="34.5" customHeight="1">
      <c r="B87" s="76" t="s">
        <v>69</v>
      </c>
      <c r="C87" s="70" t="s">
        <v>62</v>
      </c>
      <c r="D87" s="70" t="s">
        <v>63</v>
      </c>
      <c r="E87" s="70" t="s">
        <v>138</v>
      </c>
      <c r="F87" s="70" t="s">
        <v>139</v>
      </c>
      <c r="G87" s="70" t="s">
        <v>140</v>
      </c>
      <c r="H87" s="70" t="s">
        <v>141</v>
      </c>
      <c r="I87" s="70" t="s">
        <v>142</v>
      </c>
    </row>
    <row r="88" spans="1:9" ht="12.75" customHeight="1">
      <c r="B88" s="71">
        <v>49</v>
      </c>
      <c r="C88" s="71" t="s">
        <v>90</v>
      </c>
      <c r="D88" s="72" t="s">
        <v>173</v>
      </c>
      <c r="E88" s="72">
        <v>100</v>
      </c>
      <c r="F88" s="72">
        <v>100</v>
      </c>
      <c r="G88" s="72">
        <v>100</v>
      </c>
      <c r="H88" s="72">
        <v>100</v>
      </c>
      <c r="I88" s="72">
        <v>100</v>
      </c>
    </row>
    <row r="89" spans="1:9">
      <c r="B89" s="71">
        <v>50</v>
      </c>
      <c r="C89" s="79" t="s">
        <v>91</v>
      </c>
      <c r="D89" s="72" t="s">
        <v>174</v>
      </c>
      <c r="E89" s="72">
        <v>100</v>
      </c>
      <c r="F89" s="72">
        <v>100</v>
      </c>
      <c r="G89" s="72">
        <v>100</v>
      </c>
      <c r="H89" s="72">
        <v>100</v>
      </c>
      <c r="I89" s="72">
        <v>100</v>
      </c>
    </row>
    <row r="90" spans="1:9" ht="20.25" customHeight="1">
      <c r="B90" s="2303" t="s">
        <v>176</v>
      </c>
      <c r="C90" s="2303"/>
      <c r="D90" s="2303"/>
      <c r="E90" s="2303"/>
      <c r="F90" s="2303"/>
      <c r="G90" s="2303"/>
      <c r="H90" s="2303"/>
      <c r="I90" s="2303"/>
    </row>
    <row r="91" spans="1:9" ht="12.75" customHeight="1">
      <c r="B91" s="77"/>
      <c r="C91" s="80"/>
      <c r="D91" s="81"/>
      <c r="E91" s="81"/>
      <c r="F91" s="81"/>
      <c r="G91" s="81"/>
      <c r="H91" s="81"/>
      <c r="I91" s="81"/>
    </row>
    <row r="92" spans="1:9" ht="25.5">
      <c r="B92" s="76" t="s">
        <v>69</v>
      </c>
      <c r="C92" s="70" t="s">
        <v>62</v>
      </c>
      <c r="D92" s="70" t="s">
        <v>63</v>
      </c>
      <c r="E92" s="70" t="s">
        <v>138</v>
      </c>
      <c r="F92" s="70" t="s">
        <v>139</v>
      </c>
      <c r="G92" s="70" t="s">
        <v>140</v>
      </c>
      <c r="H92" s="70" t="s">
        <v>141</v>
      </c>
      <c r="I92" s="70" t="s">
        <v>142</v>
      </c>
    </row>
    <row r="93" spans="1:9" ht="12.75" customHeight="1">
      <c r="B93" s="71">
        <v>51</v>
      </c>
      <c r="C93" s="71" t="s">
        <v>92</v>
      </c>
      <c r="D93" s="71" t="s">
        <v>4</v>
      </c>
      <c r="E93" s="69">
        <v>5</v>
      </c>
      <c r="F93" s="69">
        <v>5</v>
      </c>
      <c r="G93" s="69">
        <v>5</v>
      </c>
      <c r="H93" s="69">
        <v>5</v>
      </c>
      <c r="I93" s="69">
        <v>20</v>
      </c>
    </row>
    <row r="94" spans="1:9" ht="25.5">
      <c r="B94" s="77">
        <v>52</v>
      </c>
      <c r="C94" s="71" t="s">
        <v>339</v>
      </c>
      <c r="D94" s="64" t="s">
        <v>0</v>
      </c>
      <c r="E94" s="77">
        <v>1</v>
      </c>
      <c r="F94" s="77">
        <v>1</v>
      </c>
      <c r="G94" s="77">
        <v>1</v>
      </c>
      <c r="H94" s="77">
        <v>1</v>
      </c>
      <c r="I94" s="77">
        <v>1</v>
      </c>
    </row>
    <row r="95" spans="1:9">
      <c r="B95" s="77"/>
      <c r="C95" s="71"/>
      <c r="D95" s="871"/>
      <c r="E95" s="77"/>
      <c r="F95" s="77"/>
      <c r="G95" s="77"/>
      <c r="H95" s="77"/>
      <c r="I95" s="77"/>
    </row>
    <row r="96" spans="1:9" ht="19.5" customHeight="1">
      <c r="A96" s="914"/>
      <c r="B96" s="2303" t="s">
        <v>512</v>
      </c>
      <c r="C96" s="2303"/>
      <c r="D96" s="2303"/>
      <c r="E96" s="2303"/>
      <c r="F96" s="2303"/>
      <c r="G96" s="2303"/>
      <c r="H96" s="2303"/>
      <c r="I96" s="2303"/>
    </row>
    <row r="97" spans="1:9" ht="12.75" customHeight="1">
      <c r="A97" s="914"/>
      <c r="B97" s="76" t="s">
        <v>69</v>
      </c>
      <c r="C97" s="70" t="s">
        <v>62</v>
      </c>
      <c r="D97" s="70" t="s">
        <v>63</v>
      </c>
      <c r="E97" s="70" t="s">
        <v>138</v>
      </c>
      <c r="F97" s="70" t="s">
        <v>139</v>
      </c>
      <c r="G97" s="70" t="s">
        <v>140</v>
      </c>
      <c r="H97" s="70" t="s">
        <v>141</v>
      </c>
      <c r="I97" s="70" t="s">
        <v>142</v>
      </c>
    </row>
    <row r="98" spans="1:9" s="812" customFormat="1" ht="12.75" customHeight="1">
      <c r="A98" s="914">
        <v>53</v>
      </c>
      <c r="B98" s="1274"/>
      <c r="C98" s="1274" t="s">
        <v>380</v>
      </c>
      <c r="D98" s="1274" t="s">
        <v>513</v>
      </c>
      <c r="E98" s="915">
        <v>100</v>
      </c>
      <c r="F98" s="915">
        <v>100</v>
      </c>
      <c r="G98" s="915">
        <v>100</v>
      </c>
      <c r="H98" s="915">
        <v>100</v>
      </c>
      <c r="I98" s="915">
        <v>100</v>
      </c>
    </row>
    <row r="99" spans="1:9" s="812" customFormat="1" ht="12.75" customHeight="1">
      <c r="A99" s="912"/>
      <c r="B99" s="84"/>
      <c r="C99" s="84"/>
      <c r="D99" s="84"/>
      <c r="E99" s="84"/>
      <c r="F99" s="84"/>
      <c r="G99" s="84"/>
      <c r="H99" s="84"/>
      <c r="I99" s="84"/>
    </row>
    <row r="100" spans="1:9" ht="21.75" customHeight="1">
      <c r="B100" s="2308" t="s">
        <v>158</v>
      </c>
      <c r="C100" s="2308"/>
      <c r="D100" s="2308"/>
      <c r="E100" s="2308"/>
      <c r="F100" s="2308"/>
      <c r="G100" s="2308"/>
      <c r="H100" s="2308"/>
      <c r="I100" s="2308"/>
    </row>
    <row r="101" spans="1:9" s="812" customFormat="1">
      <c r="A101" s="912"/>
      <c r="B101" s="84"/>
      <c r="C101" s="84"/>
      <c r="D101" s="84"/>
      <c r="E101" s="84"/>
      <c r="F101" s="84"/>
      <c r="G101" s="84"/>
      <c r="H101" s="84"/>
      <c r="I101" s="84"/>
    </row>
    <row r="102" spans="1:9" ht="21.75" customHeight="1">
      <c r="B102" s="2308" t="s">
        <v>159</v>
      </c>
      <c r="C102" s="2308"/>
      <c r="D102" s="2308"/>
      <c r="E102" s="2308"/>
      <c r="F102" s="2308"/>
      <c r="G102" s="2308"/>
      <c r="H102" s="2308"/>
      <c r="I102" s="2308"/>
    </row>
    <row r="103" spans="1:9" s="812" customFormat="1" ht="25.5">
      <c r="A103" s="912"/>
      <c r="B103" s="76" t="s">
        <v>69</v>
      </c>
      <c r="C103" s="70" t="s">
        <v>62</v>
      </c>
      <c r="D103" s="70" t="s">
        <v>63</v>
      </c>
      <c r="E103" s="70" t="s">
        <v>138</v>
      </c>
      <c r="F103" s="70" t="s">
        <v>139</v>
      </c>
      <c r="G103" s="70" t="s">
        <v>140</v>
      </c>
      <c r="H103" s="70" t="s">
        <v>141</v>
      </c>
      <c r="I103" s="70" t="s">
        <v>142</v>
      </c>
    </row>
    <row r="104" spans="1:9" ht="63.75">
      <c r="A104" s="178">
        <v>54</v>
      </c>
      <c r="B104" s="71">
        <v>53</v>
      </c>
      <c r="C104" s="69" t="s">
        <v>88</v>
      </c>
      <c r="D104" s="69" t="s">
        <v>2</v>
      </c>
      <c r="E104" s="69">
        <v>100</v>
      </c>
      <c r="F104" s="69">
        <v>100</v>
      </c>
      <c r="G104" s="69">
        <v>100</v>
      </c>
      <c r="H104" s="69">
        <v>100</v>
      </c>
      <c r="I104" s="69">
        <v>100</v>
      </c>
    </row>
    <row r="105" spans="1:9" ht="12.75" customHeight="1">
      <c r="A105" s="178">
        <v>55</v>
      </c>
      <c r="B105" s="71">
        <v>54</v>
      </c>
      <c r="C105" s="69" t="s">
        <v>12</v>
      </c>
      <c r="D105" s="69" t="s">
        <v>171</v>
      </c>
      <c r="E105" s="69">
        <v>100</v>
      </c>
      <c r="F105" s="69">
        <v>100</v>
      </c>
      <c r="G105" s="69">
        <v>100</v>
      </c>
      <c r="H105" s="69">
        <v>100</v>
      </c>
      <c r="I105" s="69">
        <v>100</v>
      </c>
    </row>
    <row r="106" spans="1:9">
      <c r="B106" s="77"/>
      <c r="C106" s="69"/>
      <c r="D106" s="69"/>
      <c r="E106" s="69"/>
      <c r="F106" s="69"/>
      <c r="G106" s="69"/>
      <c r="H106" s="69"/>
      <c r="I106" s="69"/>
    </row>
    <row r="107" spans="1:9" ht="21.75" customHeight="1">
      <c r="B107" s="2309" t="s">
        <v>123</v>
      </c>
      <c r="C107" s="2309"/>
      <c r="D107" s="2309"/>
      <c r="E107" s="2309"/>
      <c r="F107" s="2309"/>
      <c r="G107" s="2309"/>
      <c r="H107" s="2309"/>
      <c r="I107" s="2309"/>
    </row>
    <row r="108" spans="1:9" s="812" customFormat="1" ht="11.25" customHeight="1">
      <c r="A108" s="912"/>
      <c r="B108" s="85"/>
      <c r="C108" s="85"/>
      <c r="D108" s="85"/>
      <c r="E108" s="85"/>
      <c r="F108" s="85"/>
      <c r="G108" s="85"/>
      <c r="H108" s="85"/>
      <c r="I108" s="85"/>
    </row>
    <row r="109" spans="1:9" ht="23.25" customHeight="1">
      <c r="B109" s="2310" t="s">
        <v>124</v>
      </c>
      <c r="C109" s="2310"/>
      <c r="D109" s="2310"/>
      <c r="E109" s="2310"/>
      <c r="F109" s="2310"/>
      <c r="G109" s="2310"/>
      <c r="H109" s="2310"/>
      <c r="I109" s="2310"/>
    </row>
    <row r="110" spans="1:9" ht="25.5">
      <c r="B110" s="76" t="s">
        <v>69</v>
      </c>
      <c r="C110" s="70" t="s">
        <v>62</v>
      </c>
      <c r="D110" s="70" t="s">
        <v>63</v>
      </c>
      <c r="E110" s="70" t="s">
        <v>138</v>
      </c>
      <c r="F110" s="70" t="s">
        <v>139</v>
      </c>
      <c r="G110" s="70" t="s">
        <v>140</v>
      </c>
      <c r="H110" s="70" t="s">
        <v>141</v>
      </c>
      <c r="I110" s="70" t="s">
        <v>142</v>
      </c>
    </row>
    <row r="111" spans="1:9">
      <c r="A111" s="178">
        <f>+B111+1</f>
        <v>56</v>
      </c>
      <c r="B111" s="71">
        <v>55</v>
      </c>
      <c r="C111" s="71" t="s">
        <v>118</v>
      </c>
      <c r="D111" s="69" t="s">
        <v>172</v>
      </c>
      <c r="E111" s="69">
        <v>100</v>
      </c>
      <c r="F111" s="69">
        <v>100</v>
      </c>
      <c r="G111" s="69">
        <v>100</v>
      </c>
      <c r="H111" s="69">
        <v>100</v>
      </c>
      <c r="I111" s="69">
        <v>100</v>
      </c>
    </row>
    <row r="112" spans="1:9" ht="12.75" customHeight="1">
      <c r="A112" s="178">
        <f>+B112+1</f>
        <v>57</v>
      </c>
      <c r="B112" s="69">
        <v>56</v>
      </c>
      <c r="C112" s="69" t="s">
        <v>119</v>
      </c>
      <c r="D112" s="64" t="s">
        <v>0</v>
      </c>
      <c r="E112" s="69">
        <v>1</v>
      </c>
      <c r="F112" s="69">
        <v>1</v>
      </c>
      <c r="G112" s="69">
        <v>1</v>
      </c>
      <c r="H112" s="69">
        <v>1</v>
      </c>
      <c r="I112" s="69">
        <v>1</v>
      </c>
    </row>
    <row r="113" spans="1:9">
      <c r="B113" s="77"/>
      <c r="C113" s="71"/>
      <c r="D113" s="77"/>
      <c r="E113" s="77"/>
      <c r="F113" s="77"/>
      <c r="G113" s="77"/>
      <c r="H113" s="77"/>
      <c r="I113" s="77"/>
    </row>
    <row r="114" spans="1:9" s="2" customFormat="1" ht="21" customHeight="1">
      <c r="A114" s="178"/>
      <c r="B114" s="2307" t="s">
        <v>121</v>
      </c>
      <c r="C114" s="2307"/>
      <c r="D114" s="2307"/>
      <c r="E114" s="2307"/>
      <c r="F114" s="2307"/>
      <c r="G114" s="2307"/>
      <c r="H114" s="2307"/>
      <c r="I114" s="2307"/>
    </row>
    <row r="115" spans="1:9" s="812" customFormat="1">
      <c r="A115" s="178"/>
      <c r="B115" s="84"/>
      <c r="C115" s="84"/>
      <c r="D115" s="84"/>
      <c r="E115" s="84"/>
      <c r="F115" s="84"/>
      <c r="G115" s="84"/>
      <c r="H115" s="84"/>
      <c r="I115" s="84"/>
    </row>
    <row r="116" spans="1:9" ht="23.25" customHeight="1">
      <c r="B116" s="2307" t="s">
        <v>122</v>
      </c>
      <c r="C116" s="2307"/>
      <c r="D116" s="2307"/>
      <c r="E116" s="2307"/>
      <c r="F116" s="2307"/>
      <c r="G116" s="2307"/>
      <c r="H116" s="2307"/>
      <c r="I116" s="2307"/>
    </row>
    <row r="117" spans="1:9" ht="21.75" customHeight="1">
      <c r="B117" s="76" t="s">
        <v>69</v>
      </c>
      <c r="C117" s="70" t="s">
        <v>62</v>
      </c>
      <c r="D117" s="70" t="s">
        <v>63</v>
      </c>
      <c r="E117" s="70" t="s">
        <v>138</v>
      </c>
      <c r="F117" s="70" t="s">
        <v>139</v>
      </c>
      <c r="G117" s="70" t="s">
        <v>140</v>
      </c>
      <c r="H117" s="70" t="s">
        <v>141</v>
      </c>
      <c r="I117" s="70" t="s">
        <v>142</v>
      </c>
    </row>
    <row r="118" spans="1:9" s="812" customFormat="1" ht="31.5" customHeight="1">
      <c r="A118" s="178">
        <f t="shared" ref="A118:A123" si="0">+B118+1</f>
        <v>58</v>
      </c>
      <c r="B118" s="71">
        <v>57</v>
      </c>
      <c r="C118" s="71" t="s">
        <v>112</v>
      </c>
      <c r="D118" s="71" t="s">
        <v>6</v>
      </c>
      <c r="E118" s="71">
        <v>25</v>
      </c>
      <c r="F118" s="71">
        <v>50</v>
      </c>
      <c r="G118" s="71">
        <v>75</v>
      </c>
      <c r="H118" s="71">
        <v>100</v>
      </c>
      <c r="I118" s="71">
        <v>100</v>
      </c>
    </row>
    <row r="119" spans="1:9" ht="24.75" customHeight="1">
      <c r="A119" s="178">
        <f t="shared" si="0"/>
        <v>59</v>
      </c>
      <c r="B119" s="71">
        <v>58</v>
      </c>
      <c r="C119" s="71" t="s">
        <v>113</v>
      </c>
      <c r="D119" s="71" t="s">
        <v>7</v>
      </c>
      <c r="E119" s="71">
        <v>5</v>
      </c>
      <c r="F119" s="71">
        <v>40</v>
      </c>
      <c r="G119" s="71">
        <v>70</v>
      </c>
      <c r="H119" s="71">
        <v>100</v>
      </c>
      <c r="I119" s="71">
        <v>100</v>
      </c>
    </row>
    <row r="120" spans="1:9" ht="12.75" customHeight="1">
      <c r="A120" s="178">
        <f t="shared" si="0"/>
        <v>60</v>
      </c>
      <c r="B120" s="71">
        <v>59</v>
      </c>
      <c r="C120" s="71" t="s">
        <v>114</v>
      </c>
      <c r="D120" s="71" t="s">
        <v>8</v>
      </c>
      <c r="E120" s="71">
        <v>25</v>
      </c>
      <c r="F120" s="71">
        <v>50</v>
      </c>
      <c r="G120" s="71">
        <v>75</v>
      </c>
      <c r="H120" s="71">
        <v>100</v>
      </c>
      <c r="I120" s="71">
        <v>100</v>
      </c>
    </row>
    <row r="121" spans="1:9" ht="25.5">
      <c r="A121" s="178">
        <f t="shared" si="0"/>
        <v>61</v>
      </c>
      <c r="B121" s="71">
        <v>60</v>
      </c>
      <c r="C121" s="79" t="s">
        <v>115</v>
      </c>
      <c r="D121" s="71" t="s">
        <v>116</v>
      </c>
      <c r="E121" s="71">
        <v>20</v>
      </c>
      <c r="F121" s="71">
        <v>60</v>
      </c>
      <c r="G121" s="71">
        <v>80</v>
      </c>
      <c r="H121" s="71">
        <v>100</v>
      </c>
      <c r="I121" s="71">
        <v>100</v>
      </c>
    </row>
    <row r="122" spans="1:9" ht="38.25">
      <c r="A122" s="178">
        <f t="shared" si="0"/>
        <v>62</v>
      </c>
      <c r="B122" s="71">
        <v>61</v>
      </c>
      <c r="C122" s="79" t="s">
        <v>117</v>
      </c>
      <c r="D122" s="71" t="s">
        <v>9</v>
      </c>
      <c r="E122" s="71">
        <v>100</v>
      </c>
      <c r="F122" s="71">
        <v>100</v>
      </c>
      <c r="G122" s="71">
        <v>100</v>
      </c>
      <c r="H122" s="71">
        <v>100</v>
      </c>
      <c r="I122" s="71">
        <v>100</v>
      </c>
    </row>
    <row r="123" spans="1:9" ht="25.5">
      <c r="A123" s="178">
        <f t="shared" si="0"/>
        <v>63</v>
      </c>
      <c r="B123" s="69">
        <v>62</v>
      </c>
      <c r="C123" s="69" t="s">
        <v>0</v>
      </c>
      <c r="D123" s="64" t="s">
        <v>0</v>
      </c>
      <c r="E123" s="69">
        <v>1</v>
      </c>
      <c r="F123" s="69">
        <v>1</v>
      </c>
      <c r="G123" s="69">
        <v>1</v>
      </c>
      <c r="H123" s="69">
        <v>1</v>
      </c>
      <c r="I123" s="69">
        <v>1</v>
      </c>
    </row>
    <row r="129" spans="3:3">
      <c r="C129" s="1301" t="s">
        <v>724</v>
      </c>
    </row>
  </sheetData>
  <mergeCells count="25">
    <mergeCell ref="B81:I81"/>
    <mergeCell ref="B86:I86"/>
    <mergeCell ref="B116:I116"/>
    <mergeCell ref="B96:I96"/>
    <mergeCell ref="B100:I100"/>
    <mergeCell ref="B102:I102"/>
    <mergeCell ref="B107:I107"/>
    <mergeCell ref="B109:I109"/>
    <mergeCell ref="B114:I114"/>
    <mergeCell ref="B90:I90"/>
    <mergeCell ref="B62:I62"/>
    <mergeCell ref="B72:I72"/>
    <mergeCell ref="B74:I74"/>
    <mergeCell ref="B79:I79"/>
    <mergeCell ref="B26:I26"/>
    <mergeCell ref="B28:I28"/>
    <mergeCell ref="B40:I40"/>
    <mergeCell ref="B45:I45"/>
    <mergeCell ref="B54:I54"/>
    <mergeCell ref="B56:I56"/>
    <mergeCell ref="B1:I1"/>
    <mergeCell ref="B2:I2"/>
    <mergeCell ref="B4:I4"/>
    <mergeCell ref="B8:I8"/>
    <mergeCell ref="B12:I12"/>
  </mergeCells>
  <pageMargins left="0.70866141732283472" right="0.70866141732283472" top="0.74803149606299213" bottom="0.74803149606299213" header="0.31496062992125984" footer="0.31496062992125984"/>
  <pageSetup scale="80" orientation="portrait" verticalDpi="597"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E121"/>
  <sheetViews>
    <sheetView workbookViewId="0">
      <selection sqref="A1:N1"/>
    </sheetView>
  </sheetViews>
  <sheetFormatPr baseColWidth="10" defaultRowHeight="15"/>
  <cols>
    <col min="1" max="1" width="4" customWidth="1"/>
    <col min="2" max="2" width="38" customWidth="1"/>
    <col min="3" max="3" width="13.5703125" customWidth="1"/>
    <col min="4" max="6" width="11.42578125" customWidth="1"/>
    <col min="7" max="7" width="10.85546875" customWidth="1"/>
    <col min="8" max="8" width="19.28515625" customWidth="1"/>
    <col min="9" max="9" width="8.5703125" style="918" customWidth="1"/>
    <col min="10" max="12" width="19.85546875" customWidth="1"/>
    <col min="13" max="13" width="8.42578125" style="918" customWidth="1"/>
    <col min="14" max="14" width="17.7109375" customWidth="1"/>
    <col min="15" max="15" width="31" hidden="1" customWidth="1"/>
    <col min="16" max="16" width="27.140625" hidden="1" customWidth="1"/>
    <col min="17" max="17" width="23.7109375" hidden="1" customWidth="1"/>
    <col min="18" max="18" width="23.5703125" hidden="1" customWidth="1"/>
    <col min="19" max="19" width="19.42578125" hidden="1" customWidth="1"/>
    <col min="20" max="22" width="17.42578125" hidden="1" customWidth="1"/>
    <col min="23" max="24" width="15.5703125" hidden="1" customWidth="1"/>
    <col min="25" max="25" width="15.42578125" customWidth="1"/>
  </cols>
  <sheetData>
    <row r="1" spans="1:25" ht="41.25" customHeight="1">
      <c r="A1" s="2351" t="s">
        <v>469</v>
      </c>
      <c r="B1" s="2352"/>
      <c r="C1" s="2352"/>
      <c r="D1" s="2352"/>
      <c r="E1" s="2352"/>
      <c r="F1" s="2352"/>
      <c r="G1" s="2352"/>
      <c r="H1" s="2352"/>
      <c r="I1" s="2352"/>
      <c r="J1" s="2352"/>
      <c r="K1" s="2352"/>
      <c r="L1" s="2352"/>
      <c r="M1" s="2352"/>
      <c r="N1" s="2352"/>
      <c r="O1" s="983"/>
    </row>
    <row r="2" spans="1:25" ht="41.25" customHeight="1" thickBot="1">
      <c r="A2" s="984"/>
      <c r="B2" s="983"/>
      <c r="C2" s="983"/>
      <c r="D2" s="983"/>
      <c r="E2" s="983"/>
      <c r="F2" s="983"/>
      <c r="G2" s="983"/>
      <c r="H2" s="983"/>
      <c r="I2" s="983"/>
      <c r="J2" s="983"/>
      <c r="K2" s="1275"/>
      <c r="L2" s="1275"/>
      <c r="M2" s="983"/>
      <c r="N2" s="983"/>
      <c r="O2" s="983"/>
      <c r="P2" s="2353"/>
      <c r="Q2" s="2353"/>
      <c r="R2" s="985"/>
      <c r="S2" s="985"/>
      <c r="T2" s="985"/>
      <c r="U2" s="985"/>
      <c r="V2" s="985"/>
      <c r="W2" s="985"/>
      <c r="X2" s="985"/>
    </row>
    <row r="3" spans="1:25" s="989" customFormat="1" ht="37.5" customHeight="1" thickBot="1">
      <c r="A3" s="986"/>
      <c r="B3" s="987"/>
      <c r="C3" s="987"/>
      <c r="D3" s="987"/>
      <c r="E3" s="987"/>
      <c r="F3" s="987"/>
      <c r="G3" s="987"/>
      <c r="H3" s="987" t="s">
        <v>722</v>
      </c>
      <c r="I3" s="987"/>
      <c r="J3" s="987" t="s">
        <v>721</v>
      </c>
      <c r="K3" s="987"/>
      <c r="L3" s="1300" t="s">
        <v>720</v>
      </c>
      <c r="M3" s="987"/>
      <c r="N3" s="1394" t="s">
        <v>723</v>
      </c>
      <c r="O3" s="2354" t="s">
        <v>537</v>
      </c>
      <c r="P3" s="2355"/>
      <c r="Q3" s="988">
        <f>SUM(R3:X3)</f>
        <v>30418626598.062489</v>
      </c>
      <c r="R3" s="988">
        <v>10060249588</v>
      </c>
      <c r="S3" s="988">
        <v>11730007054.484928</v>
      </c>
      <c r="T3" s="988">
        <v>3371739001.5139999</v>
      </c>
      <c r="U3" s="988">
        <f>1098703070+894583566</f>
        <v>1993286636</v>
      </c>
      <c r="V3" s="988">
        <v>2387251096.5472002</v>
      </c>
      <c r="W3" s="988">
        <v>223366104.72436002</v>
      </c>
      <c r="X3" s="988">
        <v>652727116.79200006</v>
      </c>
    </row>
    <row r="4" spans="1:25" ht="15" customHeight="1">
      <c r="A4" s="2356" t="s">
        <v>69</v>
      </c>
      <c r="B4" s="2341" t="s">
        <v>197</v>
      </c>
      <c r="C4" s="2358" t="s">
        <v>199</v>
      </c>
      <c r="D4" s="2341">
        <v>2020</v>
      </c>
      <c r="E4" s="2341">
        <v>2021</v>
      </c>
      <c r="F4" s="2341">
        <v>2022</v>
      </c>
      <c r="G4" s="2341">
        <v>2023</v>
      </c>
      <c r="H4" s="2341">
        <v>2020</v>
      </c>
      <c r="I4" s="2346" t="s">
        <v>214</v>
      </c>
      <c r="J4" s="2341">
        <v>2021</v>
      </c>
      <c r="K4" s="2346" t="s">
        <v>214</v>
      </c>
      <c r="L4" s="2341">
        <v>2022</v>
      </c>
      <c r="M4" s="2346" t="s">
        <v>214</v>
      </c>
      <c r="N4" s="2341">
        <v>2023</v>
      </c>
      <c r="O4" s="2344" t="s">
        <v>515</v>
      </c>
      <c r="P4" s="2360" t="s">
        <v>516</v>
      </c>
      <c r="Q4" s="2358" t="s">
        <v>517</v>
      </c>
      <c r="R4" s="2341" t="s">
        <v>518</v>
      </c>
      <c r="S4" s="2341"/>
      <c r="T4" s="2341"/>
      <c r="U4" s="2341"/>
      <c r="V4" s="2341"/>
      <c r="W4" s="990"/>
      <c r="X4" s="991"/>
      <c r="Y4" s="2342"/>
    </row>
    <row r="5" spans="1:25" ht="25.5" customHeight="1" thickBot="1">
      <c r="A5" s="2357"/>
      <c r="B5" s="2343"/>
      <c r="C5" s="2359"/>
      <c r="D5" s="2343"/>
      <c r="E5" s="2343"/>
      <c r="F5" s="2343"/>
      <c r="G5" s="2343"/>
      <c r="H5" s="2343"/>
      <c r="I5" s="2347"/>
      <c r="J5" s="2343"/>
      <c r="K5" s="2347"/>
      <c r="L5" s="2343"/>
      <c r="M5" s="2347"/>
      <c r="N5" s="2343"/>
      <c r="O5" s="2345"/>
      <c r="P5" s="2361"/>
      <c r="Q5" s="2359"/>
      <c r="R5" s="992" t="s">
        <v>203</v>
      </c>
      <c r="S5" s="992" t="s">
        <v>201</v>
      </c>
      <c r="T5" s="992" t="s">
        <v>202</v>
      </c>
      <c r="U5" s="992" t="s">
        <v>232</v>
      </c>
      <c r="V5" s="992" t="s">
        <v>374</v>
      </c>
      <c r="W5" s="992" t="s">
        <v>442</v>
      </c>
      <c r="X5" s="993" t="s">
        <v>519</v>
      </c>
      <c r="Y5" s="2342"/>
    </row>
    <row r="6" spans="1:25" ht="15.75">
      <c r="A6" s="2348" t="s">
        <v>405</v>
      </c>
      <c r="B6" s="2349"/>
      <c r="C6" s="2349"/>
      <c r="D6" s="2349"/>
      <c r="E6" s="2349"/>
      <c r="F6" s="2349"/>
      <c r="G6" s="2350"/>
      <c r="H6" s="1291"/>
      <c r="I6" s="1291"/>
      <c r="J6" s="1291"/>
      <c r="K6" s="1291"/>
      <c r="L6" s="1291"/>
      <c r="M6" s="1291"/>
      <c r="N6" s="1291"/>
      <c r="O6" s="994"/>
      <c r="P6" s="994"/>
      <c r="Q6" s="995"/>
      <c r="R6" s="995"/>
      <c r="S6" s="995"/>
      <c r="T6" s="995"/>
      <c r="U6" s="995"/>
      <c r="V6" s="995"/>
      <c r="W6" s="995"/>
      <c r="X6" s="996"/>
      <c r="Y6" s="916"/>
    </row>
    <row r="7" spans="1:25" ht="15.75">
      <c r="A7" s="2312" t="s">
        <v>406</v>
      </c>
      <c r="B7" s="2313"/>
      <c r="C7" s="2313"/>
      <c r="D7" s="2313"/>
      <c r="E7" s="2313"/>
      <c r="F7" s="2313"/>
      <c r="G7" s="2313"/>
      <c r="H7" s="303">
        <f>SUM(H8:H9)</f>
        <v>92397396</v>
      </c>
      <c r="I7" s="1294">
        <f>+(J7-H7)/H7</f>
        <v>1.1167522946209436</v>
      </c>
      <c r="J7" s="303">
        <f>SUM(J8:J9)</f>
        <v>195582400</v>
      </c>
      <c r="K7" s="1294">
        <f t="shared" ref="K7:K23" si="0">+(L7-J7)/J7</f>
        <v>7.2817206456204653E-2</v>
      </c>
      <c r="L7" s="303">
        <f>SUM(L8:L9)</f>
        <v>209824164</v>
      </c>
      <c r="M7" s="1294">
        <f t="shared" ref="M7:M23" si="1">+(N7-L7)/L7</f>
        <v>0.19909128769363285</v>
      </c>
      <c r="N7" s="303">
        <v>251598327</v>
      </c>
      <c r="O7" s="303"/>
      <c r="P7" s="303"/>
      <c r="Q7" s="997">
        <f>SUM(Q8:Q9)</f>
        <v>0</v>
      </c>
      <c r="R7" s="997">
        <f>SUM(R8:R9)</f>
        <v>0</v>
      </c>
      <c r="S7" s="997">
        <f>SUM(S8:S9)</f>
        <v>0</v>
      </c>
      <c r="T7" s="997">
        <f>SUM(T8:T9)</f>
        <v>0</v>
      </c>
      <c r="U7" s="997">
        <f>SUM(U8:U9)</f>
        <v>0</v>
      </c>
      <c r="V7" s="997"/>
      <c r="W7" s="997"/>
      <c r="X7" s="998"/>
      <c r="Y7" s="916"/>
    </row>
    <row r="8" spans="1:25" ht="53.25" customHeight="1">
      <c r="A8" s="999">
        <v>1</v>
      </c>
      <c r="B8" s="35" t="s">
        <v>11</v>
      </c>
      <c r="C8" s="124" t="s">
        <v>214</v>
      </c>
      <c r="D8" s="124">
        <v>100</v>
      </c>
      <c r="E8" s="124">
        <v>100</v>
      </c>
      <c r="F8" s="124">
        <v>100</v>
      </c>
      <c r="G8" s="124">
        <v>100</v>
      </c>
      <c r="H8" s="302">
        <v>72999300</v>
      </c>
      <c r="I8" s="917">
        <f>+(J8-H8)/H8</f>
        <v>0.38369811765318296</v>
      </c>
      <c r="J8" s="302">
        <v>101008994</v>
      </c>
      <c r="K8" s="917">
        <f t="shared" si="0"/>
        <v>0.14695619085167802</v>
      </c>
      <c r="L8" s="302">
        <f>+'[1]320101'!F7</f>
        <v>115852891</v>
      </c>
      <c r="M8" s="917" t="e">
        <f t="shared" si="1"/>
        <v>#REF!</v>
      </c>
      <c r="N8" s="302" t="e">
        <f>+'[1]320101'!H7</f>
        <v>#REF!</v>
      </c>
      <c r="O8" s="302"/>
      <c r="P8" s="302"/>
      <c r="Q8" s="1000">
        <f>SUM(R8:X8)</f>
        <v>0</v>
      </c>
      <c r="R8" s="1000"/>
      <c r="S8" s="1000"/>
      <c r="T8" s="1000"/>
      <c r="U8" s="1000"/>
      <c r="V8" s="1000"/>
      <c r="W8" s="1000"/>
      <c r="X8" s="1001"/>
    </row>
    <row r="9" spans="1:25" ht="25.5">
      <c r="A9" s="9">
        <v>2</v>
      </c>
      <c r="B9" s="32" t="s">
        <v>239</v>
      </c>
      <c r="C9" s="10" t="s">
        <v>317</v>
      </c>
      <c r="D9" s="10">
        <v>1</v>
      </c>
      <c r="E9" s="10">
        <v>1</v>
      </c>
      <c r="F9" s="10">
        <v>1</v>
      </c>
      <c r="G9" s="10">
        <v>1</v>
      </c>
      <c r="H9" s="302">
        <v>19398096</v>
      </c>
      <c r="I9" s="917">
        <f t="shared" ref="I9:I70" si="2">+(J9-H9)/H9</f>
        <v>3.8753963275570964</v>
      </c>
      <c r="J9" s="302">
        <v>94573406</v>
      </c>
      <c r="K9" s="917">
        <f t="shared" si="0"/>
        <v>-6.3668321303771164E-3</v>
      </c>
      <c r="L9" s="302">
        <f>+'[1]320101'!F15</f>
        <v>93971273</v>
      </c>
      <c r="M9" s="917" t="e">
        <f t="shared" si="1"/>
        <v>#REF!</v>
      </c>
      <c r="N9" s="302" t="e">
        <f>+'[1]320101'!H15</f>
        <v>#REF!</v>
      </c>
      <c r="O9" s="302"/>
      <c r="P9" s="302"/>
      <c r="Q9" s="1000">
        <f>SUM(R9:X9)</f>
        <v>0</v>
      </c>
      <c r="R9" s="1000"/>
      <c r="S9" s="1000"/>
      <c r="T9" s="1000"/>
      <c r="U9" s="1000"/>
      <c r="V9" s="1000"/>
      <c r="W9" s="1000"/>
      <c r="X9" s="1001"/>
    </row>
    <row r="10" spans="1:25" ht="15.75">
      <c r="A10" s="2333" t="s">
        <v>407</v>
      </c>
      <c r="B10" s="2334"/>
      <c r="C10" s="2334"/>
      <c r="D10" s="2334"/>
      <c r="E10" s="2334"/>
      <c r="F10" s="2334"/>
      <c r="G10" s="2334"/>
      <c r="H10" s="303">
        <f>SUM(H11:H12)</f>
        <v>130991497</v>
      </c>
      <c r="I10" s="1294">
        <f>+(J10-H10)/H10</f>
        <v>1.2902249907106567</v>
      </c>
      <c r="J10" s="303">
        <f>SUM(J11:J12)</f>
        <v>300000000</v>
      </c>
      <c r="K10" s="1294">
        <f t="shared" si="0"/>
        <v>5.763091E-2</v>
      </c>
      <c r="L10" s="303">
        <f>SUM(L11:L12)</f>
        <v>317289273</v>
      </c>
      <c r="M10" s="1294">
        <f t="shared" si="1"/>
        <v>0.40151624981031109</v>
      </c>
      <c r="N10" s="303">
        <v>444686072</v>
      </c>
      <c r="O10" s="303">
        <f t="shared" ref="O10:U10" si="3">SUM(O11:O12)</f>
        <v>0</v>
      </c>
      <c r="P10" s="303"/>
      <c r="Q10" s="997">
        <f t="shared" si="3"/>
        <v>0</v>
      </c>
      <c r="R10" s="997">
        <f t="shared" si="3"/>
        <v>0</v>
      </c>
      <c r="S10" s="997">
        <f t="shared" si="3"/>
        <v>0</v>
      </c>
      <c r="T10" s="997">
        <f>SUM(T11:T12)</f>
        <v>0</v>
      </c>
      <c r="U10" s="997">
        <f t="shared" si="3"/>
        <v>0</v>
      </c>
      <c r="V10" s="997"/>
      <c r="W10" s="997"/>
      <c r="X10" s="998"/>
      <c r="Y10" s="59"/>
    </row>
    <row r="11" spans="1:25" ht="38.25">
      <c r="A11" s="999">
        <v>3</v>
      </c>
      <c r="B11" s="35" t="s">
        <v>233</v>
      </c>
      <c r="C11" s="124" t="s">
        <v>214</v>
      </c>
      <c r="D11" s="124">
        <v>100</v>
      </c>
      <c r="E11" s="124">
        <v>100</v>
      </c>
      <c r="F11" s="124">
        <v>100</v>
      </c>
      <c r="G11" s="124">
        <v>100</v>
      </c>
      <c r="H11" s="302">
        <v>111593401</v>
      </c>
      <c r="I11" s="917">
        <f t="shared" si="2"/>
        <v>0.80168359596818817</v>
      </c>
      <c r="J11" s="302">
        <v>201056000</v>
      </c>
      <c r="K11" s="917">
        <f t="shared" si="0"/>
        <v>4.2314010574168434E-2</v>
      </c>
      <c r="L11" s="302">
        <f>+'[1]320102'!F7</f>
        <v>209563485.71000001</v>
      </c>
      <c r="M11" s="917" t="e">
        <f t="shared" si="1"/>
        <v>#REF!</v>
      </c>
      <c r="N11" s="302" t="e">
        <f>+'[1]320102'!H7</f>
        <v>#REF!</v>
      </c>
      <c r="O11" s="302"/>
      <c r="P11" s="302"/>
      <c r="Q11" s="1000">
        <f>SUM(R11:X11)</f>
        <v>0</v>
      </c>
      <c r="R11" s="1000"/>
      <c r="S11" s="1000"/>
      <c r="T11" s="1000"/>
      <c r="U11" s="1000"/>
      <c r="V11" s="1000"/>
      <c r="W11" s="1000"/>
      <c r="X11" s="1001"/>
    </row>
    <row r="12" spans="1:25" ht="25.5">
      <c r="A12" s="9">
        <v>4</v>
      </c>
      <c r="B12" s="32" t="s">
        <v>239</v>
      </c>
      <c r="C12" s="10" t="s">
        <v>317</v>
      </c>
      <c r="D12" s="10">
        <v>1</v>
      </c>
      <c r="E12" s="10">
        <v>1</v>
      </c>
      <c r="F12" s="10">
        <v>1</v>
      </c>
      <c r="G12" s="10">
        <v>1</v>
      </c>
      <c r="H12" s="302">
        <v>19398096</v>
      </c>
      <c r="I12" s="917">
        <f t="shared" si="2"/>
        <v>4.1007067910170152</v>
      </c>
      <c r="J12" s="302">
        <v>98944000</v>
      </c>
      <c r="K12" s="917">
        <f t="shared" si="0"/>
        <v>8.8755127041558773E-2</v>
      </c>
      <c r="L12" s="302">
        <f>+'[1]320102'!F13</f>
        <v>107725787.28999999</v>
      </c>
      <c r="M12" s="917" t="e">
        <f t="shared" si="1"/>
        <v>#REF!</v>
      </c>
      <c r="N12" s="302" t="e">
        <f>+'[1]320102'!H13</f>
        <v>#REF!</v>
      </c>
      <c r="O12" s="302"/>
      <c r="P12" s="302"/>
      <c r="Q12" s="1000">
        <f>SUM(R12:X12)</f>
        <v>0</v>
      </c>
      <c r="R12" s="1000"/>
      <c r="S12" s="1000"/>
      <c r="T12" s="1000"/>
      <c r="U12" s="1000"/>
      <c r="V12" s="1000"/>
      <c r="W12" s="1000"/>
      <c r="X12" s="1001"/>
    </row>
    <row r="13" spans="1:25" ht="15.75">
      <c r="A13" s="2329" t="s">
        <v>408</v>
      </c>
      <c r="B13" s="2330"/>
      <c r="C13" s="2330"/>
      <c r="D13" s="2330"/>
      <c r="E13" s="2330"/>
      <c r="F13" s="2330"/>
      <c r="G13" s="2330"/>
      <c r="H13" s="303">
        <f>SUM(H14:H23)</f>
        <v>999121714</v>
      </c>
      <c r="I13" s="1294">
        <f>+(J13-H13)/H13</f>
        <v>2.2685463386432509</v>
      </c>
      <c r="J13" s="303">
        <f>SUM(J14:J23)</f>
        <v>3265675620.1536694</v>
      </c>
      <c r="K13" s="1294">
        <f t="shared" si="0"/>
        <v>0.12477504782151672</v>
      </c>
      <c r="L13" s="303">
        <f>SUM(L14:L23)</f>
        <v>3673150451.8279047</v>
      </c>
      <c r="M13" s="1294">
        <f t="shared" si="1"/>
        <v>7.0464156196840114E-2</v>
      </c>
      <c r="N13" s="303">
        <v>3931975899</v>
      </c>
      <c r="O13" s="303">
        <f>SUM(O14:O23)</f>
        <v>0</v>
      </c>
      <c r="P13" s="303"/>
      <c r="Q13" s="997">
        <f>SUM(Q14:Q23)</f>
        <v>3673150452.1731887</v>
      </c>
      <c r="R13" s="997">
        <f>SUM(R14:R23)</f>
        <v>2445051484.2466269</v>
      </c>
      <c r="S13" s="997">
        <f>SUM(S14:S23)</f>
        <v>119398405.88213778</v>
      </c>
      <c r="T13" s="997">
        <f>SUM(T14:T23)</f>
        <v>0</v>
      </c>
      <c r="U13" s="997">
        <f>SUM(U14:U23)</f>
        <v>1067173833.8444241</v>
      </c>
      <c r="V13" s="997"/>
      <c r="W13" s="997"/>
      <c r="X13" s="998"/>
      <c r="Y13" s="59"/>
    </row>
    <row r="14" spans="1:25" ht="51">
      <c r="A14" s="999">
        <v>5</v>
      </c>
      <c r="B14" s="35" t="s">
        <v>46</v>
      </c>
      <c r="C14" s="20" t="s">
        <v>214</v>
      </c>
      <c r="D14" s="20">
        <v>100</v>
      </c>
      <c r="E14" s="20">
        <v>100</v>
      </c>
      <c r="F14" s="20">
        <v>100</v>
      </c>
      <c r="G14" s="20">
        <v>100</v>
      </c>
      <c r="H14" s="302">
        <v>26400000</v>
      </c>
      <c r="I14" s="917">
        <f t="shared" si="2"/>
        <v>0.34350309439393945</v>
      </c>
      <c r="J14" s="302">
        <v>35468481.692000002</v>
      </c>
      <c r="K14" s="917">
        <f t="shared" si="0"/>
        <v>-0.12525464638093151</v>
      </c>
      <c r="L14" s="302">
        <f>+'[1]320103'!I7</f>
        <v>31025889.559999999</v>
      </c>
      <c r="M14" s="917" t="e">
        <f t="shared" si="1"/>
        <v>#REF!</v>
      </c>
      <c r="N14" s="302" t="e">
        <f>+'[1]320103'!K7</f>
        <v>#REF!</v>
      </c>
      <c r="O14" s="302"/>
      <c r="P14" s="302"/>
      <c r="Q14" s="1000">
        <f t="shared" ref="Q14:Q23" si="4">SUM(R14:X14)</f>
        <v>31025890</v>
      </c>
      <c r="R14" s="1000">
        <v>31025890</v>
      </c>
      <c r="S14" s="1000"/>
      <c r="T14" s="1000"/>
      <c r="U14" s="1000"/>
      <c r="V14" s="1000"/>
      <c r="W14" s="1000"/>
      <c r="X14" s="1001"/>
    </row>
    <row r="15" spans="1:25" ht="51">
      <c r="A15" s="9">
        <v>6</v>
      </c>
      <c r="B15" s="146" t="s">
        <v>48</v>
      </c>
      <c r="C15" s="147" t="s">
        <v>214</v>
      </c>
      <c r="D15" s="147">
        <v>100</v>
      </c>
      <c r="E15" s="147">
        <v>100</v>
      </c>
      <c r="F15" s="147">
        <v>100</v>
      </c>
      <c r="G15" s="147">
        <v>100</v>
      </c>
      <c r="H15" s="302">
        <v>71278795</v>
      </c>
      <c r="I15" s="917">
        <f t="shared" si="2"/>
        <v>-0.41460514308638352</v>
      </c>
      <c r="J15" s="302">
        <v>41726240</v>
      </c>
      <c r="K15" s="917">
        <f t="shared" si="0"/>
        <v>0.2267047785757835</v>
      </c>
      <c r="L15" s="302">
        <f>+'[1]320103'!I9</f>
        <v>51185778</v>
      </c>
      <c r="M15" s="917" t="e">
        <f t="shared" si="1"/>
        <v>#REF!</v>
      </c>
      <c r="N15" s="302" t="e">
        <f>+'[1]320103'!K9</f>
        <v>#REF!</v>
      </c>
      <c r="O15" s="302"/>
      <c r="P15" s="302"/>
      <c r="Q15" s="1000">
        <f t="shared" si="4"/>
        <v>51185778</v>
      </c>
      <c r="R15" s="1000"/>
      <c r="S15" s="1000"/>
      <c r="T15" s="1000"/>
      <c r="U15" s="1000">
        <v>51185778</v>
      </c>
      <c r="V15" s="1000"/>
      <c r="W15" s="1000"/>
      <c r="X15" s="1001"/>
    </row>
    <row r="16" spans="1:25" ht="25.5">
      <c r="A16" s="999">
        <v>7</v>
      </c>
      <c r="B16" s="35" t="s">
        <v>49</v>
      </c>
      <c r="C16" s="124" t="s">
        <v>214</v>
      </c>
      <c r="D16" s="124">
        <v>70</v>
      </c>
      <c r="E16" s="124">
        <v>80</v>
      </c>
      <c r="F16" s="124">
        <v>90</v>
      </c>
      <c r="G16" s="124">
        <v>100</v>
      </c>
      <c r="H16" s="302">
        <v>456579463</v>
      </c>
      <c r="I16" s="917">
        <f t="shared" si="2"/>
        <v>2.5986416432401082E-2</v>
      </c>
      <c r="J16" s="302">
        <v>468444327.06000006</v>
      </c>
      <c r="K16" s="917">
        <f t="shared" si="0"/>
        <v>0.14023720844444626</v>
      </c>
      <c r="L16" s="302">
        <f>+'[1]320103'!I11</f>
        <v>534137651.79853165</v>
      </c>
      <c r="M16" s="917" t="e">
        <f t="shared" si="1"/>
        <v>#REF!</v>
      </c>
      <c r="N16" s="302" t="e">
        <f>+'[1]320103'!K11</f>
        <v>#REF!</v>
      </c>
      <c r="O16" s="302"/>
      <c r="P16" s="302"/>
      <c r="Q16" s="1000">
        <f>SUM(R16:X16)</f>
        <v>534137651.35853159</v>
      </c>
      <c r="R16" s="1000">
        <v>457728892.66839385</v>
      </c>
      <c r="S16" s="1000">
        <v>40613151.842137754</v>
      </c>
      <c r="T16" s="1000"/>
      <c r="U16" s="1000">
        <v>19123601.648000002</v>
      </c>
      <c r="V16" s="1000"/>
      <c r="W16" s="1000">
        <v>16672005.199999996</v>
      </c>
      <c r="X16" s="1001"/>
    </row>
    <row r="17" spans="1:25" ht="25.5">
      <c r="A17" s="9">
        <v>9</v>
      </c>
      <c r="B17" s="146" t="s">
        <v>51</v>
      </c>
      <c r="C17" s="147" t="s">
        <v>214</v>
      </c>
      <c r="D17" s="147">
        <v>70</v>
      </c>
      <c r="E17" s="147">
        <v>80</v>
      </c>
      <c r="F17" s="147">
        <v>80</v>
      </c>
      <c r="G17" s="147">
        <v>80</v>
      </c>
      <c r="H17" s="302">
        <v>72216869</v>
      </c>
      <c r="I17" s="917">
        <f t="shared" si="2"/>
        <v>3.3181317308287066</v>
      </c>
      <c r="J17" s="302">
        <v>311841953.52999997</v>
      </c>
      <c r="K17" s="917">
        <f t="shared" si="0"/>
        <v>0.53164818778641532</v>
      </c>
      <c r="L17" s="302">
        <v>477632163</v>
      </c>
      <c r="M17" s="917" t="e">
        <f t="shared" si="1"/>
        <v>#REF!</v>
      </c>
      <c r="N17" s="302" t="e">
        <f>+'[1]320103'!K15</f>
        <v>#REF!</v>
      </c>
      <c r="O17" s="302"/>
      <c r="P17" s="302"/>
      <c r="Q17" s="1000">
        <f t="shared" si="4"/>
        <v>476839003.24040979</v>
      </c>
      <c r="R17" s="1000">
        <v>245455280.57971862</v>
      </c>
      <c r="S17" s="1000">
        <v>78785254.040000021</v>
      </c>
      <c r="T17" s="1000"/>
      <c r="U17" s="1000">
        <v>127743745.62069111</v>
      </c>
      <c r="V17" s="1000"/>
      <c r="W17" s="1000">
        <v>24854723</v>
      </c>
      <c r="X17" s="1001"/>
    </row>
    <row r="18" spans="1:25" ht="25.5">
      <c r="A18" s="999">
        <v>10</v>
      </c>
      <c r="B18" s="35" t="s">
        <v>52</v>
      </c>
      <c r="C18" s="124" t="s">
        <v>214</v>
      </c>
      <c r="D18" s="124">
        <v>20</v>
      </c>
      <c r="E18" s="124">
        <v>25</v>
      </c>
      <c r="F18" s="124">
        <v>30</v>
      </c>
      <c r="G18" s="124">
        <v>35</v>
      </c>
      <c r="H18" s="302">
        <v>222367667</v>
      </c>
      <c r="I18" s="917">
        <f t="shared" si="2"/>
        <v>0.97815685356810433</v>
      </c>
      <c r="J18" s="302">
        <v>439878124.48799998</v>
      </c>
      <c r="K18" s="917">
        <f t="shared" si="0"/>
        <v>1.9062604037789053E-2</v>
      </c>
      <c r="L18" s="302">
        <v>448263347</v>
      </c>
      <c r="M18" s="917" t="e">
        <f t="shared" si="1"/>
        <v>#REF!</v>
      </c>
      <c r="N18" s="302" t="e">
        <f>+'[1]320103'!K18</f>
        <v>#REF!</v>
      </c>
      <c r="O18" s="302"/>
      <c r="P18" s="302"/>
      <c r="Q18" s="1000">
        <f t="shared" si="4"/>
        <v>449056507.10487437</v>
      </c>
      <c r="R18" s="1000">
        <v>381213889.99851435</v>
      </c>
      <c r="S18" s="1000"/>
      <c r="T18" s="1000"/>
      <c r="U18" s="1000">
        <v>67842617.106360003</v>
      </c>
      <c r="V18" s="1000"/>
      <c r="W18" s="1000"/>
      <c r="X18" s="1001"/>
    </row>
    <row r="19" spans="1:25" ht="59.25" customHeight="1">
      <c r="A19" s="9">
        <v>11</v>
      </c>
      <c r="B19" s="146" t="s">
        <v>409</v>
      </c>
      <c r="C19" s="147" t="s">
        <v>210</v>
      </c>
      <c r="D19" s="147">
        <v>60</v>
      </c>
      <c r="E19" s="147">
        <v>120</v>
      </c>
      <c r="F19" s="147">
        <v>120</v>
      </c>
      <c r="G19" s="147">
        <v>120</v>
      </c>
      <c r="H19" s="302">
        <v>20538687</v>
      </c>
      <c r="I19" s="917">
        <f t="shared" si="2"/>
        <v>-1</v>
      </c>
      <c r="J19" s="302"/>
      <c r="K19" s="917" t="e">
        <f t="shared" si="0"/>
        <v>#DIV/0!</v>
      </c>
      <c r="L19" s="302">
        <f>+'[1]320103'!I21</f>
        <v>0</v>
      </c>
      <c r="M19" s="917" t="e">
        <f t="shared" si="1"/>
        <v>#REF!</v>
      </c>
      <c r="N19" s="302" t="e">
        <f>+'[1]320103'!K21</f>
        <v>#REF!</v>
      </c>
      <c r="O19" s="302"/>
      <c r="P19" s="302"/>
      <c r="Q19" s="1000">
        <f t="shared" si="4"/>
        <v>0</v>
      </c>
      <c r="R19" s="1000"/>
      <c r="S19" s="1000"/>
      <c r="T19" s="1000"/>
      <c r="U19" s="1000"/>
      <c r="V19" s="1000"/>
      <c r="W19" s="1000"/>
      <c r="X19" s="1001"/>
    </row>
    <row r="20" spans="1:25" ht="25.5">
      <c r="A20" s="9">
        <v>12</v>
      </c>
      <c r="B20" s="146" t="s">
        <v>410</v>
      </c>
      <c r="C20" s="147" t="s">
        <v>210</v>
      </c>
      <c r="D20" s="147">
        <v>1</v>
      </c>
      <c r="E20" s="147">
        <v>1</v>
      </c>
      <c r="F20" s="147">
        <v>1</v>
      </c>
      <c r="G20" s="147">
        <v>1</v>
      </c>
      <c r="H20" s="302">
        <v>16522687</v>
      </c>
      <c r="I20" s="917">
        <f t="shared" si="2"/>
        <v>-1</v>
      </c>
      <c r="J20" s="302">
        <v>0</v>
      </c>
      <c r="K20" s="917" t="e">
        <f t="shared" si="0"/>
        <v>#DIV/0!</v>
      </c>
      <c r="L20" s="302">
        <f>+'[1]320103'!I24</f>
        <v>0</v>
      </c>
      <c r="M20" s="917" t="e">
        <f t="shared" si="1"/>
        <v>#REF!</v>
      </c>
      <c r="N20" s="302" t="e">
        <f>+'[1]320103'!K24</f>
        <v>#REF!</v>
      </c>
      <c r="O20" s="302"/>
      <c r="P20" s="302"/>
      <c r="Q20" s="1000">
        <f t="shared" si="4"/>
        <v>0</v>
      </c>
      <c r="R20" s="1000"/>
      <c r="S20" s="1000"/>
      <c r="T20" s="1000"/>
      <c r="U20" s="1000"/>
      <c r="V20" s="1000"/>
      <c r="W20" s="1000"/>
      <c r="X20" s="1001"/>
    </row>
    <row r="21" spans="1:25" ht="38.25">
      <c r="A21" s="9">
        <v>14</v>
      </c>
      <c r="B21" s="146" t="s">
        <v>411</v>
      </c>
      <c r="C21" s="147" t="s">
        <v>214</v>
      </c>
      <c r="D21" s="147">
        <v>100</v>
      </c>
      <c r="E21" s="147">
        <v>100</v>
      </c>
      <c r="F21" s="147">
        <v>100</v>
      </c>
      <c r="G21" s="147">
        <v>100</v>
      </c>
      <c r="H21" s="302">
        <v>70000000</v>
      </c>
      <c r="I21" s="917">
        <f t="shared" si="2"/>
        <v>-0.3136942857142857</v>
      </c>
      <c r="J21" s="302">
        <v>48041400</v>
      </c>
      <c r="K21" s="917">
        <f t="shared" si="0"/>
        <v>-0.49513102823814464</v>
      </c>
      <c r="L21" s="302">
        <f>+'[1]320103'!I29</f>
        <v>24254612.219999999</v>
      </c>
      <c r="M21" s="917" t="e">
        <f t="shared" si="1"/>
        <v>#REF!</v>
      </c>
      <c r="N21" s="302" t="e">
        <f>+'[1]320103'!K29</f>
        <v>#REF!</v>
      </c>
      <c r="O21" s="302"/>
      <c r="P21" s="302"/>
      <c r="Q21" s="1000">
        <f t="shared" si="4"/>
        <v>24254612.219999999</v>
      </c>
      <c r="R21" s="1000"/>
      <c r="S21" s="1000"/>
      <c r="T21" s="1000"/>
      <c r="U21" s="1000">
        <v>24254612.219999999</v>
      </c>
      <c r="V21" s="1000"/>
      <c r="W21" s="1000"/>
      <c r="X21" s="1001"/>
    </row>
    <row r="22" spans="1:25" ht="38.25">
      <c r="A22" s="9">
        <v>15</v>
      </c>
      <c r="B22" s="146" t="s">
        <v>412</v>
      </c>
      <c r="C22" s="147" t="s">
        <v>214</v>
      </c>
      <c r="D22" s="147">
        <v>100</v>
      </c>
      <c r="E22" s="147">
        <v>100</v>
      </c>
      <c r="F22" s="147">
        <v>100</v>
      </c>
      <c r="G22" s="147">
        <v>100</v>
      </c>
      <c r="H22" s="302">
        <v>12000000</v>
      </c>
      <c r="I22" s="917">
        <f t="shared" si="2"/>
        <v>1.2156738333333332</v>
      </c>
      <c r="J22" s="302">
        <v>26588086</v>
      </c>
      <c r="K22" s="917">
        <f t="shared" si="0"/>
        <v>-0.21211782600673099</v>
      </c>
      <c r="L22" s="302">
        <f>+'[1]320103'!I31</f>
        <v>20948279</v>
      </c>
      <c r="M22" s="917" t="e">
        <f t="shared" si="1"/>
        <v>#REF!</v>
      </c>
      <c r="N22" s="302" t="e">
        <f>+'[1]320103'!K31</f>
        <v>#REF!</v>
      </c>
      <c r="O22" s="302"/>
      <c r="P22" s="302"/>
      <c r="Q22" s="1000">
        <f t="shared" si="4"/>
        <v>20948279</v>
      </c>
      <c r="R22" s="1000">
        <v>20948279</v>
      </c>
      <c r="S22" s="1000"/>
      <c r="T22" s="1000"/>
      <c r="U22" s="1000"/>
      <c r="V22" s="1000"/>
      <c r="W22" s="1000"/>
      <c r="X22" s="1001"/>
    </row>
    <row r="23" spans="1:25" ht="25.5">
      <c r="A23" s="9">
        <v>16</v>
      </c>
      <c r="B23" s="146" t="s">
        <v>38</v>
      </c>
      <c r="C23" s="147" t="s">
        <v>317</v>
      </c>
      <c r="D23" s="147">
        <v>1</v>
      </c>
      <c r="E23" s="147">
        <v>1</v>
      </c>
      <c r="F23" s="147">
        <v>1</v>
      </c>
      <c r="G23" s="147">
        <v>1</v>
      </c>
      <c r="H23" s="302">
        <v>31217546</v>
      </c>
      <c r="I23" s="917">
        <f t="shared" si="2"/>
        <v>59.660982364970955</v>
      </c>
      <c r="J23" s="302">
        <v>1893687007.3836696</v>
      </c>
      <c r="K23" s="917">
        <f t="shared" si="0"/>
        <v>0.10139781448413354</v>
      </c>
      <c r="L23" s="304">
        <f>+'[1]320103'!I33</f>
        <v>2085702731.249373</v>
      </c>
      <c r="M23" s="917" t="e">
        <f t="shared" si="1"/>
        <v>#REF!</v>
      </c>
      <c r="N23" s="304" t="e">
        <f>+'[1]320103'!K33</f>
        <v>#REF!</v>
      </c>
      <c r="O23" s="304"/>
      <c r="P23" s="304"/>
      <c r="Q23" s="1002">
        <f t="shared" si="4"/>
        <v>2085702731.249373</v>
      </c>
      <c r="R23" s="1002">
        <v>1308679252</v>
      </c>
      <c r="S23" s="1002"/>
      <c r="T23" s="1002"/>
      <c r="U23" s="1002">
        <v>777023479.24937296</v>
      </c>
      <c r="V23" s="1002"/>
      <c r="W23" s="1002"/>
      <c r="X23" s="1003"/>
      <c r="Y23" s="59"/>
    </row>
    <row r="24" spans="1:25" ht="15.75">
      <c r="A24" s="2323" t="s">
        <v>414</v>
      </c>
      <c r="B24" s="2324"/>
      <c r="C24" s="2324"/>
      <c r="D24" s="2324"/>
      <c r="E24" s="2324"/>
      <c r="F24" s="2324"/>
      <c r="G24" s="2325"/>
      <c r="H24" s="1292"/>
      <c r="I24" s="1292"/>
      <c r="J24" s="1292"/>
      <c r="K24" s="1292"/>
      <c r="L24" s="1292"/>
      <c r="M24" s="1292"/>
      <c r="N24" s="1292"/>
      <c r="O24" s="932"/>
      <c r="P24" s="932"/>
      <c r="Q24" s="1004"/>
      <c r="R24" s="1004"/>
      <c r="S24" s="1004"/>
      <c r="T24" s="1004"/>
      <c r="U24" s="1004"/>
      <c r="V24" s="1004"/>
      <c r="W24" s="1004"/>
      <c r="X24" s="1005"/>
    </row>
    <row r="25" spans="1:25" ht="15.75">
      <c r="A25" s="2327" t="s">
        <v>182</v>
      </c>
      <c r="B25" s="2328"/>
      <c r="C25" s="2328"/>
      <c r="D25" s="2328"/>
      <c r="E25" s="2328"/>
      <c r="F25" s="2328"/>
      <c r="G25" s="2328"/>
      <c r="H25" s="1045">
        <f>SUM(H26:H36)</f>
        <v>3990284306</v>
      </c>
      <c r="I25" s="1299">
        <f>+(J25-H25)/H25</f>
        <v>-2.5080167708731774E-3</v>
      </c>
      <c r="J25" s="1045">
        <f>SUM(J26:J36)</f>
        <v>3980276606.04</v>
      </c>
      <c r="K25" s="1299">
        <f>+(L25-J25)/J25</f>
        <v>-0.10356195746518866</v>
      </c>
      <c r="L25" s="1045">
        <f>SUM(L26:L36)</f>
        <v>3568071369.4656</v>
      </c>
      <c r="M25" s="1299">
        <f>+(N25-L25)/L25</f>
        <v>-6.1360070972568813E-2</v>
      </c>
      <c r="N25" s="1045">
        <v>3349134257</v>
      </c>
      <c r="O25" s="303">
        <f>SUM(O26:O36)</f>
        <v>0</v>
      </c>
      <c r="P25" s="303"/>
      <c r="Q25" s="997">
        <f>SUM(Q26:Q36)</f>
        <v>2349326723</v>
      </c>
      <c r="R25" s="997">
        <f t="shared" ref="R25:X25" si="5">SUM(R26:R36)</f>
        <v>97504966</v>
      </c>
      <c r="S25" s="997">
        <f t="shared" si="5"/>
        <v>2251821757</v>
      </c>
      <c r="T25" s="997">
        <f>SUM(T26:T36)</f>
        <v>0</v>
      </c>
      <c r="U25" s="997">
        <f t="shared" si="5"/>
        <v>0</v>
      </c>
      <c r="V25" s="997">
        <f t="shared" si="5"/>
        <v>0</v>
      </c>
      <c r="W25" s="997">
        <f t="shared" si="5"/>
        <v>0</v>
      </c>
      <c r="X25" s="998">
        <f t="shared" si="5"/>
        <v>0</v>
      </c>
    </row>
    <row r="26" spans="1:25" ht="38.25">
      <c r="A26" s="9">
        <v>17</v>
      </c>
      <c r="B26" s="146" t="s">
        <v>205</v>
      </c>
      <c r="C26" s="147" t="s">
        <v>210</v>
      </c>
      <c r="D26" s="147">
        <v>30</v>
      </c>
      <c r="E26" s="147">
        <v>30</v>
      </c>
      <c r="F26" s="147">
        <v>30</v>
      </c>
      <c r="G26" s="147">
        <v>30</v>
      </c>
      <c r="H26" s="302">
        <v>128377245</v>
      </c>
      <c r="I26" s="917">
        <f t="shared" si="2"/>
        <v>-0.39756112510437508</v>
      </c>
      <c r="J26" s="302">
        <v>77339443.039999992</v>
      </c>
      <c r="K26" s="917">
        <f>+(L26-J26)/J26</f>
        <v>1.7486615805036709</v>
      </c>
      <c r="L26" s="302">
        <f>+'[1]320201'!H7</f>
        <v>212579955.74160001</v>
      </c>
      <c r="M26" s="917" t="e">
        <f>+(N26-L26)/L26</f>
        <v>#REF!</v>
      </c>
      <c r="N26" s="302" t="e">
        <f>+'[1]320201'!J7</f>
        <v>#REF!</v>
      </c>
      <c r="O26" s="302"/>
      <c r="P26" s="302"/>
      <c r="Q26" s="1006">
        <f t="shared" ref="Q26:Q36" si="6">SUM(R26:X26)</f>
        <v>0</v>
      </c>
      <c r="R26" s="1006"/>
      <c r="S26" s="1007"/>
      <c r="T26" s="1007"/>
      <c r="U26" s="1007"/>
      <c r="V26" s="1007"/>
      <c r="W26" s="1007"/>
      <c r="X26" s="1008"/>
    </row>
    <row r="27" spans="1:25" ht="30">
      <c r="A27" s="9">
        <v>18</v>
      </c>
      <c r="B27" s="146" t="s">
        <v>33</v>
      </c>
      <c r="C27" s="147" t="s">
        <v>210</v>
      </c>
      <c r="D27" s="147">
        <v>3</v>
      </c>
      <c r="E27" s="147">
        <v>3</v>
      </c>
      <c r="F27" s="147">
        <v>3</v>
      </c>
      <c r="G27" s="147">
        <v>3</v>
      </c>
      <c r="H27" s="302">
        <v>105000000</v>
      </c>
      <c r="I27" s="917">
        <f t="shared" si="2"/>
        <v>4.8000000000000001E-2</v>
      </c>
      <c r="J27" s="302">
        <v>110040000</v>
      </c>
      <c r="K27" s="917">
        <f>+(L27-J27)/J27</f>
        <v>7.1271372500908763</v>
      </c>
      <c r="L27" s="302">
        <f>+'[1]320201'!H10</f>
        <v>894310183</v>
      </c>
      <c r="M27" s="917" t="e">
        <f>+(N27-L27)/L27</f>
        <v>#REF!</v>
      </c>
      <c r="N27" s="302" t="e">
        <f>+'[1]320201'!J10</f>
        <v>#REF!</v>
      </c>
      <c r="O27" s="1009" t="s">
        <v>520</v>
      </c>
      <c r="P27" s="1009"/>
      <c r="Q27" s="1010">
        <f t="shared" si="6"/>
        <v>100000000</v>
      </c>
      <c r="R27" s="1000"/>
      <c r="S27" s="1007">
        <v>100000000</v>
      </c>
      <c r="T27" s="1007"/>
      <c r="U27" s="1007"/>
      <c r="V27" s="1007"/>
      <c r="W27" s="1007"/>
      <c r="X27" s="1008"/>
    </row>
    <row r="28" spans="1:25" ht="68.25" customHeight="1">
      <c r="A28" s="9">
        <v>19</v>
      </c>
      <c r="B28" s="146" t="s">
        <v>211</v>
      </c>
      <c r="C28" s="147" t="s">
        <v>210</v>
      </c>
      <c r="D28" s="147">
        <v>2</v>
      </c>
      <c r="E28" s="147">
        <v>2</v>
      </c>
      <c r="F28" s="147">
        <v>2</v>
      </c>
      <c r="G28" s="147">
        <v>1</v>
      </c>
      <c r="H28" s="302">
        <v>327379758</v>
      </c>
      <c r="I28" s="917">
        <f t="shared" si="2"/>
        <v>-0.720274315188418</v>
      </c>
      <c r="J28" s="302">
        <v>91576527</v>
      </c>
      <c r="K28" s="917">
        <f>+(L28-J28)/J28</f>
        <v>3.7383739175869818E-2</v>
      </c>
      <c r="L28" s="302">
        <f>+'[1]320201'!H12</f>
        <v>95000000</v>
      </c>
      <c r="M28" s="917" t="e">
        <f>+(N28-L28)/L28</f>
        <v>#REF!</v>
      </c>
      <c r="N28" s="302" t="e">
        <f>+'[1]320201'!J12</f>
        <v>#REF!</v>
      </c>
      <c r="O28" s="302"/>
      <c r="P28" s="302"/>
      <c r="Q28" s="1010">
        <f t="shared" si="6"/>
        <v>0</v>
      </c>
      <c r="R28" s="1000"/>
      <c r="S28" s="1007"/>
      <c r="T28" s="1007"/>
      <c r="U28" s="1007"/>
      <c r="V28" s="1007"/>
      <c r="W28" s="1007"/>
      <c r="X28" s="1008"/>
    </row>
    <row r="29" spans="1:25" s="389" customFormat="1" ht="38.25" customHeight="1">
      <c r="A29" s="2338">
        <v>20</v>
      </c>
      <c r="B29" s="2339" t="s">
        <v>213</v>
      </c>
      <c r="C29" s="2340" t="s">
        <v>210</v>
      </c>
      <c r="D29" s="2340">
        <v>3</v>
      </c>
      <c r="E29" s="2340">
        <v>2</v>
      </c>
      <c r="F29" s="2340">
        <v>1</v>
      </c>
      <c r="G29" s="2340">
        <v>1</v>
      </c>
      <c r="H29" s="1011">
        <v>500000000</v>
      </c>
      <c r="I29" s="1012">
        <f t="shared" si="2"/>
        <v>-2.3782080000000001E-3</v>
      </c>
      <c r="J29" s="1011">
        <v>498810896</v>
      </c>
      <c r="K29" s="1012">
        <f>+(L29-J29)/J29</f>
        <v>0.10219318409596244</v>
      </c>
      <c r="L29" s="1011">
        <f>+'[1]320201'!H14</f>
        <v>549785969.72399998</v>
      </c>
      <c r="M29" s="1012" t="e">
        <f>+(N29-L29)/L29</f>
        <v>#REF!</v>
      </c>
      <c r="N29" s="1011" t="e">
        <f>+'[1]320201'!J14</f>
        <v>#REF!</v>
      </c>
      <c r="O29" s="1013" t="s">
        <v>521</v>
      </c>
      <c r="P29" s="1013"/>
      <c r="Q29" s="1010">
        <f t="shared" si="6"/>
        <v>551821757</v>
      </c>
      <c r="R29" s="1014"/>
      <c r="S29" s="1010">
        <v>551821757</v>
      </c>
      <c r="T29" s="1015"/>
      <c r="U29" s="1015"/>
      <c r="V29" s="1015"/>
      <c r="W29" s="1015"/>
      <c r="X29" s="1016"/>
    </row>
    <row r="30" spans="1:25" s="389" customFormat="1">
      <c r="A30" s="2338"/>
      <c r="B30" s="2339"/>
      <c r="C30" s="2340"/>
      <c r="D30" s="2340"/>
      <c r="E30" s="2340"/>
      <c r="F30" s="2340"/>
      <c r="G30" s="2340"/>
      <c r="H30" s="1011"/>
      <c r="I30" s="1012"/>
      <c r="J30" s="1011"/>
      <c r="K30" s="1012"/>
      <c r="L30" s="1011"/>
      <c r="M30" s="1012"/>
      <c r="N30" s="1011"/>
      <c r="O30" s="1017" t="s">
        <v>522</v>
      </c>
      <c r="P30" s="1013"/>
      <c r="Q30" s="1010">
        <f t="shared" si="6"/>
        <v>97504966</v>
      </c>
      <c r="R30" s="1010">
        <f>72771107+24733859</f>
        <v>97504966</v>
      </c>
      <c r="S30" s="1015"/>
      <c r="T30" s="1015"/>
      <c r="U30" s="1015"/>
      <c r="V30" s="1015"/>
      <c r="W30" s="1015"/>
      <c r="X30" s="1016"/>
    </row>
    <row r="31" spans="1:25" ht="25.5">
      <c r="A31" s="9">
        <v>21</v>
      </c>
      <c r="B31" s="32" t="s">
        <v>34</v>
      </c>
      <c r="C31" s="33" t="s">
        <v>214</v>
      </c>
      <c r="D31" s="147">
        <v>57</v>
      </c>
      <c r="E31" s="147">
        <v>67</v>
      </c>
      <c r="F31" s="147">
        <v>83</v>
      </c>
      <c r="G31" s="147">
        <v>100</v>
      </c>
      <c r="H31" s="302">
        <v>123000000</v>
      </c>
      <c r="I31" s="917">
        <f t="shared" si="2"/>
        <v>-0.23917439024390244</v>
      </c>
      <c r="J31" s="302">
        <v>93581550</v>
      </c>
      <c r="K31" s="917">
        <f t="shared" ref="K31:K46" si="7">+(L31-J31)/J31</f>
        <v>-0.83657740227641031</v>
      </c>
      <c r="L31" s="302">
        <f>+'[1]320201'!H16</f>
        <v>15293340</v>
      </c>
      <c r="M31" s="917" t="e">
        <f t="shared" ref="M31:M46" si="8">+(N31-L31)/L31</f>
        <v>#REF!</v>
      </c>
      <c r="N31" s="302" t="e">
        <f>+'[1]320201'!J16</f>
        <v>#REF!</v>
      </c>
      <c r="O31" s="302"/>
      <c r="P31" s="302"/>
      <c r="Q31" s="1000">
        <f t="shared" si="6"/>
        <v>0</v>
      </c>
      <c r="R31" s="1000"/>
      <c r="S31" s="1007"/>
      <c r="T31" s="1007"/>
      <c r="U31" s="1007"/>
      <c r="V31" s="1007"/>
      <c r="W31" s="1007"/>
      <c r="X31" s="1008"/>
    </row>
    <row r="32" spans="1:25" ht="38.25">
      <c r="A32" s="999">
        <v>22</v>
      </c>
      <c r="B32" s="35" t="s">
        <v>35</v>
      </c>
      <c r="C32" s="36" t="s">
        <v>214</v>
      </c>
      <c r="D32" s="37">
        <v>100</v>
      </c>
      <c r="E32" s="37">
        <v>100</v>
      </c>
      <c r="F32" s="37">
        <v>100</v>
      </c>
      <c r="G32" s="37">
        <v>100</v>
      </c>
      <c r="H32" s="302">
        <v>5000000</v>
      </c>
      <c r="I32" s="917">
        <f t="shared" si="2"/>
        <v>-0.5</v>
      </c>
      <c r="J32" s="302">
        <v>2500000</v>
      </c>
      <c r="K32" s="917">
        <f t="shared" si="7"/>
        <v>4.3121368000000002</v>
      </c>
      <c r="L32" s="302">
        <f>+'[1]320201'!H18</f>
        <v>13280342</v>
      </c>
      <c r="M32" s="917" t="e">
        <f t="shared" si="8"/>
        <v>#REF!</v>
      </c>
      <c r="N32" s="302" t="e">
        <f>+'[1]320201'!J18</f>
        <v>#REF!</v>
      </c>
      <c r="O32" s="302"/>
      <c r="P32" s="302"/>
      <c r="Q32" s="1000">
        <f t="shared" si="6"/>
        <v>0</v>
      </c>
      <c r="R32" s="1000"/>
      <c r="S32" s="1007"/>
      <c r="T32" s="1007"/>
      <c r="U32" s="1007"/>
      <c r="V32" s="1007"/>
      <c r="W32" s="1007"/>
      <c r="X32" s="1008"/>
    </row>
    <row r="33" spans="1:25" ht="25.5">
      <c r="A33" s="999">
        <v>23</v>
      </c>
      <c r="B33" s="35" t="s">
        <v>217</v>
      </c>
      <c r="C33" s="37" t="s">
        <v>214</v>
      </c>
      <c r="D33" s="38">
        <v>100</v>
      </c>
      <c r="E33" s="38">
        <v>100</v>
      </c>
      <c r="F33" s="38">
        <v>100</v>
      </c>
      <c r="G33" s="38">
        <v>100</v>
      </c>
      <c r="H33" s="302">
        <v>2100000000</v>
      </c>
      <c r="I33" s="917">
        <f t="shared" si="2"/>
        <v>0.12530565761904761</v>
      </c>
      <c r="J33" s="302">
        <v>2363141881</v>
      </c>
      <c r="K33" s="917">
        <f t="shared" si="7"/>
        <v>-0.55082300494339209</v>
      </c>
      <c r="L33" s="302">
        <f>+'[1]320201'!H20</f>
        <v>1061468969</v>
      </c>
      <c r="M33" s="917" t="e">
        <f t="shared" si="8"/>
        <v>#REF!</v>
      </c>
      <c r="N33" s="302" t="e">
        <f>+'[1]320201'!J20</f>
        <v>#REF!</v>
      </c>
      <c r="O33" s="302"/>
      <c r="P33" s="302" t="s">
        <v>523</v>
      </c>
      <c r="Q33" s="1000">
        <f t="shared" si="6"/>
        <v>1600000000</v>
      </c>
      <c r="R33" s="1000"/>
      <c r="S33" s="1000">
        <v>1600000000</v>
      </c>
      <c r="T33" s="1000"/>
      <c r="U33" s="1000"/>
      <c r="V33" s="1000"/>
      <c r="W33" s="1000"/>
      <c r="X33" s="1001"/>
    </row>
    <row r="34" spans="1:25" ht="38.25">
      <c r="A34" s="999">
        <v>24</v>
      </c>
      <c r="B34" s="35" t="s">
        <v>36</v>
      </c>
      <c r="C34" s="37" t="s">
        <v>214</v>
      </c>
      <c r="D34" s="38">
        <v>25</v>
      </c>
      <c r="E34" s="38">
        <v>25</v>
      </c>
      <c r="F34" s="38">
        <v>25</v>
      </c>
      <c r="G34" s="38">
        <v>25</v>
      </c>
      <c r="H34" s="302">
        <v>500000000</v>
      </c>
      <c r="I34" s="917">
        <f t="shared" si="2"/>
        <v>-0.25798542800000002</v>
      </c>
      <c r="J34" s="302">
        <v>371007286</v>
      </c>
      <c r="K34" s="917">
        <f t="shared" si="7"/>
        <v>-0.27355189730694401</v>
      </c>
      <c r="L34" s="302">
        <f>+'[1]320201'!H24</f>
        <v>269517539</v>
      </c>
      <c r="M34" s="917" t="e">
        <f t="shared" si="8"/>
        <v>#REF!</v>
      </c>
      <c r="N34" s="302" t="e">
        <f>+'[1]320201'!J24</f>
        <v>#REF!</v>
      </c>
      <c r="O34" s="302"/>
      <c r="P34" s="302"/>
      <c r="Q34" s="1000">
        <f t="shared" si="6"/>
        <v>0</v>
      </c>
      <c r="R34" s="1000"/>
      <c r="S34" s="1000"/>
      <c r="T34" s="1000"/>
      <c r="U34" s="1000"/>
      <c r="V34" s="1000"/>
      <c r="W34" s="1000"/>
      <c r="X34" s="1001"/>
    </row>
    <row r="35" spans="1:25" ht="38.25">
      <c r="A35" s="999">
        <v>25</v>
      </c>
      <c r="B35" s="35" t="s">
        <v>37</v>
      </c>
      <c r="C35" s="37" t="s">
        <v>214</v>
      </c>
      <c r="D35" s="38">
        <v>100</v>
      </c>
      <c r="E35" s="38">
        <v>100</v>
      </c>
      <c r="F35" s="38">
        <v>100</v>
      </c>
      <c r="G35" s="38">
        <v>100</v>
      </c>
      <c r="H35" s="302">
        <v>150000000</v>
      </c>
      <c r="I35" s="917">
        <f t="shared" si="2"/>
        <v>0.34668278000000002</v>
      </c>
      <c r="J35" s="302">
        <v>202002417</v>
      </c>
      <c r="K35" s="917">
        <f t="shared" si="7"/>
        <v>0.21983705274179963</v>
      </c>
      <c r="L35" s="302">
        <f>+'[1]320201'!H27</f>
        <v>246410033</v>
      </c>
      <c r="M35" s="917" t="e">
        <f t="shared" si="8"/>
        <v>#REF!</v>
      </c>
      <c r="N35" s="302" t="e">
        <f>+'[1]320201'!J27</f>
        <v>#REF!</v>
      </c>
      <c r="O35" s="302"/>
      <c r="P35" s="302" t="s">
        <v>524</v>
      </c>
      <c r="Q35" s="1000">
        <f t="shared" si="6"/>
        <v>0</v>
      </c>
      <c r="R35" s="1000"/>
      <c r="S35" s="1000"/>
      <c r="T35" s="1000"/>
      <c r="U35" s="1000"/>
      <c r="V35" s="1000"/>
      <c r="W35" s="1000"/>
      <c r="X35" s="1001"/>
    </row>
    <row r="36" spans="1:25" ht="25.5">
      <c r="A36" s="9">
        <v>26</v>
      </c>
      <c r="B36" s="32" t="s">
        <v>38</v>
      </c>
      <c r="C36" s="33" t="s">
        <v>209</v>
      </c>
      <c r="D36" s="40">
        <v>1</v>
      </c>
      <c r="E36" s="40">
        <v>1</v>
      </c>
      <c r="F36" s="40">
        <v>1</v>
      </c>
      <c r="G36" s="40">
        <v>1</v>
      </c>
      <c r="H36" s="302">
        <v>51527303</v>
      </c>
      <c r="I36" s="917">
        <f t="shared" si="2"/>
        <v>2.3045899180867275</v>
      </c>
      <c r="J36" s="302">
        <v>170276606</v>
      </c>
      <c r="K36" s="917">
        <f t="shared" si="7"/>
        <v>0.23578360494218448</v>
      </c>
      <c r="L36" s="302">
        <f>+'[1]320201'!H30</f>
        <v>210425038</v>
      </c>
      <c r="M36" s="917" t="e">
        <f t="shared" si="8"/>
        <v>#REF!</v>
      </c>
      <c r="N36" s="302" t="e">
        <f>+'[1]320201'!J30</f>
        <v>#REF!</v>
      </c>
      <c r="O36" s="302"/>
      <c r="P36" s="302"/>
      <c r="Q36" s="1000">
        <f t="shared" si="6"/>
        <v>0</v>
      </c>
      <c r="R36" s="1000"/>
      <c r="S36" s="1000"/>
      <c r="T36" s="1000"/>
      <c r="U36" s="1000"/>
      <c r="V36" s="1000"/>
      <c r="W36" s="1000"/>
      <c r="X36" s="1001"/>
    </row>
    <row r="37" spans="1:25" ht="15.75">
      <c r="A37" s="2329" t="s">
        <v>415</v>
      </c>
      <c r="B37" s="2330"/>
      <c r="C37" s="2330"/>
      <c r="D37" s="2330"/>
      <c r="E37" s="2330"/>
      <c r="F37" s="2330"/>
      <c r="G37" s="2330"/>
      <c r="H37" s="303">
        <f>SUM(H38:H40)</f>
        <v>1216211306</v>
      </c>
      <c r="I37" s="1294">
        <f>+(J37-H37)/H37</f>
        <v>-0.35390393856114999</v>
      </c>
      <c r="J37" s="303">
        <f>SUM(J38:J40)</f>
        <v>785789334.68400002</v>
      </c>
      <c r="K37" s="1294">
        <f t="shared" si="7"/>
        <v>0.25467356387125922</v>
      </c>
      <c r="L37" s="303">
        <f>SUM(L38:L40)</f>
        <v>985909105</v>
      </c>
      <c r="M37" s="1294">
        <f t="shared" si="8"/>
        <v>5.9999999695712312E-2</v>
      </c>
      <c r="N37" s="303">
        <v>1045063651</v>
      </c>
      <c r="O37" s="303">
        <f t="shared" ref="O37:T37" si="9">SUM(O38:O40)</f>
        <v>0</v>
      </c>
      <c r="P37" s="303"/>
      <c r="Q37" s="997">
        <f>SUM(Q38:Q40)</f>
        <v>985909104.94000006</v>
      </c>
      <c r="R37" s="997">
        <f t="shared" si="9"/>
        <v>804367419.94000006</v>
      </c>
      <c r="S37" s="997">
        <f t="shared" si="9"/>
        <v>60483249</v>
      </c>
      <c r="T37" s="997">
        <f t="shared" si="9"/>
        <v>0</v>
      </c>
      <c r="U37" s="997">
        <f>SUM(U38:U40)</f>
        <v>121058436</v>
      </c>
      <c r="V37" s="997"/>
      <c r="W37" s="997"/>
      <c r="X37" s="998"/>
      <c r="Y37" s="59"/>
    </row>
    <row r="38" spans="1:25" ht="51">
      <c r="A38" s="9">
        <v>27</v>
      </c>
      <c r="B38" s="32" t="s">
        <v>271</v>
      </c>
      <c r="C38" s="147" t="s">
        <v>210</v>
      </c>
      <c r="D38" s="147">
        <v>1</v>
      </c>
      <c r="E38" s="147">
        <v>1</v>
      </c>
      <c r="F38" s="147">
        <v>1</v>
      </c>
      <c r="G38" s="147">
        <v>1</v>
      </c>
      <c r="H38" s="302">
        <v>910151839</v>
      </c>
      <c r="I38" s="917">
        <f t="shared" si="2"/>
        <v>-0.46642805532583231</v>
      </c>
      <c r="J38" s="302">
        <v>485631486.68399996</v>
      </c>
      <c r="K38" s="917">
        <f t="shared" si="7"/>
        <v>0.26482137143566969</v>
      </c>
      <c r="L38" s="302">
        <v>614237083</v>
      </c>
      <c r="M38" s="917" t="e">
        <f t="shared" si="8"/>
        <v>#REF!</v>
      </c>
      <c r="N38" s="302" t="e">
        <f>+'[1]320202'!J7</f>
        <v>#REF!</v>
      </c>
      <c r="O38" s="302"/>
      <c r="P38" s="302"/>
      <c r="Q38" s="1000">
        <f>SUM(R38:X38)</f>
        <v>618749460.54719996</v>
      </c>
      <c r="R38" s="1000">
        <v>535419227.94080007</v>
      </c>
      <c r="S38" s="1000">
        <v>60483249</v>
      </c>
      <c r="T38" s="1000"/>
      <c r="U38" s="1000">
        <v>22846983.606399894</v>
      </c>
      <c r="V38" s="1000"/>
      <c r="W38" s="1000"/>
      <c r="X38" s="1001"/>
    </row>
    <row r="39" spans="1:25" ht="51">
      <c r="A39" s="153">
        <v>28</v>
      </c>
      <c r="B39" s="148" t="s">
        <v>416</v>
      </c>
      <c r="C39" s="10" t="s">
        <v>210</v>
      </c>
      <c r="D39" s="10">
        <v>1</v>
      </c>
      <c r="E39" s="10">
        <v>1</v>
      </c>
      <c r="F39" s="10">
        <v>1</v>
      </c>
      <c r="G39" s="10">
        <v>1</v>
      </c>
      <c r="H39" s="302">
        <v>27108000</v>
      </c>
      <c r="I39" s="917">
        <f t="shared" si="2"/>
        <v>0.22222222222222221</v>
      </c>
      <c r="J39" s="302">
        <v>33132000</v>
      </c>
      <c r="K39" s="917">
        <f t="shared" si="7"/>
        <v>1.1777589037788241</v>
      </c>
      <c r="L39" s="302">
        <v>72153508</v>
      </c>
      <c r="M39" s="917" t="e">
        <f t="shared" si="8"/>
        <v>#REF!</v>
      </c>
      <c r="N39" s="302" t="e">
        <f>+'[1]320202'!J11</f>
        <v>#REF!</v>
      </c>
      <c r="O39" s="302"/>
      <c r="P39" s="302"/>
      <c r="Q39" s="1000">
        <f>SUM(R39:X39)</f>
        <v>80839801.440000013</v>
      </c>
      <c r="R39" s="1000">
        <v>80839801.440000013</v>
      </c>
      <c r="S39" s="1000"/>
      <c r="T39" s="1000"/>
      <c r="U39" s="1000"/>
      <c r="V39" s="1000"/>
      <c r="W39" s="1000"/>
      <c r="X39" s="1001"/>
    </row>
    <row r="40" spans="1:25" ht="51">
      <c r="A40" s="153">
        <v>29</v>
      </c>
      <c r="B40" s="148" t="s">
        <v>417</v>
      </c>
      <c r="C40" s="10" t="s">
        <v>210</v>
      </c>
      <c r="D40" s="10">
        <v>1</v>
      </c>
      <c r="E40" s="10">
        <v>1</v>
      </c>
      <c r="F40" s="10">
        <v>1</v>
      </c>
      <c r="G40" s="10">
        <v>1</v>
      </c>
      <c r="H40" s="302">
        <v>278951467</v>
      </c>
      <c r="I40" s="917">
        <f t="shared" si="2"/>
        <v>-4.2751590906671945E-2</v>
      </c>
      <c r="J40" s="302">
        <v>267025848</v>
      </c>
      <c r="K40" s="917">
        <f t="shared" si="7"/>
        <v>0.12168359821106157</v>
      </c>
      <c r="L40" s="302">
        <v>299518514</v>
      </c>
      <c r="M40" s="917" t="e">
        <f t="shared" si="8"/>
        <v>#REF!</v>
      </c>
      <c r="N40" s="302" t="e">
        <f>+'[1]320202'!J14</f>
        <v>#REF!</v>
      </c>
      <c r="O40" s="302"/>
      <c r="P40" s="302"/>
      <c r="Q40" s="1000">
        <f>SUM(R40:X40)</f>
        <v>286319842.95280004</v>
      </c>
      <c r="R40" s="1000">
        <v>188108390.5591999</v>
      </c>
      <c r="S40" s="1000"/>
      <c r="T40" s="1000"/>
      <c r="U40" s="1000">
        <v>98211452.393600106</v>
      </c>
      <c r="V40" s="1000"/>
      <c r="W40" s="1000"/>
      <c r="X40" s="1001"/>
    </row>
    <row r="41" spans="1:25" ht="15.75" customHeight="1">
      <c r="A41" s="2331" t="s">
        <v>373</v>
      </c>
      <c r="B41" s="2332"/>
      <c r="C41" s="2332"/>
      <c r="D41" s="2332"/>
      <c r="E41" s="2332"/>
      <c r="F41" s="2332"/>
      <c r="G41" s="2332"/>
      <c r="H41" s="303">
        <f>SUM(H42:H46)</f>
        <v>1863599822</v>
      </c>
      <c r="I41" s="1294">
        <f>+(J41-H41)/H41</f>
        <v>-0.49404037558445313</v>
      </c>
      <c r="J41" s="303">
        <f>SUM(J42:J46)</f>
        <v>942906266</v>
      </c>
      <c r="K41" s="1294">
        <f t="shared" si="7"/>
        <v>0.19818104804067554</v>
      </c>
      <c r="L41" s="303">
        <f>SUM(L42:L46)</f>
        <v>1129772418</v>
      </c>
      <c r="M41" s="1294">
        <f t="shared" si="8"/>
        <v>-1.1957801221519996E-2</v>
      </c>
      <c r="N41" s="303">
        <v>1116262824</v>
      </c>
      <c r="O41" s="303"/>
      <c r="P41" s="303"/>
      <c r="Q41" s="997">
        <f>SUM(Q42:Q46)</f>
        <v>316206000</v>
      </c>
      <c r="R41" s="997">
        <f t="shared" ref="R41:X41" si="10">SUM(R42:R46)</f>
        <v>0</v>
      </c>
      <c r="S41" s="997">
        <f t="shared" si="10"/>
        <v>316206000</v>
      </c>
      <c r="T41" s="997">
        <f t="shared" si="10"/>
        <v>0</v>
      </c>
      <c r="U41" s="997">
        <f>SUM(U42:U46)</f>
        <v>0</v>
      </c>
      <c r="V41" s="997">
        <f t="shared" si="10"/>
        <v>0</v>
      </c>
      <c r="W41" s="997">
        <f t="shared" si="10"/>
        <v>0</v>
      </c>
      <c r="X41" s="998">
        <f t="shared" si="10"/>
        <v>0</v>
      </c>
      <c r="Y41" s="59"/>
    </row>
    <row r="42" spans="1:25" ht="25.5">
      <c r="A42" s="999">
        <v>30</v>
      </c>
      <c r="B42" s="35" t="s">
        <v>283</v>
      </c>
      <c r="C42" s="37" t="s">
        <v>214</v>
      </c>
      <c r="D42" s="38">
        <v>100</v>
      </c>
      <c r="E42" s="38">
        <v>100</v>
      </c>
      <c r="F42" s="38">
        <v>100</v>
      </c>
      <c r="G42" s="38">
        <v>100</v>
      </c>
      <c r="H42" s="302">
        <v>163787200</v>
      </c>
      <c r="I42" s="917">
        <f t="shared" si="2"/>
        <v>-0.51156134301093126</v>
      </c>
      <c r="J42" s="302">
        <v>80000000</v>
      </c>
      <c r="K42" s="917">
        <f t="shared" si="7"/>
        <v>0.50285741250000004</v>
      </c>
      <c r="L42" s="302">
        <f>+'[1]320203'!H7</f>
        <v>120228593</v>
      </c>
      <c r="M42" s="917" t="e">
        <f t="shared" si="8"/>
        <v>#REF!</v>
      </c>
      <c r="N42" s="302" t="e">
        <f>+'[1]320203'!J7</f>
        <v>#REF!</v>
      </c>
      <c r="O42" s="302"/>
      <c r="P42" s="302"/>
      <c r="Q42" s="1000">
        <f>SUM(R42:X42)</f>
        <v>0</v>
      </c>
      <c r="R42" s="1000"/>
      <c r="S42" s="1000"/>
      <c r="T42" s="1000"/>
      <c r="U42" s="1000"/>
      <c r="V42" s="1000"/>
      <c r="W42" s="1000"/>
      <c r="X42" s="1001"/>
    </row>
    <row r="43" spans="1:25" ht="38.25">
      <c r="A43" s="153">
        <v>31</v>
      </c>
      <c r="B43" s="148" t="s">
        <v>418</v>
      </c>
      <c r="C43" s="10" t="s">
        <v>214</v>
      </c>
      <c r="D43" s="10">
        <v>100</v>
      </c>
      <c r="E43" s="10">
        <v>100</v>
      </c>
      <c r="F43" s="10">
        <v>100</v>
      </c>
      <c r="G43" s="10">
        <v>100</v>
      </c>
      <c r="H43" s="302">
        <v>304823665</v>
      </c>
      <c r="I43" s="917">
        <f t="shared" si="2"/>
        <v>6.2757814423627503E-2</v>
      </c>
      <c r="J43" s="302">
        <v>323953732</v>
      </c>
      <c r="K43" s="917">
        <f t="shared" si="7"/>
        <v>4.8712218570768004E-2</v>
      </c>
      <c r="L43" s="302">
        <f>+'[1]320203'!H9</f>
        <v>339734237</v>
      </c>
      <c r="M43" s="917" t="e">
        <f t="shared" si="8"/>
        <v>#REF!</v>
      </c>
      <c r="N43" s="302" t="e">
        <f>+'[1]320203'!J9</f>
        <v>#REF!</v>
      </c>
      <c r="O43" s="1009" t="s">
        <v>520</v>
      </c>
      <c r="P43" s="1009"/>
      <c r="Q43" s="1000">
        <f>SUM(R43:X43)</f>
        <v>164656000</v>
      </c>
      <c r="R43" s="1000"/>
      <c r="S43" s="1000">
        <v>164656000</v>
      </c>
      <c r="T43" s="1000"/>
      <c r="U43" s="1000"/>
      <c r="V43" s="1000"/>
      <c r="W43" s="1000"/>
      <c r="X43" s="1001"/>
    </row>
    <row r="44" spans="1:25" ht="30">
      <c r="A44" s="153">
        <v>32</v>
      </c>
      <c r="B44" s="148" t="s">
        <v>42</v>
      </c>
      <c r="C44" s="10" t="s">
        <v>287</v>
      </c>
      <c r="D44" s="10">
        <v>500</v>
      </c>
      <c r="E44" s="10">
        <v>300</v>
      </c>
      <c r="F44" s="10">
        <v>300</v>
      </c>
      <c r="G44" s="10">
        <v>300</v>
      </c>
      <c r="H44" s="302">
        <v>678407316</v>
      </c>
      <c r="I44" s="917">
        <f t="shared" si="2"/>
        <v>-0.7320803185442063</v>
      </c>
      <c r="J44" s="302">
        <v>181758672</v>
      </c>
      <c r="K44" s="917">
        <f t="shared" si="7"/>
        <v>2.6171736113917029E-3</v>
      </c>
      <c r="L44" s="302">
        <f>+'[1]320203'!H12</f>
        <v>182234366</v>
      </c>
      <c r="M44" s="917" t="e">
        <f t="shared" si="8"/>
        <v>#REF!</v>
      </c>
      <c r="N44" s="302" t="e">
        <f>+'[1]320203'!J12</f>
        <v>#REF!</v>
      </c>
      <c r="O44" s="1009" t="s">
        <v>520</v>
      </c>
      <c r="P44" s="1009"/>
      <c r="Q44" s="1000">
        <f>SUM(R44:X44)</f>
        <v>151550000</v>
      </c>
      <c r="R44" s="1000"/>
      <c r="S44" s="1000">
        <v>151550000</v>
      </c>
      <c r="T44" s="1000"/>
      <c r="U44" s="1000"/>
      <c r="V44" s="1000"/>
      <c r="W44" s="1000"/>
      <c r="X44" s="1001"/>
    </row>
    <row r="45" spans="1:25" ht="38.25">
      <c r="A45" s="153">
        <v>33</v>
      </c>
      <c r="B45" s="148" t="s">
        <v>43</v>
      </c>
      <c r="C45" s="10" t="s">
        <v>214</v>
      </c>
      <c r="D45" s="10">
        <v>100</v>
      </c>
      <c r="E45" s="10">
        <v>100</v>
      </c>
      <c r="F45" s="10">
        <v>100</v>
      </c>
      <c r="G45" s="10">
        <v>100</v>
      </c>
      <c r="H45" s="302">
        <v>337051099</v>
      </c>
      <c r="I45" s="917">
        <f t="shared" si="2"/>
        <v>-0.18409997529781086</v>
      </c>
      <c r="J45" s="302">
        <v>275000000</v>
      </c>
      <c r="K45" s="917">
        <f t="shared" si="7"/>
        <v>8.2549218181818179E-2</v>
      </c>
      <c r="L45" s="302">
        <f>+'[1]320203'!H15</f>
        <v>297701035</v>
      </c>
      <c r="M45" s="917" t="e">
        <f t="shared" si="8"/>
        <v>#REF!</v>
      </c>
      <c r="N45" s="302" t="e">
        <f>+'[1]320203'!J15</f>
        <v>#REF!</v>
      </c>
      <c r="O45" s="302"/>
      <c r="P45" s="302"/>
      <c r="Q45" s="1000">
        <f>SUM(R45:X45)</f>
        <v>0</v>
      </c>
      <c r="R45" s="1000"/>
      <c r="S45" s="1000"/>
      <c r="T45" s="1000"/>
      <c r="U45" s="1000"/>
      <c r="V45" s="1000"/>
      <c r="W45" s="1000"/>
      <c r="X45" s="1001"/>
    </row>
    <row r="46" spans="1:25" ht="63.75">
      <c r="A46" s="153">
        <v>34</v>
      </c>
      <c r="B46" s="148" t="s">
        <v>44</v>
      </c>
      <c r="C46" s="10" t="s">
        <v>284</v>
      </c>
      <c r="D46" s="10">
        <v>340</v>
      </c>
      <c r="E46" s="10">
        <v>50</v>
      </c>
      <c r="F46" s="10">
        <v>110</v>
      </c>
      <c r="G46" s="10">
        <v>110</v>
      </c>
      <c r="H46" s="302">
        <v>379530542</v>
      </c>
      <c r="I46" s="917">
        <f t="shared" si="2"/>
        <v>-0.78343281263514231</v>
      </c>
      <c r="J46" s="302">
        <v>82193862</v>
      </c>
      <c r="K46" s="917">
        <f t="shared" si="7"/>
        <v>1.3100774483622633</v>
      </c>
      <c r="L46" s="302">
        <f>+'[1]320203'!H17</f>
        <v>189874187</v>
      </c>
      <c r="M46" s="917" t="e">
        <f t="shared" si="8"/>
        <v>#REF!</v>
      </c>
      <c r="N46" s="302" t="e">
        <f>+'[1]320203'!J17</f>
        <v>#REF!</v>
      </c>
      <c r="O46" s="302"/>
      <c r="P46" s="302"/>
      <c r="Q46" s="1000">
        <f>SUM(R46:X46)</f>
        <v>0</v>
      </c>
      <c r="R46" s="1000"/>
      <c r="S46" s="1000"/>
      <c r="T46" s="1000"/>
      <c r="U46" s="1000"/>
      <c r="V46" s="1000"/>
      <c r="W46" s="1000"/>
      <c r="X46" s="1001"/>
    </row>
    <row r="47" spans="1:25" ht="15.75">
      <c r="A47" s="2323" t="s">
        <v>419</v>
      </c>
      <c r="B47" s="2324"/>
      <c r="C47" s="2324"/>
      <c r="D47" s="2324"/>
      <c r="E47" s="2324"/>
      <c r="F47" s="2324"/>
      <c r="G47" s="2325"/>
      <c r="H47" s="1292"/>
      <c r="I47" s="1292"/>
      <c r="J47" s="1292"/>
      <c r="K47" s="1292"/>
      <c r="L47" s="1292"/>
      <c r="M47" s="1292"/>
      <c r="N47" s="1292"/>
      <c r="O47" s="932"/>
      <c r="P47" s="932"/>
      <c r="Q47" s="1004"/>
      <c r="R47" s="1004"/>
      <c r="S47" s="1004"/>
      <c r="T47" s="1004"/>
      <c r="U47" s="1004"/>
      <c r="V47" s="1004"/>
      <c r="W47" s="1004"/>
      <c r="X47" s="1005"/>
      <c r="Y47" s="59"/>
    </row>
    <row r="48" spans="1:25" ht="15.75">
      <c r="A48" s="2312" t="s">
        <v>420</v>
      </c>
      <c r="B48" s="2313"/>
      <c r="C48" s="2313"/>
      <c r="D48" s="2313"/>
      <c r="E48" s="2313"/>
      <c r="F48" s="2313"/>
      <c r="G48" s="2313"/>
      <c r="H48" s="303">
        <f>SUM(H49:H51)</f>
        <v>8870865331</v>
      </c>
      <c r="I48" s="1294">
        <f>+(J48-H48)/H48</f>
        <v>4.7614223893576543E-2</v>
      </c>
      <c r="J48" s="303">
        <f>SUM(J49:J51)</f>
        <v>9293244699</v>
      </c>
      <c r="K48" s="1294">
        <f t="shared" ref="K48:K57" si="11">+(L48-J48)/J48</f>
        <v>4.5319209843825412E-2</v>
      </c>
      <c r="L48" s="303">
        <f>SUM(L49:L51)</f>
        <v>9714407205.6439991</v>
      </c>
      <c r="M48" s="1294">
        <f t="shared" ref="M48:M57" si="12">+(N48-L48)/L48</f>
        <v>-0.1325634651073522</v>
      </c>
      <c r="N48" s="303">
        <v>8426631725</v>
      </c>
      <c r="O48" s="303"/>
      <c r="P48" s="303"/>
      <c r="Q48" s="997">
        <f t="shared" ref="Q48:X48" si="13">SUM(Q49:Q51)</f>
        <v>1057713382</v>
      </c>
      <c r="R48" s="997">
        <f t="shared" si="13"/>
        <v>0</v>
      </c>
      <c r="S48" s="997">
        <f t="shared" si="13"/>
        <v>0</v>
      </c>
      <c r="T48" s="997">
        <f t="shared" si="13"/>
        <v>1057713382</v>
      </c>
      <c r="U48" s="997">
        <f t="shared" si="13"/>
        <v>0</v>
      </c>
      <c r="V48" s="997">
        <f t="shared" si="13"/>
        <v>0</v>
      </c>
      <c r="W48" s="997">
        <f t="shared" si="13"/>
        <v>0</v>
      </c>
      <c r="X48" s="998">
        <f t="shared" si="13"/>
        <v>0</v>
      </c>
    </row>
    <row r="49" spans="1:25" ht="63.75" customHeight="1">
      <c r="A49" s="1276">
        <v>35</v>
      </c>
      <c r="B49" s="1277" t="s">
        <v>39</v>
      </c>
      <c r="C49" s="41" t="s">
        <v>214</v>
      </c>
      <c r="D49" s="38">
        <v>30</v>
      </c>
      <c r="E49" s="38">
        <v>36</v>
      </c>
      <c r="F49" s="38">
        <v>60</v>
      </c>
      <c r="G49" s="38">
        <v>100</v>
      </c>
      <c r="H49" s="302">
        <v>670782143</v>
      </c>
      <c r="I49" s="917">
        <f t="shared" si="2"/>
        <v>1.1883508309194808</v>
      </c>
      <c r="J49" s="302">
        <v>1467906660</v>
      </c>
      <c r="K49" s="917">
        <f t="shared" si="11"/>
        <v>0.68788505574870795</v>
      </c>
      <c r="L49" s="302">
        <f>+'[1]320301'!I7</f>
        <v>2477657714.6479998</v>
      </c>
      <c r="M49" s="917" t="e">
        <f t="shared" si="12"/>
        <v>#REF!</v>
      </c>
      <c r="N49" s="302" t="e">
        <f>+'[1]320301'!K7</f>
        <v>#REF!</v>
      </c>
      <c r="O49" s="1018" t="s">
        <v>525</v>
      </c>
      <c r="P49" s="1018"/>
      <c r="Q49" s="1019">
        <f>SUM(R49:X49)</f>
        <v>1057713382</v>
      </c>
      <c r="R49" s="1019"/>
      <c r="S49" s="1019"/>
      <c r="T49" s="1019">
        <v>1057713382</v>
      </c>
      <c r="U49" s="1019"/>
      <c r="V49" s="1019"/>
      <c r="W49" s="1019"/>
      <c r="X49" s="1020"/>
    </row>
    <row r="50" spans="1:25" ht="15" customHeight="1">
      <c r="A50" s="1278">
        <v>36</v>
      </c>
      <c r="B50" s="1279" t="s">
        <v>40</v>
      </c>
      <c r="C50" s="41" t="s">
        <v>214</v>
      </c>
      <c r="D50" s="38">
        <v>100</v>
      </c>
      <c r="E50" s="38">
        <v>100</v>
      </c>
      <c r="F50" s="38">
        <v>100</v>
      </c>
      <c r="G50" s="38">
        <v>100</v>
      </c>
      <c r="H50" s="302">
        <v>4623119916</v>
      </c>
      <c r="I50" s="917">
        <f t="shared" si="2"/>
        <v>0.24646349147392524</v>
      </c>
      <c r="J50" s="302">
        <v>5762550192</v>
      </c>
      <c r="K50" s="917">
        <f t="shared" si="11"/>
        <v>-0.18515402772287048</v>
      </c>
      <c r="L50" s="302">
        <f>+'[1]320301'!I9</f>
        <v>4695590813.9959993</v>
      </c>
      <c r="M50" s="917" t="e">
        <f t="shared" si="12"/>
        <v>#REF!</v>
      </c>
      <c r="N50" s="302" t="e">
        <f>+'[1]320301'!K9</f>
        <v>#REF!</v>
      </c>
      <c r="O50" s="302"/>
      <c r="P50" s="302"/>
      <c r="Q50" s="1019">
        <f>SUM(R50:X50)</f>
        <v>0</v>
      </c>
      <c r="R50" s="1006"/>
      <c r="S50" s="1006"/>
      <c r="T50" s="1006"/>
      <c r="U50" s="1006"/>
      <c r="V50" s="1006"/>
      <c r="W50" s="1006"/>
      <c r="X50" s="1021"/>
    </row>
    <row r="51" spans="1:25" ht="89.25">
      <c r="A51" s="1022">
        <v>37</v>
      </c>
      <c r="B51" s="149" t="s">
        <v>293</v>
      </c>
      <c r="C51" s="150" t="s">
        <v>210</v>
      </c>
      <c r="D51" s="150">
        <v>1</v>
      </c>
      <c r="E51" s="150">
        <v>1</v>
      </c>
      <c r="F51" s="150">
        <v>1</v>
      </c>
      <c r="G51" s="150">
        <v>1</v>
      </c>
      <c r="H51" s="302">
        <v>3576963272</v>
      </c>
      <c r="I51" s="917">
        <f t="shared" si="2"/>
        <v>-0.42331310384223592</v>
      </c>
      <c r="J51" s="302">
        <v>2062787847</v>
      </c>
      <c r="K51" s="917">
        <f t="shared" si="11"/>
        <v>0.23190500695246727</v>
      </c>
      <c r="L51" s="302">
        <f>+'[1]320301'!I11</f>
        <v>2541158677</v>
      </c>
      <c r="M51" s="917" t="e">
        <f t="shared" si="12"/>
        <v>#REF!</v>
      </c>
      <c r="N51" s="302" t="e">
        <f>+'[1]320301'!K11</f>
        <v>#REF!</v>
      </c>
      <c r="O51" s="302"/>
      <c r="P51" s="302"/>
      <c r="Q51" s="1000">
        <f>SUM(R51:X51)</f>
        <v>0</v>
      </c>
      <c r="R51" s="1000"/>
      <c r="S51" s="1000"/>
      <c r="T51" s="1000"/>
      <c r="U51" s="1000"/>
      <c r="V51" s="1000"/>
      <c r="W51" s="1000"/>
      <c r="X51" s="1001"/>
    </row>
    <row r="52" spans="1:25" ht="15.75">
      <c r="A52" s="2333" t="s">
        <v>185</v>
      </c>
      <c r="B52" s="2334"/>
      <c r="C52" s="2334"/>
      <c r="D52" s="2334"/>
      <c r="E52" s="2334"/>
      <c r="F52" s="2334"/>
      <c r="G52" s="2334"/>
      <c r="H52" s="303">
        <f>SUM(H53:H59)</f>
        <v>2750155284</v>
      </c>
      <c r="I52" s="1294">
        <f>+(J52-H52)/H52</f>
        <v>-0.30084448842053096</v>
      </c>
      <c r="J52" s="303">
        <f>SUM(J53:J59)</f>
        <v>1922786224.5079999</v>
      </c>
      <c r="K52" s="1294">
        <f t="shared" si="11"/>
        <v>0.16943623597387278</v>
      </c>
      <c r="L52" s="303">
        <f>SUM(L53:L59)</f>
        <v>2248575884.9710493</v>
      </c>
      <c r="M52" s="1294">
        <f t="shared" si="12"/>
        <v>0.14283920688453261</v>
      </c>
      <c r="N52" s="303">
        <v>2569760681</v>
      </c>
      <c r="O52" s="303"/>
      <c r="P52" s="303"/>
      <c r="Q52" s="997">
        <f>SUM(Q53:Q59)</f>
        <v>2555392573.291049</v>
      </c>
      <c r="R52" s="997">
        <f t="shared" ref="R52:X52" si="14">SUM(R53:R59)</f>
        <v>0</v>
      </c>
      <c r="S52" s="997">
        <f t="shared" si="14"/>
        <v>1364154955.9710491</v>
      </c>
      <c r="T52" s="997">
        <f>SUM(T53:T59)</f>
        <v>909003691.31999993</v>
      </c>
      <c r="U52" s="997">
        <f t="shared" si="14"/>
        <v>0</v>
      </c>
      <c r="V52" s="997">
        <f t="shared" si="14"/>
        <v>282233926</v>
      </c>
      <c r="W52" s="997">
        <f t="shared" si="14"/>
        <v>0</v>
      </c>
      <c r="X52" s="998">
        <f t="shared" si="14"/>
        <v>0</v>
      </c>
      <c r="Y52" s="59"/>
    </row>
    <row r="53" spans="1:25" ht="38.25">
      <c r="A53" s="1023">
        <v>38</v>
      </c>
      <c r="B53" s="49" t="s">
        <v>45</v>
      </c>
      <c r="C53" s="41" t="s">
        <v>214</v>
      </c>
      <c r="D53" s="38">
        <v>100</v>
      </c>
      <c r="E53" s="38">
        <v>100</v>
      </c>
      <c r="F53" s="38">
        <v>100</v>
      </c>
      <c r="G53" s="38">
        <v>100</v>
      </c>
      <c r="H53" s="302">
        <v>26400000</v>
      </c>
      <c r="I53" s="917">
        <f t="shared" si="2"/>
        <v>-0.74899998484848496</v>
      </c>
      <c r="J53" s="302">
        <v>6626400.4000000004</v>
      </c>
      <c r="K53" s="917">
        <f t="shared" si="11"/>
        <v>0.56869990530605408</v>
      </c>
      <c r="L53" s="302">
        <f>+'[1]320302'!H7</f>
        <v>10394833.68</v>
      </c>
      <c r="M53" s="917" t="e">
        <f t="shared" si="12"/>
        <v>#REF!</v>
      </c>
      <c r="N53" s="302" t="e">
        <f>+'[1]320302'!J7</f>
        <v>#REF!</v>
      </c>
      <c r="O53" s="302"/>
      <c r="P53" s="302"/>
      <c r="Q53" s="1000">
        <f t="shared" ref="Q53:Q59" si="15">SUM(R53:X53)</f>
        <v>10394833.68</v>
      </c>
      <c r="R53" s="1000"/>
      <c r="S53" s="1006">
        <v>10394833.68</v>
      </c>
      <c r="T53" s="1006"/>
      <c r="U53" s="1006"/>
      <c r="V53" s="1006"/>
      <c r="W53" s="1006"/>
      <c r="X53" s="1021"/>
    </row>
    <row r="54" spans="1:25" ht="38.25">
      <c r="A54" s="1023">
        <v>39</v>
      </c>
      <c r="B54" s="49" t="s">
        <v>47</v>
      </c>
      <c r="C54" s="41" t="s">
        <v>214</v>
      </c>
      <c r="D54" s="38">
        <v>100</v>
      </c>
      <c r="E54" s="38">
        <v>100</v>
      </c>
      <c r="F54" s="38">
        <v>100</v>
      </c>
      <c r="G54" s="38">
        <v>100</v>
      </c>
      <c r="H54" s="302">
        <v>26400000</v>
      </c>
      <c r="I54" s="917">
        <f t="shared" si="2"/>
        <v>-0.74899998484848496</v>
      </c>
      <c r="J54" s="302">
        <v>6626400.4000000004</v>
      </c>
      <c r="K54" s="917">
        <f t="shared" si="11"/>
        <v>4.5799936870702794E-2</v>
      </c>
      <c r="L54" s="302">
        <f>+'[1]320302'!H9</f>
        <v>6929889.1200000001</v>
      </c>
      <c r="M54" s="917" t="e">
        <f t="shared" si="12"/>
        <v>#REF!</v>
      </c>
      <c r="N54" s="302" t="e">
        <f>+'[1]320302'!J9</f>
        <v>#REF!</v>
      </c>
      <c r="O54" s="302"/>
      <c r="P54" s="302"/>
      <c r="Q54" s="1000">
        <f t="shared" si="15"/>
        <v>6929889.1200000001</v>
      </c>
      <c r="R54" s="1000"/>
      <c r="S54" s="1000">
        <v>6929889.1200000001</v>
      </c>
      <c r="T54" s="1000"/>
      <c r="U54" s="1000"/>
      <c r="V54" s="1000"/>
      <c r="W54" s="1000"/>
      <c r="X54" s="1001"/>
    </row>
    <row r="55" spans="1:25" ht="30">
      <c r="A55" s="1023">
        <v>40</v>
      </c>
      <c r="B55" s="49" t="s">
        <v>56</v>
      </c>
      <c r="C55" s="41" t="s">
        <v>214</v>
      </c>
      <c r="D55" s="38">
        <v>20</v>
      </c>
      <c r="E55" s="38">
        <v>60</v>
      </c>
      <c r="F55" s="38">
        <v>80</v>
      </c>
      <c r="G55" s="38">
        <v>100</v>
      </c>
      <c r="H55" s="302">
        <v>199288633</v>
      </c>
      <c r="I55" s="917">
        <f t="shared" si="2"/>
        <v>0.38121296398274868</v>
      </c>
      <c r="J55" s="302">
        <v>275260043.47400022</v>
      </c>
      <c r="K55" s="917">
        <f t="shared" si="11"/>
        <v>-0.99200755775435379</v>
      </c>
      <c r="L55" s="302">
        <f>+'[1]320302'!H11</f>
        <v>2200000</v>
      </c>
      <c r="M55" s="917" t="e">
        <f t="shared" si="12"/>
        <v>#REF!</v>
      </c>
      <c r="N55" s="302" t="e">
        <f>+'[1]320302'!J11</f>
        <v>#REF!</v>
      </c>
      <c r="O55" s="1009" t="s">
        <v>526</v>
      </c>
      <c r="P55" s="1009"/>
      <c r="Q55" s="1000">
        <f t="shared" si="15"/>
        <v>215674100</v>
      </c>
      <c r="R55" s="1000"/>
      <c r="S55" s="1000"/>
      <c r="T55" s="1000">
        <f>213474100+2200000</f>
        <v>215674100</v>
      </c>
      <c r="U55" s="1000"/>
      <c r="V55" s="1000"/>
      <c r="W55" s="1000"/>
      <c r="X55" s="1001"/>
    </row>
    <row r="56" spans="1:25" ht="38.25">
      <c r="A56" s="1023">
        <v>41</v>
      </c>
      <c r="B56" s="49" t="s">
        <v>57</v>
      </c>
      <c r="C56" s="41" t="s">
        <v>214</v>
      </c>
      <c r="D56" s="38">
        <v>20</v>
      </c>
      <c r="E56" s="38">
        <v>60</v>
      </c>
      <c r="F56" s="38">
        <v>80</v>
      </c>
      <c r="G56" s="38">
        <v>100</v>
      </c>
      <c r="H56" s="302">
        <v>324995200</v>
      </c>
      <c r="I56" s="917">
        <f t="shared" si="2"/>
        <v>-0.11531626856642815</v>
      </c>
      <c r="J56" s="302">
        <v>287517966.23399997</v>
      </c>
      <c r="K56" s="917">
        <f t="shared" si="11"/>
        <v>0.39931454006098682</v>
      </c>
      <c r="L56" s="302">
        <f>+'[1]320302'!H13</f>
        <v>402328070.68000001</v>
      </c>
      <c r="M56" s="917" t="e">
        <f t="shared" si="12"/>
        <v>#REF!</v>
      </c>
      <c r="N56" s="302" t="e">
        <f>+'[1]320302'!J13</f>
        <v>#REF!</v>
      </c>
      <c r="O56" s="1009" t="s">
        <v>526</v>
      </c>
      <c r="P56" s="1009"/>
      <c r="Q56" s="1000">
        <f t="shared" si="15"/>
        <v>495670659</v>
      </c>
      <c r="R56" s="1000"/>
      <c r="S56" s="1000"/>
      <c r="T56" s="1000">
        <f>93342588+402328071</f>
        <v>495670659</v>
      </c>
      <c r="U56" s="1000"/>
      <c r="V56" s="1000"/>
      <c r="W56" s="1000"/>
      <c r="X56" s="1001"/>
    </row>
    <row r="57" spans="1:25" ht="57" customHeight="1">
      <c r="A57" s="1022">
        <v>42</v>
      </c>
      <c r="B57" s="149" t="s">
        <v>58</v>
      </c>
      <c r="C57" s="150" t="s">
        <v>210</v>
      </c>
      <c r="D57" s="150">
        <v>1</v>
      </c>
      <c r="E57" s="150">
        <v>1</v>
      </c>
      <c r="F57" s="150">
        <v>1</v>
      </c>
      <c r="G57" s="150">
        <v>1</v>
      </c>
      <c r="H57" s="302">
        <v>1576566831</v>
      </c>
      <c r="I57" s="917">
        <f t="shared" si="2"/>
        <v>-0.35465541490134267</v>
      </c>
      <c r="J57" s="302">
        <v>1017428867.432</v>
      </c>
      <c r="K57" s="917">
        <f t="shared" si="11"/>
        <v>0.52141878291186772</v>
      </c>
      <c r="L57" s="302">
        <f>+'[1]320302'!H16</f>
        <v>1547935389.1877935</v>
      </c>
      <c r="M57" s="917" t="e">
        <f t="shared" si="12"/>
        <v>#REF!</v>
      </c>
      <c r="N57" s="302" t="e">
        <f>+'[1]320302'!J16</f>
        <v>#REF!</v>
      </c>
      <c r="O57" s="302"/>
      <c r="P57" s="302"/>
      <c r="Q57" s="1000">
        <f t="shared" si="15"/>
        <v>1547935389.187793</v>
      </c>
      <c r="R57" s="1000"/>
      <c r="S57" s="1000">
        <v>1068051686.8677931</v>
      </c>
      <c r="T57" s="1000">
        <v>197649776.31999999</v>
      </c>
      <c r="U57" s="1000"/>
      <c r="V57" s="1000">
        <v>282233926</v>
      </c>
      <c r="W57" s="1000"/>
      <c r="X57" s="1001"/>
    </row>
    <row r="58" spans="1:25" ht="38.25">
      <c r="A58" s="1022">
        <v>43</v>
      </c>
      <c r="B58" s="149" t="s">
        <v>59</v>
      </c>
      <c r="C58" s="150" t="s">
        <v>210</v>
      </c>
      <c r="D58" s="150">
        <v>0</v>
      </c>
      <c r="E58" s="150">
        <v>0</v>
      </c>
      <c r="F58" s="150">
        <v>6</v>
      </c>
      <c r="G58" s="150">
        <v>7</v>
      </c>
      <c r="H58" s="302">
        <v>0</v>
      </c>
      <c r="I58" s="917"/>
      <c r="J58" s="302">
        <v>0</v>
      </c>
      <c r="K58" s="917"/>
      <c r="L58" s="302">
        <f>+'[1]320302'!H20</f>
        <v>278658189.30325603</v>
      </c>
      <c r="M58" s="917"/>
      <c r="N58" s="302" t="e">
        <f>+'[1]320302'!J20</f>
        <v>#REF!</v>
      </c>
      <c r="O58" s="302"/>
      <c r="P58" s="302"/>
      <c r="Q58" s="1000">
        <f t="shared" si="15"/>
        <v>278658189.30325603</v>
      </c>
      <c r="R58" s="1000"/>
      <c r="S58" s="1000">
        <v>278658189.30325603</v>
      </c>
      <c r="T58" s="1000"/>
      <c r="U58" s="1000"/>
      <c r="V58" s="1000"/>
      <c r="W58" s="1000"/>
      <c r="X58" s="1001"/>
    </row>
    <row r="59" spans="1:25" ht="25.5">
      <c r="A59" s="151">
        <v>44</v>
      </c>
      <c r="B59" s="1024" t="s">
        <v>3</v>
      </c>
      <c r="C59" s="37" t="s">
        <v>214</v>
      </c>
      <c r="D59" s="37">
        <v>100</v>
      </c>
      <c r="E59" s="37">
        <v>100</v>
      </c>
      <c r="F59" s="37">
        <v>100</v>
      </c>
      <c r="G59" s="37">
        <v>100</v>
      </c>
      <c r="H59" s="302">
        <v>596504620</v>
      </c>
      <c r="I59" s="917">
        <f t="shared" si="2"/>
        <v>-0.44790612591064266</v>
      </c>
      <c r="J59" s="302">
        <v>329326546.56799996</v>
      </c>
      <c r="K59" s="917">
        <f>+(L59-J59)/J59</f>
        <v>-0.99960673379856657</v>
      </c>
      <c r="L59" s="302">
        <f>+'[1]320302'!H22</f>
        <v>129513</v>
      </c>
      <c r="M59" s="917" t="e">
        <f>+(N59-L59)/L59</f>
        <v>#REF!</v>
      </c>
      <c r="N59" s="302" t="e">
        <f>+'[1]320302'!J22</f>
        <v>#REF!</v>
      </c>
      <c r="O59" s="302"/>
      <c r="P59" s="302"/>
      <c r="Q59" s="1000">
        <f t="shared" si="15"/>
        <v>129513</v>
      </c>
      <c r="R59" s="1000"/>
      <c r="S59" s="1000">
        <v>120357</v>
      </c>
      <c r="T59" s="1000">
        <v>9156</v>
      </c>
      <c r="U59" s="1000"/>
      <c r="V59" s="1000"/>
      <c r="W59" s="1000"/>
      <c r="X59" s="1001"/>
    </row>
    <row r="60" spans="1:25" ht="16.5" customHeight="1">
      <c r="A60" s="2335" t="s">
        <v>421</v>
      </c>
      <c r="B60" s="2336"/>
      <c r="C60" s="2336"/>
      <c r="D60" s="2336"/>
      <c r="E60" s="2336"/>
      <c r="F60" s="2336"/>
      <c r="G60" s="2337"/>
      <c r="H60" s="1293"/>
      <c r="I60" s="1293"/>
      <c r="J60" s="1293"/>
      <c r="K60" s="1293"/>
      <c r="L60" s="1293"/>
      <c r="M60" s="1293"/>
      <c r="N60" s="1293"/>
      <c r="O60" s="933"/>
      <c r="P60" s="933"/>
      <c r="Q60" s="1025"/>
      <c r="R60" s="1025"/>
      <c r="S60" s="1025"/>
      <c r="T60" s="1025"/>
      <c r="U60" s="1025"/>
      <c r="V60" s="1025"/>
      <c r="W60" s="1025"/>
      <c r="X60" s="1026"/>
    </row>
    <row r="61" spans="1:25" ht="15.75">
      <c r="A61" s="2312" t="s">
        <v>187</v>
      </c>
      <c r="B61" s="2313"/>
      <c r="C61" s="2313"/>
      <c r="D61" s="2313"/>
      <c r="E61" s="2313"/>
      <c r="F61" s="2313"/>
      <c r="G61" s="2313"/>
      <c r="H61" s="303">
        <f>SUM(H62:H63)</f>
        <v>227759591</v>
      </c>
      <c r="I61" s="1294">
        <f>+(J61-H61)/H61</f>
        <v>-4.3994208788335945E-2</v>
      </c>
      <c r="J61" s="303">
        <f>SUM(J62:J63)</f>
        <v>217739488</v>
      </c>
      <c r="K61" s="1294">
        <f>+(L61-J61)/J61</f>
        <v>0.17401592306490582</v>
      </c>
      <c r="L61" s="303">
        <f>SUM(L62:L63)</f>
        <v>255629625.99199998</v>
      </c>
      <c r="M61" s="1294">
        <f>+(N61-L61)/L61</f>
        <v>6.0000001754413307E-2</v>
      </c>
      <c r="N61" s="303">
        <v>270967404</v>
      </c>
      <c r="O61" s="303"/>
      <c r="P61" s="303"/>
      <c r="Q61" s="997">
        <f>SUM(Q62:Q63)</f>
        <v>255629625.99200001</v>
      </c>
      <c r="R61" s="997">
        <f>SUM(R62:R63)</f>
        <v>233609498.31200001</v>
      </c>
      <c r="S61" s="997">
        <f>SUM(S62:S63)</f>
        <v>0</v>
      </c>
      <c r="T61" s="997">
        <f>SUM(T62:T63)</f>
        <v>0</v>
      </c>
      <c r="U61" s="997">
        <f>SUM(U62:U63)</f>
        <v>22020127.68</v>
      </c>
      <c r="V61" s="997"/>
      <c r="W61" s="997"/>
      <c r="X61" s="998"/>
    </row>
    <row r="62" spans="1:25" ht="51">
      <c r="A62" s="153">
        <v>45</v>
      </c>
      <c r="B62" s="148" t="s">
        <v>54</v>
      </c>
      <c r="C62" s="147" t="s">
        <v>214</v>
      </c>
      <c r="D62" s="154">
        <v>1</v>
      </c>
      <c r="E62" s="154">
        <v>1</v>
      </c>
      <c r="F62" s="154">
        <v>1</v>
      </c>
      <c r="G62" s="154">
        <v>1</v>
      </c>
      <c r="H62" s="302">
        <v>191281761</v>
      </c>
      <c r="I62" s="917">
        <f t="shared" si="2"/>
        <v>-0.22148725931062502</v>
      </c>
      <c r="J62" s="302">
        <v>148915288</v>
      </c>
      <c r="K62" s="917">
        <f>+(L62-J62)/J62</f>
        <v>0.35772145377041481</v>
      </c>
      <c r="L62" s="302">
        <f>+'[1]320401'!G8</f>
        <v>202185481.31200001</v>
      </c>
      <c r="M62" s="917" t="e">
        <f>+(N62-L62)/L62</f>
        <v>#REF!</v>
      </c>
      <c r="N62" s="302" t="e">
        <f>+'[1]320401'!I8</f>
        <v>#REF!</v>
      </c>
      <c r="O62" s="302"/>
      <c r="P62" s="302"/>
      <c r="Q62" s="1000">
        <f>SUM(R62:X62)</f>
        <v>202185481.31200001</v>
      </c>
      <c r="R62" s="1000">
        <v>202185481.31200001</v>
      </c>
      <c r="S62" s="1000"/>
      <c r="T62" s="1000"/>
      <c r="U62" s="1000"/>
      <c r="V62" s="1000"/>
      <c r="W62" s="1000"/>
      <c r="X62" s="1001"/>
    </row>
    <row r="63" spans="1:25" ht="25.5">
      <c r="A63" s="155">
        <v>46</v>
      </c>
      <c r="B63" s="1027" t="s">
        <v>55</v>
      </c>
      <c r="C63" s="156" t="s">
        <v>214</v>
      </c>
      <c r="D63" s="157">
        <v>0.9</v>
      </c>
      <c r="E63" s="157">
        <v>0.9</v>
      </c>
      <c r="F63" s="157">
        <v>0.9</v>
      </c>
      <c r="G63" s="157">
        <v>0.9</v>
      </c>
      <c r="H63" s="302">
        <v>36477830</v>
      </c>
      <c r="I63" s="917">
        <f t="shared" si="2"/>
        <v>0.88674052157159566</v>
      </c>
      <c r="J63" s="302">
        <v>68824200</v>
      </c>
      <c r="K63" s="917">
        <f>+(L63-J63)/J63</f>
        <v>-0.2234687118775083</v>
      </c>
      <c r="L63" s="302">
        <f>+'[1]320401'!G10</f>
        <v>53444144.679999992</v>
      </c>
      <c r="M63" s="917" t="e">
        <f>+(N63-L63)/L63</f>
        <v>#REF!</v>
      </c>
      <c r="N63" s="302" t="e">
        <f>+'[1]320401'!I10</f>
        <v>#REF!</v>
      </c>
      <c r="O63" s="302"/>
      <c r="P63" s="302"/>
      <c r="Q63" s="1000">
        <f>SUM(R63:X63)</f>
        <v>53444144.68</v>
      </c>
      <c r="R63" s="1000">
        <v>31424017</v>
      </c>
      <c r="S63" s="1000"/>
      <c r="T63" s="1000"/>
      <c r="U63" s="1000">
        <v>22020127.68</v>
      </c>
      <c r="V63" s="1000"/>
      <c r="W63" s="1000"/>
      <c r="X63" s="1001"/>
    </row>
    <row r="64" spans="1:25" ht="15.75">
      <c r="A64" s="2323" t="s">
        <v>422</v>
      </c>
      <c r="B64" s="2324"/>
      <c r="C64" s="2324"/>
      <c r="D64" s="2324"/>
      <c r="E64" s="2324"/>
      <c r="F64" s="2324"/>
      <c r="G64" s="2325"/>
      <c r="H64" s="1292"/>
      <c r="I64" s="1292"/>
      <c r="J64" s="1292"/>
      <c r="K64" s="1292"/>
      <c r="L64" s="1292"/>
      <c r="M64" s="1292"/>
      <c r="N64" s="1292"/>
      <c r="O64" s="932"/>
      <c r="P64" s="932"/>
      <c r="Q64" s="1004"/>
      <c r="R64" s="1004"/>
      <c r="S64" s="1004"/>
      <c r="T64" s="1004"/>
      <c r="U64" s="1004"/>
      <c r="V64" s="1004"/>
      <c r="W64" s="1004"/>
      <c r="X64" s="1005"/>
    </row>
    <row r="65" spans="1:24" ht="15.75">
      <c r="A65" s="2327" t="s">
        <v>423</v>
      </c>
      <c r="B65" s="2328"/>
      <c r="C65" s="2328"/>
      <c r="D65" s="2328"/>
      <c r="E65" s="2328"/>
      <c r="F65" s="2328"/>
      <c r="G65" s="2328"/>
      <c r="H65" s="303">
        <f>SUM(H66:H67)</f>
        <v>139387741</v>
      </c>
      <c r="I65" s="1294">
        <f>+(J65-H65)/H65</f>
        <v>0.65080339453955283</v>
      </c>
      <c r="J65" s="303">
        <f>SUM(J66:J67)</f>
        <v>230101756</v>
      </c>
      <c r="K65" s="1294">
        <f t="shared" ref="K65:K72" si="16">+(L65-J65)/J65</f>
        <v>1.1562101681657744</v>
      </c>
      <c r="L65" s="303">
        <f>SUM(L66:L67)</f>
        <v>496147746</v>
      </c>
      <c r="M65" s="1294">
        <f t="shared" ref="M65:M72" si="17">+(N65-L65)/L65</f>
        <v>-0.14497323746785701</v>
      </c>
      <c r="N65" s="303">
        <v>424219601</v>
      </c>
      <c r="O65" s="303"/>
      <c r="P65" s="303"/>
      <c r="Q65" s="997">
        <f>SUM(Q66:Q67)</f>
        <v>100000000</v>
      </c>
      <c r="R65" s="997">
        <f t="shared" ref="R65:X65" si="18">SUM(R66:R67)</f>
        <v>100000000</v>
      </c>
      <c r="S65" s="997">
        <f t="shared" si="18"/>
        <v>0</v>
      </c>
      <c r="T65" s="997">
        <f t="shared" si="18"/>
        <v>0</v>
      </c>
      <c r="U65" s="997">
        <f>SUM(U66:U67)</f>
        <v>0</v>
      </c>
      <c r="V65" s="997">
        <f t="shared" si="18"/>
        <v>0</v>
      </c>
      <c r="W65" s="997">
        <f t="shared" si="18"/>
        <v>0</v>
      </c>
      <c r="X65" s="998">
        <f t="shared" si="18"/>
        <v>0</v>
      </c>
    </row>
    <row r="66" spans="1:24" ht="89.25">
      <c r="A66" s="1023">
        <v>47</v>
      </c>
      <c r="B66" s="49" t="s">
        <v>1</v>
      </c>
      <c r="C66" s="124" t="s">
        <v>214</v>
      </c>
      <c r="D66" s="124">
        <v>100</v>
      </c>
      <c r="E66" s="124">
        <v>100</v>
      </c>
      <c r="F66" s="124">
        <v>100</v>
      </c>
      <c r="G66" s="124">
        <v>100</v>
      </c>
      <c r="H66" s="302">
        <v>122413704</v>
      </c>
      <c r="I66" s="917">
        <f t="shared" si="2"/>
        <v>6.0544250829956098E-2</v>
      </c>
      <c r="J66" s="302">
        <v>129825150</v>
      </c>
      <c r="K66" s="917">
        <f t="shared" si="16"/>
        <v>2.0467239596025886</v>
      </c>
      <c r="L66" s="302">
        <f>+'[1]320501'!E7+'[1]320501'!F7+'[1]320501'!G7</f>
        <v>395541395.06400001</v>
      </c>
      <c r="M66" s="917" t="e">
        <f t="shared" si="17"/>
        <v>#REF!</v>
      </c>
      <c r="N66" s="302" t="e">
        <f>+'[1]320501'!G7+'[1]320501'!H7+'[1]320501'!I7</f>
        <v>#REF!</v>
      </c>
      <c r="O66" s="302"/>
      <c r="P66" s="302" t="s">
        <v>527</v>
      </c>
      <c r="Q66" s="1000">
        <f>SUM(R66:X66)</f>
        <v>100000000</v>
      </c>
      <c r="R66" s="1028">
        <v>100000000</v>
      </c>
      <c r="S66" s="1000"/>
      <c r="T66" s="1000"/>
      <c r="U66" s="1000"/>
      <c r="V66" s="1000"/>
      <c r="W66" s="1000"/>
      <c r="X66" s="1001"/>
    </row>
    <row r="67" spans="1:24" ht="25.5">
      <c r="A67" s="159">
        <v>48</v>
      </c>
      <c r="B67" s="158" t="s">
        <v>0</v>
      </c>
      <c r="C67" s="33" t="s">
        <v>317</v>
      </c>
      <c r="D67" s="33">
        <v>1</v>
      </c>
      <c r="E67" s="33">
        <v>1</v>
      </c>
      <c r="F67" s="33">
        <v>1</v>
      </c>
      <c r="G67" s="33">
        <v>1</v>
      </c>
      <c r="H67" s="302">
        <v>16974037</v>
      </c>
      <c r="I67" s="917">
        <f t="shared" si="2"/>
        <v>4.9076462482083665</v>
      </c>
      <c r="J67" s="302">
        <v>100276606</v>
      </c>
      <c r="K67" s="917">
        <f t="shared" si="16"/>
        <v>3.2883535767056615E-3</v>
      </c>
      <c r="L67" s="302">
        <f>+'[1]320501'!E9</f>
        <v>100606350.936</v>
      </c>
      <c r="M67" s="917" t="e">
        <f t="shared" si="17"/>
        <v>#REF!</v>
      </c>
      <c r="N67" s="302" t="e">
        <f>+'[1]320501'!G9</f>
        <v>#REF!</v>
      </c>
      <c r="O67" s="302"/>
      <c r="P67" s="302"/>
      <c r="Q67" s="1000">
        <f>SUM(R67:X67)</f>
        <v>0</v>
      </c>
      <c r="R67" s="1000"/>
      <c r="S67" s="1000"/>
      <c r="T67" s="1000"/>
      <c r="U67" s="1000"/>
      <c r="V67" s="1000"/>
      <c r="W67" s="1000"/>
      <c r="X67" s="1001"/>
    </row>
    <row r="68" spans="1:24" ht="15.75">
      <c r="A68" s="2312" t="s">
        <v>424</v>
      </c>
      <c r="B68" s="2313"/>
      <c r="C68" s="2313"/>
      <c r="D68" s="2313"/>
      <c r="E68" s="2313"/>
      <c r="F68" s="2313"/>
      <c r="G68" s="2313"/>
      <c r="H68" s="303">
        <f>SUM(H69:H70)</f>
        <v>1604055594</v>
      </c>
      <c r="I68" s="1294">
        <f>+(J68-H68)/H68</f>
        <v>4.1927522279193524E-2</v>
      </c>
      <c r="J68" s="303">
        <f>SUM(J69:J70)</f>
        <v>1671309670.6545</v>
      </c>
      <c r="K68" s="1294">
        <f t="shared" si="16"/>
        <v>0.67167402959254641</v>
      </c>
      <c r="L68" s="303">
        <f>SUM(L69:L70)</f>
        <v>2793884971.8399997</v>
      </c>
      <c r="M68" s="1294">
        <f t="shared" si="17"/>
        <v>0.23353885279331629</v>
      </c>
      <c r="N68" s="303">
        <v>3446365663</v>
      </c>
      <c r="O68" s="303"/>
      <c r="P68" s="303"/>
      <c r="Q68" s="997">
        <f t="shared" ref="Q68:X68" si="19">SUM(Q69:Q70)</f>
        <v>3764045663</v>
      </c>
      <c r="R68" s="997">
        <f t="shared" si="19"/>
        <v>0</v>
      </c>
      <c r="S68" s="997">
        <f t="shared" si="19"/>
        <v>3764045663</v>
      </c>
      <c r="T68" s="997">
        <f t="shared" si="19"/>
        <v>0</v>
      </c>
      <c r="U68" s="997">
        <f t="shared" si="19"/>
        <v>0</v>
      </c>
      <c r="V68" s="997">
        <f t="shared" si="19"/>
        <v>0</v>
      </c>
      <c r="W68" s="997">
        <f t="shared" si="19"/>
        <v>0</v>
      </c>
      <c r="X68" s="998">
        <f t="shared" si="19"/>
        <v>0</v>
      </c>
    </row>
    <row r="69" spans="1:24" ht="30.75" customHeight="1">
      <c r="A69" s="1280">
        <v>49</v>
      </c>
      <c r="B69" s="1281" t="s">
        <v>425</v>
      </c>
      <c r="C69" s="33" t="s">
        <v>214</v>
      </c>
      <c r="D69" s="33">
        <v>100</v>
      </c>
      <c r="E69" s="33">
        <v>100</v>
      </c>
      <c r="F69" s="33">
        <v>100</v>
      </c>
      <c r="G69" s="33">
        <v>100</v>
      </c>
      <c r="H69" s="302">
        <v>1498230496</v>
      </c>
      <c r="I69" s="917">
        <f t="shared" si="2"/>
        <v>-4.98797071245171E-2</v>
      </c>
      <c r="J69" s="302">
        <v>1423499197.6545</v>
      </c>
      <c r="K69" s="917">
        <f t="shared" si="16"/>
        <v>-0.48357184156388555</v>
      </c>
      <c r="L69" s="302">
        <f>+'[1]320502'!G7</f>
        <v>735135069.17999995</v>
      </c>
      <c r="M69" s="917" t="e">
        <f t="shared" si="17"/>
        <v>#REF!</v>
      </c>
      <c r="N69" s="302" t="e">
        <f>+'[1]320502'!I7</f>
        <v>#REF!</v>
      </c>
      <c r="O69" s="302" t="s">
        <v>528</v>
      </c>
      <c r="P69" s="302"/>
      <c r="Q69" s="1000">
        <f>SUM(R69:X69)</f>
        <v>264045663</v>
      </c>
      <c r="R69" s="1000"/>
      <c r="S69" s="1000">
        <v>264045663</v>
      </c>
      <c r="T69" s="1000"/>
      <c r="U69" s="1000"/>
      <c r="V69" s="1000"/>
      <c r="W69" s="1000"/>
      <c r="X69" s="1001"/>
    </row>
    <row r="70" spans="1:24" ht="27.75" customHeight="1">
      <c r="A70" s="159">
        <v>50</v>
      </c>
      <c r="B70" s="158" t="s">
        <v>426</v>
      </c>
      <c r="C70" s="33" t="s">
        <v>214</v>
      </c>
      <c r="D70" s="33">
        <v>100</v>
      </c>
      <c r="E70" s="33">
        <v>100</v>
      </c>
      <c r="F70" s="33">
        <v>100</v>
      </c>
      <c r="G70" s="33">
        <v>100</v>
      </c>
      <c r="H70" s="302">
        <v>105825098</v>
      </c>
      <c r="I70" s="917">
        <f t="shared" si="2"/>
        <v>1.341698497647505</v>
      </c>
      <c r="J70" s="302">
        <v>247810473</v>
      </c>
      <c r="K70" s="917">
        <f t="shared" si="16"/>
        <v>7.3077598688090957</v>
      </c>
      <c r="L70" s="302">
        <f>+'[1]320502'!G13</f>
        <v>2058749902.6599998</v>
      </c>
      <c r="M70" s="917" t="e">
        <f t="shared" si="17"/>
        <v>#REF!</v>
      </c>
      <c r="N70" s="302" t="e">
        <f>+'[1]320502'!I13</f>
        <v>#REF!</v>
      </c>
      <c r="O70" s="302"/>
      <c r="P70" s="302" t="s">
        <v>529</v>
      </c>
      <c r="Q70" s="1000">
        <f>SUM(R70:X70)</f>
        <v>3500000000</v>
      </c>
      <c r="R70" s="1000"/>
      <c r="S70" s="1000">
        <v>3500000000</v>
      </c>
      <c r="T70" s="1000"/>
      <c r="U70" s="1000"/>
      <c r="V70" s="1000"/>
      <c r="W70" s="1000"/>
      <c r="X70" s="1001"/>
    </row>
    <row r="71" spans="1:24" ht="15.75">
      <c r="A71" s="2312" t="s">
        <v>427</v>
      </c>
      <c r="B71" s="2313"/>
      <c r="C71" s="2313"/>
      <c r="D71" s="2313"/>
      <c r="E71" s="2313"/>
      <c r="F71" s="2313"/>
      <c r="G71" s="2313"/>
      <c r="H71" s="303">
        <f>SUM(H72:H73)</f>
        <v>200000000</v>
      </c>
      <c r="I71" s="1294">
        <f>+(J71-H71)/H71</f>
        <v>0.25</v>
      </c>
      <c r="J71" s="303">
        <f>SUM(J72:J73)</f>
        <v>250000000</v>
      </c>
      <c r="K71" s="1294">
        <f t="shared" si="16"/>
        <v>0.14419155550399995</v>
      </c>
      <c r="L71" s="303">
        <f>SUM(L72:L73)</f>
        <v>286047888.87599999</v>
      </c>
      <c r="M71" s="1294">
        <f t="shared" si="17"/>
        <v>0.53461418549497552</v>
      </c>
      <c r="N71" s="303">
        <v>438973148</v>
      </c>
      <c r="O71" s="303"/>
      <c r="P71" s="303"/>
      <c r="Q71" s="997">
        <f>SUM(Q72:Q73)</f>
        <v>250000000</v>
      </c>
      <c r="R71" s="997">
        <f t="shared" ref="R71:X71" si="20">SUM(R72:R73)</f>
        <v>250000000</v>
      </c>
      <c r="S71" s="997">
        <f t="shared" si="20"/>
        <v>0</v>
      </c>
      <c r="T71" s="997">
        <f t="shared" si="20"/>
        <v>0</v>
      </c>
      <c r="U71" s="997">
        <f>SUM(U72:U73)</f>
        <v>0</v>
      </c>
      <c r="V71" s="997">
        <f t="shared" si="20"/>
        <v>0</v>
      </c>
      <c r="W71" s="997">
        <f t="shared" si="20"/>
        <v>0</v>
      </c>
      <c r="X71" s="998">
        <f t="shared" si="20"/>
        <v>0</v>
      </c>
    </row>
    <row r="72" spans="1:24" ht="25.5">
      <c r="A72" s="159">
        <v>51</v>
      </c>
      <c r="B72" s="158" t="s">
        <v>4</v>
      </c>
      <c r="C72" s="147" t="s">
        <v>428</v>
      </c>
      <c r="D72" s="10">
        <v>5</v>
      </c>
      <c r="E72" s="10">
        <v>5</v>
      </c>
      <c r="F72" s="10">
        <v>5</v>
      </c>
      <c r="G72" s="10">
        <v>5</v>
      </c>
      <c r="H72" s="302">
        <v>200000000</v>
      </c>
      <c r="I72" s="917">
        <f t="shared" ref="I72:I89" si="21">+(J72-H72)/H72</f>
        <v>-2.41E-2</v>
      </c>
      <c r="J72" s="302">
        <v>195180000</v>
      </c>
      <c r="K72" s="917">
        <f t="shared" si="16"/>
        <v>-0.13124813569013224</v>
      </c>
      <c r="L72" s="302">
        <f>+'[1]320503'!G8</f>
        <v>169562988.87599999</v>
      </c>
      <c r="M72" s="917" t="e">
        <f t="shared" si="17"/>
        <v>#REF!</v>
      </c>
      <c r="N72" s="302" t="e">
        <f>+'[1]320503'!I8</f>
        <v>#REF!</v>
      </c>
      <c r="O72" s="302"/>
      <c r="P72" s="302" t="s">
        <v>530</v>
      </c>
      <c r="Q72" s="1000">
        <f>SUM(R72:X72)</f>
        <v>250000000</v>
      </c>
      <c r="R72" s="1000">
        <v>250000000</v>
      </c>
      <c r="S72" s="1000"/>
      <c r="T72" s="1000"/>
      <c r="U72" s="1000"/>
      <c r="V72" s="1000"/>
      <c r="W72" s="1000"/>
      <c r="X72" s="1001"/>
    </row>
    <row r="73" spans="1:24" ht="25.5">
      <c r="A73" s="159">
        <v>52</v>
      </c>
      <c r="B73" s="158" t="s">
        <v>0</v>
      </c>
      <c r="C73" s="147" t="s">
        <v>317</v>
      </c>
      <c r="D73" s="10">
        <v>1</v>
      </c>
      <c r="E73" s="10">
        <v>1</v>
      </c>
      <c r="F73" s="10">
        <v>1</v>
      </c>
      <c r="G73" s="10">
        <v>1</v>
      </c>
      <c r="H73" s="302">
        <v>0</v>
      </c>
      <c r="I73" s="917">
        <v>1</v>
      </c>
      <c r="J73" s="302">
        <v>54820000</v>
      </c>
      <c r="K73" s="917">
        <v>1</v>
      </c>
      <c r="L73" s="302">
        <f>+'[1]320503'!G10+'[1]320503'!K10</f>
        <v>116484900</v>
      </c>
      <c r="M73" s="917">
        <v>1</v>
      </c>
      <c r="N73" s="302" t="e">
        <f>+'[1]320503'!I10+'[1]320503'!M10</f>
        <v>#REF!</v>
      </c>
      <c r="O73" s="302"/>
      <c r="P73" s="302"/>
      <c r="Q73" s="1000">
        <f>SUM(R73:X73)</f>
        <v>0</v>
      </c>
      <c r="R73" s="1000"/>
      <c r="S73" s="1000"/>
      <c r="T73" s="1000"/>
      <c r="U73" s="1000"/>
      <c r="V73" s="1000"/>
      <c r="W73" s="1000"/>
      <c r="X73" s="1001"/>
    </row>
    <row r="74" spans="1:24" ht="15.75">
      <c r="A74" s="2320" t="s">
        <v>191</v>
      </c>
      <c r="B74" s="2321"/>
      <c r="C74" s="2321"/>
      <c r="D74" s="2321"/>
      <c r="E74" s="2321"/>
      <c r="F74" s="2321"/>
      <c r="G74" s="2322"/>
      <c r="H74" s="1292"/>
      <c r="I74" s="1292"/>
      <c r="J74" s="1292"/>
      <c r="K74" s="1292"/>
      <c r="L74" s="1292"/>
      <c r="M74" s="1292"/>
      <c r="N74" s="1292"/>
      <c r="O74" s="932"/>
      <c r="P74" s="932"/>
      <c r="Q74" s="1004"/>
      <c r="R74" s="1004"/>
      <c r="S74" s="1004"/>
      <c r="T74" s="1004"/>
      <c r="U74" s="1004"/>
      <c r="V74" s="1004"/>
      <c r="W74" s="1004"/>
      <c r="X74" s="1005"/>
    </row>
    <row r="75" spans="1:24" ht="15.75">
      <c r="A75" s="2312" t="s">
        <v>429</v>
      </c>
      <c r="B75" s="2313"/>
      <c r="C75" s="2313"/>
      <c r="D75" s="2313"/>
      <c r="E75" s="2313"/>
      <c r="F75" s="2313"/>
      <c r="G75" s="2313"/>
      <c r="H75" s="303">
        <f>SUM(H76:H77)</f>
        <v>160416014</v>
      </c>
      <c r="I75" s="1294">
        <f>+(J75-H75)/H75</f>
        <v>-2.0499287558659825E-2</v>
      </c>
      <c r="J75" s="303">
        <f>SUM(J76:J77)</f>
        <v>157127600</v>
      </c>
      <c r="K75" s="1294">
        <f>+(L75-J75)/J75</f>
        <v>0.76767162484503038</v>
      </c>
      <c r="L75" s="303">
        <f>SUM(L76:L77)</f>
        <v>277750000</v>
      </c>
      <c r="M75" s="1294">
        <f>+(N75-L75)/L75</f>
        <v>8.1214351107110705</v>
      </c>
      <c r="N75" s="303">
        <v>2533478602</v>
      </c>
      <c r="O75" s="303"/>
      <c r="P75" s="303"/>
      <c r="Q75" s="997">
        <f t="shared" ref="Q75:X75" si="22">SUM(Q76:Q77)</f>
        <v>472263602</v>
      </c>
      <c r="R75" s="997">
        <f t="shared" si="22"/>
        <v>0</v>
      </c>
      <c r="S75" s="997">
        <f t="shared" si="22"/>
        <v>472263602</v>
      </c>
      <c r="T75" s="997">
        <f t="shared" si="22"/>
        <v>0</v>
      </c>
      <c r="U75" s="997">
        <f t="shared" si="22"/>
        <v>0</v>
      </c>
      <c r="V75" s="997">
        <f t="shared" si="22"/>
        <v>0</v>
      </c>
      <c r="W75" s="997">
        <f t="shared" si="22"/>
        <v>0</v>
      </c>
      <c r="X75" s="998">
        <f t="shared" si="22"/>
        <v>0</v>
      </c>
    </row>
    <row r="76" spans="1:24" ht="76.5">
      <c r="A76" s="1023">
        <v>53</v>
      </c>
      <c r="B76" s="49" t="s">
        <v>2</v>
      </c>
      <c r="C76" s="37" t="s">
        <v>214</v>
      </c>
      <c r="D76" s="37">
        <v>100</v>
      </c>
      <c r="E76" s="37">
        <v>100</v>
      </c>
      <c r="F76" s="37">
        <v>100</v>
      </c>
      <c r="G76" s="37">
        <v>100</v>
      </c>
      <c r="H76" s="302">
        <v>49285263</v>
      </c>
      <c r="I76" s="917">
        <f t="shared" si="21"/>
        <v>6.9488053660178295E-2</v>
      </c>
      <c r="J76" s="302">
        <v>52710000</v>
      </c>
      <c r="K76" s="917">
        <f>+(L76-J76)/J76</f>
        <v>9.5617529880478086E-2</v>
      </c>
      <c r="L76" s="302">
        <f>+'[1]320601'!G7</f>
        <v>57750000</v>
      </c>
      <c r="M76" s="917" t="e">
        <f>+(N76-L76)/L76</f>
        <v>#REF!</v>
      </c>
      <c r="N76" s="302" t="e">
        <f>+'[1]320601'!I7</f>
        <v>#REF!</v>
      </c>
      <c r="O76" s="302"/>
      <c r="P76" s="302"/>
      <c r="Q76" s="1000">
        <f>SUM(R76:X76)</f>
        <v>0</v>
      </c>
      <c r="R76" s="1000"/>
      <c r="S76" s="1000"/>
      <c r="T76" s="1000"/>
      <c r="U76" s="1000"/>
      <c r="V76" s="1000"/>
      <c r="W76" s="1000"/>
      <c r="X76" s="1001"/>
    </row>
    <row r="77" spans="1:24" ht="36" customHeight="1">
      <c r="A77" s="1282">
        <v>54</v>
      </c>
      <c r="B77" s="1283" t="s">
        <v>12</v>
      </c>
      <c r="C77" s="10" t="s">
        <v>214</v>
      </c>
      <c r="D77" s="10">
        <v>100</v>
      </c>
      <c r="E77" s="10">
        <v>100</v>
      </c>
      <c r="F77" s="10">
        <v>100</v>
      </c>
      <c r="G77" s="10">
        <v>100</v>
      </c>
      <c r="H77" s="302">
        <v>111130751</v>
      </c>
      <c r="I77" s="917">
        <f t="shared" si="21"/>
        <v>-6.0407681398643658E-2</v>
      </c>
      <c r="J77" s="302">
        <v>104417600</v>
      </c>
      <c r="K77" s="917">
        <f>+(L77-J77)/J77</f>
        <v>1.1069245031488943</v>
      </c>
      <c r="L77" s="302">
        <f>+'[1]320601'!G9</f>
        <v>220000000</v>
      </c>
      <c r="M77" s="917" t="e">
        <f>+(N77-L77)/L77</f>
        <v>#REF!</v>
      </c>
      <c r="N77" s="302" t="e">
        <f>+'[1]320601'!I9</f>
        <v>#REF!</v>
      </c>
      <c r="O77" s="1009" t="s">
        <v>531</v>
      </c>
      <c r="P77" s="302"/>
      <c r="Q77" s="1000">
        <f>SUM(R77:X77)</f>
        <v>472263602</v>
      </c>
      <c r="R77" s="1000"/>
      <c r="S77" s="1000">
        <v>472263602</v>
      </c>
      <c r="T77" s="1000"/>
      <c r="U77" s="1000"/>
      <c r="V77" s="1000"/>
      <c r="W77" s="1000"/>
      <c r="X77" s="1001"/>
    </row>
    <row r="78" spans="1:24" ht="15.75">
      <c r="A78" s="2323" t="s">
        <v>430</v>
      </c>
      <c r="B78" s="2324"/>
      <c r="C78" s="2324"/>
      <c r="D78" s="2324"/>
      <c r="E78" s="2324"/>
      <c r="F78" s="2324"/>
      <c r="G78" s="2325"/>
      <c r="H78" s="1292"/>
      <c r="I78" s="1292"/>
      <c r="J78" s="1292"/>
      <c r="K78" s="1292"/>
      <c r="L78" s="1292"/>
      <c r="M78" s="1292"/>
      <c r="N78" s="1292"/>
      <c r="O78" s="932"/>
      <c r="P78" s="932"/>
      <c r="Q78" s="1004"/>
      <c r="R78" s="1004"/>
      <c r="S78" s="1004"/>
      <c r="T78" s="1004"/>
      <c r="U78" s="1004"/>
      <c r="V78" s="1004"/>
      <c r="W78" s="1004"/>
      <c r="X78" s="1005"/>
    </row>
    <row r="79" spans="1:24" ht="15.75">
      <c r="A79" s="2312" t="s">
        <v>194</v>
      </c>
      <c r="B79" s="2313"/>
      <c r="C79" s="2313"/>
      <c r="D79" s="2313"/>
      <c r="E79" s="2313"/>
      <c r="F79" s="2313"/>
      <c r="G79" s="2313"/>
      <c r="H79" s="303">
        <f>SUM(H80:H81)</f>
        <v>726656802</v>
      </c>
      <c r="I79" s="1294">
        <f>+(J79-H79)/H79</f>
        <v>1.855277617011834E-2</v>
      </c>
      <c r="J79" s="303">
        <f>SUM(J80:J81)</f>
        <v>740138303</v>
      </c>
      <c r="K79" s="1294">
        <f>+(L79-J79)/J79</f>
        <v>6.0033334511536508E-2</v>
      </c>
      <c r="L79" s="303">
        <f>SUM(L80:L81)</f>
        <v>784571273.32879996</v>
      </c>
      <c r="M79" s="1294">
        <f>+(N79-L79)/L79</f>
        <v>0.27495827594594296</v>
      </c>
      <c r="N79" s="303">
        <v>1000295638</v>
      </c>
      <c r="O79" s="303"/>
      <c r="P79" s="303"/>
      <c r="Q79" s="997">
        <f>SUM(Q80:Q81)</f>
        <v>0</v>
      </c>
      <c r="R79" s="997">
        <f>SUM(R80:R81)</f>
        <v>0</v>
      </c>
      <c r="S79" s="997">
        <f>SUM(S80:S81)</f>
        <v>0</v>
      </c>
      <c r="T79" s="997">
        <f>SUM(T80:T81)</f>
        <v>0</v>
      </c>
      <c r="U79" s="997">
        <f>SUM(U80:U81)</f>
        <v>0</v>
      </c>
      <c r="V79" s="997"/>
      <c r="W79" s="997"/>
      <c r="X79" s="998"/>
    </row>
    <row r="80" spans="1:24" ht="25.5">
      <c r="A80" s="999">
        <v>55</v>
      </c>
      <c r="B80" s="35" t="s">
        <v>320</v>
      </c>
      <c r="C80" s="124" t="s">
        <v>214</v>
      </c>
      <c r="D80" s="124">
        <v>100</v>
      </c>
      <c r="E80" s="124">
        <v>100</v>
      </c>
      <c r="F80" s="124">
        <v>100</v>
      </c>
      <c r="G80" s="124">
        <v>100</v>
      </c>
      <c r="H80" s="302">
        <v>701093902</v>
      </c>
      <c r="I80" s="917">
        <f t="shared" si="21"/>
        <v>-0.14296917248040764</v>
      </c>
      <c r="J80" s="302">
        <v>600859087</v>
      </c>
      <c r="K80" s="917">
        <f>+(L80-J80)/J80</f>
        <v>0.14253306670686994</v>
      </c>
      <c r="L80" s="302">
        <f>+'[1]320801'!F7</f>
        <v>686501375.32879996</v>
      </c>
      <c r="M80" s="917" t="e">
        <f>+(N80-L80)/L80</f>
        <v>#REF!</v>
      </c>
      <c r="N80" s="302" t="e">
        <f>+'[1]320801'!H7</f>
        <v>#REF!</v>
      </c>
      <c r="O80" s="302"/>
      <c r="P80" s="302"/>
      <c r="Q80" s="1000">
        <f>SUM(R80:X80)</f>
        <v>0</v>
      </c>
      <c r="R80" s="1000"/>
      <c r="S80" s="1000"/>
      <c r="T80" s="1000"/>
      <c r="U80" s="1000"/>
      <c r="V80" s="1000"/>
      <c r="W80" s="1000"/>
      <c r="X80" s="1001"/>
    </row>
    <row r="81" spans="1:24" ht="25.5">
      <c r="A81" s="15">
        <v>56</v>
      </c>
      <c r="B81" s="161" t="s">
        <v>0</v>
      </c>
      <c r="C81" s="16" t="s">
        <v>317</v>
      </c>
      <c r="D81" s="16">
        <v>1</v>
      </c>
      <c r="E81" s="16">
        <v>1</v>
      </c>
      <c r="F81" s="16">
        <v>1</v>
      </c>
      <c r="G81" s="16">
        <v>1</v>
      </c>
      <c r="H81" s="302">
        <v>25562900</v>
      </c>
      <c r="I81" s="917">
        <f t="shared" si="21"/>
        <v>4.4484904294896115</v>
      </c>
      <c r="J81" s="302">
        <v>139279216</v>
      </c>
      <c r="K81" s="917">
        <f>+(L81-J81)/J81</f>
        <v>-0.29587557414165799</v>
      </c>
      <c r="L81" s="302">
        <f>+'[1]320801'!F13+'[1]320801'!J13</f>
        <v>98069898</v>
      </c>
      <c r="M81" s="917" t="e">
        <f>+(N81-L81)/L81</f>
        <v>#REF!</v>
      </c>
      <c r="N81" s="302" t="e">
        <f>+'[1]320801'!H13+'[1]320801'!L13</f>
        <v>#REF!</v>
      </c>
      <c r="O81" s="302"/>
      <c r="P81" s="302"/>
      <c r="Q81" s="1000">
        <f>SUM(R81:X81)</f>
        <v>0</v>
      </c>
      <c r="R81" s="1000"/>
      <c r="S81" s="1000"/>
      <c r="T81" s="1000"/>
      <c r="U81" s="1000"/>
      <c r="V81" s="1000"/>
      <c r="W81" s="1000"/>
      <c r="X81" s="1001"/>
    </row>
    <row r="82" spans="1:24" ht="15.75">
      <c r="A82" s="2323" t="s">
        <v>431</v>
      </c>
      <c r="B82" s="2324"/>
      <c r="C82" s="2324"/>
      <c r="D82" s="2324"/>
      <c r="E82" s="2324"/>
      <c r="F82" s="2324"/>
      <c r="G82" s="2325"/>
      <c r="H82" s="1292"/>
      <c r="I82" s="1292"/>
      <c r="J82" s="1292"/>
      <c r="K82" s="1292"/>
      <c r="L82" s="1292"/>
      <c r="M82" s="1292"/>
      <c r="N82" s="1292"/>
      <c r="O82" s="932"/>
      <c r="P82" s="932"/>
      <c r="Q82" s="1004"/>
      <c r="R82" s="1004"/>
      <c r="S82" s="1004"/>
      <c r="T82" s="1004"/>
      <c r="U82" s="1004"/>
      <c r="V82" s="1004"/>
      <c r="W82" s="1004"/>
      <c r="X82" s="1005"/>
    </row>
    <row r="83" spans="1:24" ht="15.75">
      <c r="A83" s="2312" t="s">
        <v>432</v>
      </c>
      <c r="B83" s="2313"/>
      <c r="C83" s="2313"/>
      <c r="D83" s="2313"/>
      <c r="E83" s="2313"/>
      <c r="F83" s="2313"/>
      <c r="G83" s="2313"/>
      <c r="H83" s="303">
        <f>SUM(H84:H89)</f>
        <v>877773853</v>
      </c>
      <c r="I83" s="1294">
        <f>+(J83-H83)/H83</f>
        <v>4.9460767840848401E-2</v>
      </c>
      <c r="J83" s="303">
        <f>SUM(J84:J89)</f>
        <v>921189221.75999999</v>
      </c>
      <c r="K83" s="1294">
        <f t="shared" ref="K83:K90" si="23">+(L83-J83)/J83</f>
        <v>0.29533557081272971</v>
      </c>
      <c r="L83" s="303">
        <f>SUM(L84:L89)</f>
        <v>1193249166.3950238</v>
      </c>
      <c r="M83" s="1294">
        <f t="shared" ref="M83:M90" si="24">+(N83-L83)/L83</f>
        <v>0.31944802589435589</v>
      </c>
      <c r="N83" s="303">
        <v>1574430257</v>
      </c>
      <c r="O83" s="303"/>
      <c r="P83" s="303"/>
      <c r="Q83" s="997">
        <f t="shared" ref="Q83:X83" si="25">SUM(Q84:Q89)</f>
        <v>2616908186</v>
      </c>
      <c r="R83" s="997">
        <f t="shared" si="25"/>
        <v>2567837225</v>
      </c>
      <c r="S83" s="997">
        <f t="shared" si="25"/>
        <v>0</v>
      </c>
      <c r="T83" s="997">
        <f t="shared" si="25"/>
        <v>0</v>
      </c>
      <c r="U83" s="997">
        <f t="shared" si="25"/>
        <v>49070961</v>
      </c>
      <c r="V83" s="997">
        <f t="shared" si="25"/>
        <v>0</v>
      </c>
      <c r="W83" s="997">
        <f t="shared" si="25"/>
        <v>0</v>
      </c>
      <c r="X83" s="998">
        <f t="shared" si="25"/>
        <v>0</v>
      </c>
    </row>
    <row r="84" spans="1:24" ht="38.25">
      <c r="A84" s="163">
        <v>57</v>
      </c>
      <c r="B84" s="1029" t="s">
        <v>6</v>
      </c>
      <c r="C84" s="16" t="s">
        <v>214</v>
      </c>
      <c r="D84" s="16">
        <v>25</v>
      </c>
      <c r="E84" s="16">
        <v>50</v>
      </c>
      <c r="F84" s="16">
        <v>75</v>
      </c>
      <c r="G84" s="16">
        <v>100</v>
      </c>
      <c r="H84" s="302">
        <v>268297197</v>
      </c>
      <c r="I84" s="917">
        <f t="shared" si="21"/>
        <v>-0.14037859515915849</v>
      </c>
      <c r="J84" s="302">
        <v>230634013.40000001</v>
      </c>
      <c r="K84" s="917">
        <f t="shared" si="23"/>
        <v>0.52657396306662874</v>
      </c>
      <c r="L84" s="302">
        <f>+'[1]329901'!G7</f>
        <v>352079879.85399997</v>
      </c>
      <c r="M84" s="917" t="e">
        <f t="shared" si="24"/>
        <v>#REF!</v>
      </c>
      <c r="N84" s="302" t="e">
        <f>+'[1]329901'!I7</f>
        <v>#REF!</v>
      </c>
      <c r="O84" s="302"/>
      <c r="P84" s="302" t="s">
        <v>532</v>
      </c>
      <c r="Q84" s="1007">
        <f t="shared" ref="Q84:Q89" si="26">SUM(R84:X84)</f>
        <v>300000000</v>
      </c>
      <c r="R84" s="1007">
        <v>300000000</v>
      </c>
      <c r="S84" s="1007"/>
      <c r="T84" s="1007"/>
      <c r="U84" s="1007"/>
      <c r="V84" s="1007"/>
      <c r="W84" s="1007"/>
      <c r="X84" s="1008"/>
    </row>
    <row r="85" spans="1:24" ht="25.5">
      <c r="A85" s="163">
        <v>58</v>
      </c>
      <c r="B85" s="1029" t="s">
        <v>7</v>
      </c>
      <c r="C85" s="16" t="s">
        <v>214</v>
      </c>
      <c r="D85" s="16">
        <v>5</v>
      </c>
      <c r="E85" s="16">
        <v>40</v>
      </c>
      <c r="F85" s="16">
        <v>70</v>
      </c>
      <c r="G85" s="16">
        <v>100</v>
      </c>
      <c r="H85" s="302">
        <v>8494925</v>
      </c>
      <c r="I85" s="917">
        <f t="shared" si="21"/>
        <v>0.93229926809241959</v>
      </c>
      <c r="J85" s="302">
        <v>16414737.359999998</v>
      </c>
      <c r="K85" s="917">
        <f t="shared" si="23"/>
        <v>0.22329097076701585</v>
      </c>
      <c r="L85" s="302">
        <f>+'[1]329901'!G11</f>
        <v>20080000</v>
      </c>
      <c r="M85" s="917" t="e">
        <f t="shared" si="24"/>
        <v>#REF!</v>
      </c>
      <c r="N85" s="302" t="e">
        <f>+'[1]329901'!I11</f>
        <v>#REF!</v>
      </c>
      <c r="O85" s="302"/>
      <c r="P85" s="302"/>
      <c r="Q85" s="1007">
        <f t="shared" si="26"/>
        <v>0</v>
      </c>
      <c r="R85" s="1007"/>
      <c r="S85" s="1007"/>
      <c r="T85" s="1007"/>
      <c r="U85" s="1007"/>
      <c r="V85" s="1007"/>
      <c r="W85" s="1007"/>
      <c r="X85" s="1008"/>
    </row>
    <row r="86" spans="1:24" ht="51" customHeight="1">
      <c r="A86" s="1284">
        <v>59</v>
      </c>
      <c r="B86" s="1285" t="s">
        <v>8</v>
      </c>
      <c r="C86" s="16" t="s">
        <v>214</v>
      </c>
      <c r="D86" s="16">
        <v>25</v>
      </c>
      <c r="E86" s="16">
        <v>50</v>
      </c>
      <c r="F86" s="16">
        <v>75</v>
      </c>
      <c r="G86" s="16">
        <v>100</v>
      </c>
      <c r="H86" s="302">
        <v>515401441</v>
      </c>
      <c r="I86" s="917">
        <f t="shared" si="21"/>
        <v>-0.3185619071639344</v>
      </c>
      <c r="J86" s="302">
        <v>351214175</v>
      </c>
      <c r="K86" s="917">
        <f t="shared" si="23"/>
        <v>-0.87383453375415732</v>
      </c>
      <c r="L86" s="302">
        <f>+'[1]329901'!G13</f>
        <v>44311100.141024001</v>
      </c>
      <c r="M86" s="917" t="e">
        <f t="shared" si="24"/>
        <v>#REF!</v>
      </c>
      <c r="N86" s="302" t="e">
        <f>+'[1]329901'!I13</f>
        <v>#REF!</v>
      </c>
      <c r="O86" s="1030" t="s">
        <v>533</v>
      </c>
      <c r="P86" s="1030"/>
      <c r="Q86" s="1007">
        <f t="shared" si="26"/>
        <v>196283844</v>
      </c>
      <c r="R86" s="1007">
        <v>147212883</v>
      </c>
      <c r="S86" s="1007"/>
      <c r="T86" s="1007"/>
      <c r="U86" s="1007">
        <v>49070961</v>
      </c>
      <c r="V86" s="1007"/>
      <c r="W86" s="1007"/>
      <c r="X86" s="1008"/>
    </row>
    <row r="87" spans="1:24" ht="38.25">
      <c r="A87" s="15">
        <v>60</v>
      </c>
      <c r="B87" s="161" t="s">
        <v>331</v>
      </c>
      <c r="C87" s="16" t="s">
        <v>214</v>
      </c>
      <c r="D87" s="16">
        <v>20</v>
      </c>
      <c r="E87" s="16">
        <v>60</v>
      </c>
      <c r="F87" s="16">
        <v>80</v>
      </c>
      <c r="G87" s="16">
        <v>100</v>
      </c>
      <c r="H87" s="302">
        <v>67000000</v>
      </c>
      <c r="I87" s="917">
        <f t="shared" si="21"/>
        <v>-0.62637298507462691</v>
      </c>
      <c r="J87" s="302">
        <v>25033010</v>
      </c>
      <c r="K87" s="917">
        <f t="shared" si="23"/>
        <v>0.27273332292041591</v>
      </c>
      <c r="L87" s="302">
        <f>+'[1]329901'!G16</f>
        <v>31860346</v>
      </c>
      <c r="M87" s="917" t="e">
        <f t="shared" si="24"/>
        <v>#REF!</v>
      </c>
      <c r="N87" s="302" t="e">
        <f>+'[1]329901'!I16</f>
        <v>#REF!</v>
      </c>
      <c r="O87" s="302"/>
      <c r="P87" s="302"/>
      <c r="Q87" s="1007">
        <f>SUM(R87:X87)</f>
        <v>0</v>
      </c>
      <c r="R87" s="1007"/>
      <c r="S87" s="1007"/>
      <c r="T87" s="1007"/>
      <c r="U87" s="1007"/>
      <c r="V87" s="1007"/>
      <c r="W87" s="1007"/>
      <c r="X87" s="1008"/>
    </row>
    <row r="88" spans="1:24" ht="51" customHeight="1">
      <c r="A88" s="1286">
        <v>61</v>
      </c>
      <c r="B88" s="1287" t="s">
        <v>9</v>
      </c>
      <c r="C88" s="16" t="s">
        <v>214</v>
      </c>
      <c r="D88" s="16">
        <v>100</v>
      </c>
      <c r="E88" s="16">
        <v>100</v>
      </c>
      <c r="F88" s="16">
        <v>100</v>
      </c>
      <c r="G88" s="16">
        <v>100</v>
      </c>
      <c r="H88" s="302">
        <v>14016000</v>
      </c>
      <c r="I88" s="917">
        <f t="shared" si="21"/>
        <v>2.2596098744292239</v>
      </c>
      <c r="J88" s="302">
        <v>45686692</v>
      </c>
      <c r="K88" s="917">
        <f t="shared" si="23"/>
        <v>9.2366564294039932</v>
      </c>
      <c r="L88" s="302">
        <f>+'[1]329901'!G18</f>
        <v>467678969.39999998</v>
      </c>
      <c r="M88" s="917" t="e">
        <f t="shared" si="24"/>
        <v>#REF!</v>
      </c>
      <c r="N88" s="302" t="e">
        <f>+'[1]329901'!I18</f>
        <v>#REF!</v>
      </c>
      <c r="O88" s="1030" t="s">
        <v>534</v>
      </c>
      <c r="P88" s="1030"/>
      <c r="Q88" s="1031">
        <f t="shared" si="26"/>
        <v>2120624342</v>
      </c>
      <c r="R88" s="1007">
        <v>2120624342</v>
      </c>
      <c r="S88" s="1007"/>
      <c r="T88" s="1007"/>
      <c r="U88" s="1007"/>
      <c r="V88" s="1007"/>
      <c r="W88" s="1007"/>
      <c r="X88" s="1008"/>
    </row>
    <row r="89" spans="1:24" ht="26.25" thickBot="1">
      <c r="A89" s="1032">
        <v>62</v>
      </c>
      <c r="B89" s="1033" t="s">
        <v>0</v>
      </c>
      <c r="C89" s="1034" t="s">
        <v>317</v>
      </c>
      <c r="D89" s="1034">
        <v>1</v>
      </c>
      <c r="E89" s="1034">
        <v>1</v>
      </c>
      <c r="F89" s="1034">
        <v>1</v>
      </c>
      <c r="G89" s="1034">
        <v>1</v>
      </c>
      <c r="H89" s="1035">
        <v>4564290</v>
      </c>
      <c r="I89" s="1036">
        <f t="shared" si="21"/>
        <v>54.256478882805432</v>
      </c>
      <c r="J89" s="1035">
        <v>252206594</v>
      </c>
      <c r="K89" s="1036">
        <f t="shared" si="23"/>
        <v>9.9253063145525844E-2</v>
      </c>
      <c r="L89" s="1035">
        <f>+'[1]329901'!G22</f>
        <v>277238871</v>
      </c>
      <c r="M89" s="1036" t="e">
        <f t="shared" si="24"/>
        <v>#REF!</v>
      </c>
      <c r="N89" s="1035" t="e">
        <f>+'[1]329901'!I22</f>
        <v>#REF!</v>
      </c>
      <c r="O89" s="1035"/>
      <c r="P89" s="1035"/>
      <c r="Q89" s="1037">
        <f t="shared" si="26"/>
        <v>0</v>
      </c>
      <c r="R89" s="1037"/>
      <c r="S89" s="1037"/>
      <c r="T89" s="1037"/>
      <c r="U89" s="1037"/>
      <c r="V89" s="1037"/>
      <c r="W89" s="1037"/>
      <c r="X89" s="1038"/>
    </row>
    <row r="90" spans="1:24" ht="30.75" customHeight="1" thickBot="1">
      <c r="A90" s="2314" t="s">
        <v>535</v>
      </c>
      <c r="B90" s="2315"/>
      <c r="C90" s="2315"/>
      <c r="D90" s="2315"/>
      <c r="E90" s="2315"/>
      <c r="F90" s="2315"/>
      <c r="G90" s="2316"/>
      <c r="H90" s="1296">
        <f>+H83+H79+H75+H71+H68+H65+H61+H52+H48+H41+H37+H25+H13+H10+H7</f>
        <v>23849676251</v>
      </c>
      <c r="I90" s="1298">
        <f>+(J90-H90)/H90</f>
        <v>4.2943599234695158E-2</v>
      </c>
      <c r="J90" s="1296">
        <f>+J83+J79+J75+J71+J68+J65+J61+J52+J48+J41+J37+J25+J13+J10+J7</f>
        <v>24873867189.800171</v>
      </c>
      <c r="K90" s="1298">
        <f t="shared" si="23"/>
        <v>0.12303729577663591</v>
      </c>
      <c r="L90" s="1296">
        <f>+L83+L79+L75+L71+L68+L65+L61+L52+L48+L41+L37+L25+L13+L10+L7</f>
        <v>27934280544.340374</v>
      </c>
      <c r="M90" s="1298">
        <f t="shared" si="24"/>
        <v>0.10344147579075796</v>
      </c>
      <c r="N90" s="1296">
        <f>+N83+N79+N75+N71+N68+N65+N61+N52+N48+N41+N37+N25+N13+N10+N7</f>
        <v>30823843749</v>
      </c>
      <c r="O90" s="1295"/>
      <c r="P90" s="1295"/>
      <c r="Q90" s="1039">
        <f t="shared" ref="Q90:X90" si="27">+Q7+Q10+Q13+Q25+Q37+Q41+Q48+Q52+Q61+Q65+Q68+Q71+Q75+Q79+Q83</f>
        <v>18396545312.39624</v>
      </c>
      <c r="R90" s="1039">
        <f t="shared" si="27"/>
        <v>6498370593.4986267</v>
      </c>
      <c r="S90" s="1039">
        <f t="shared" si="27"/>
        <v>8348373632.8531866</v>
      </c>
      <c r="T90" s="1039">
        <f t="shared" si="27"/>
        <v>1966717073.3199999</v>
      </c>
      <c r="U90" s="1039">
        <f t="shared" si="27"/>
        <v>1259323358.5244243</v>
      </c>
      <c r="V90" s="1039">
        <f t="shared" si="27"/>
        <v>282233926</v>
      </c>
      <c r="W90" s="1039">
        <f t="shared" si="27"/>
        <v>0</v>
      </c>
      <c r="X90" s="1040">
        <f t="shared" si="27"/>
        <v>0</v>
      </c>
    </row>
    <row r="91" spans="1:24" ht="30.75" customHeight="1" thickBot="1">
      <c r="A91" s="2317" t="s">
        <v>536</v>
      </c>
      <c r="B91" s="2318"/>
      <c r="C91" s="2318"/>
      <c r="D91" s="2318"/>
      <c r="E91" s="2318"/>
      <c r="F91" s="2318"/>
      <c r="G91" s="2319"/>
      <c r="H91" s="1297"/>
      <c r="I91" s="1297"/>
      <c r="J91" s="1297"/>
      <c r="K91" s="1297"/>
      <c r="L91" s="1297"/>
      <c r="M91" s="1297"/>
      <c r="N91" s="1297"/>
      <c r="O91" s="1297"/>
      <c r="P91" s="1297"/>
      <c r="Q91" s="1041">
        <f t="shared" ref="Q91:X91" si="28">+Q3-Q90</f>
        <v>12022081285.666248</v>
      </c>
      <c r="R91" s="1041">
        <f t="shared" si="28"/>
        <v>3561878994.5013733</v>
      </c>
      <c r="S91" s="1041">
        <f t="shared" si="28"/>
        <v>3381633421.6317415</v>
      </c>
      <c r="T91" s="1041">
        <f t="shared" si="28"/>
        <v>1405021928.194</v>
      </c>
      <c r="U91" s="1041">
        <f t="shared" si="28"/>
        <v>733963277.47557569</v>
      </c>
      <c r="V91" s="1041">
        <f t="shared" si="28"/>
        <v>2105017170.5472002</v>
      </c>
      <c r="W91" s="1041">
        <f t="shared" si="28"/>
        <v>223366104.72436002</v>
      </c>
      <c r="X91" s="1041">
        <f t="shared" si="28"/>
        <v>652727116.79200006</v>
      </c>
    </row>
    <row r="92" spans="1:24" ht="25.5" customHeight="1">
      <c r="H92" s="60">
        <f>+H83+H79+H75+H71+H68+H65+H61+H52+H48+H41+H37+H25+H13+H10+H7</f>
        <v>23849676251</v>
      </c>
      <c r="I92" s="919"/>
      <c r="J92" s="60">
        <f>+J83+J79+J75+J71+J68+J65+J61+J52+J48+J41+J37+J25+J13+J10+J7</f>
        <v>24873867189.800171</v>
      </c>
      <c r="K92" s="60"/>
      <c r="L92" s="60"/>
      <c r="M92" s="919"/>
      <c r="N92" s="60">
        <f>+L83+L79+L75+L71+L68+L65+L61+L52+L48+L41+L37+L25+L13+L10+L7</f>
        <v>27934280544.340374</v>
      </c>
      <c r="O92" s="60"/>
      <c r="P92" s="60"/>
      <c r="Q92" s="517"/>
      <c r="R92" s="1042"/>
      <c r="S92" s="1042"/>
      <c r="T92" s="1042"/>
      <c r="U92" s="1042"/>
      <c r="V92" s="1042"/>
      <c r="W92" s="1042"/>
      <c r="X92" s="1042"/>
    </row>
    <row r="93" spans="1:24">
      <c r="H93" s="60"/>
      <c r="I93" s="919"/>
      <c r="J93" s="60"/>
      <c r="K93" s="60"/>
      <c r="L93" s="60"/>
      <c r="M93" s="919"/>
      <c r="N93" s="60"/>
      <c r="O93" s="60"/>
      <c r="P93" s="60"/>
      <c r="Q93" s="60"/>
      <c r="R93" s="1043"/>
      <c r="S93" s="1043"/>
      <c r="T93" s="1043"/>
      <c r="U93" s="1043"/>
      <c r="V93" s="1043"/>
      <c r="W93" s="1043"/>
      <c r="X93" s="1043"/>
    </row>
    <row r="94" spans="1:24">
      <c r="H94" s="60"/>
      <c r="I94" s="919"/>
      <c r="J94" s="60"/>
      <c r="K94" s="60"/>
      <c r="L94" s="60"/>
      <c r="M94" s="919"/>
      <c r="N94" s="60"/>
      <c r="O94" s="60"/>
      <c r="P94" s="60"/>
      <c r="Q94" s="60"/>
      <c r="R94" s="1043"/>
      <c r="S94" s="1043"/>
      <c r="T94" s="1043"/>
      <c r="U94" s="1043"/>
      <c r="V94" s="1043"/>
      <c r="W94" s="1043"/>
      <c r="X94" s="1043"/>
    </row>
    <row r="95" spans="1:24">
      <c r="H95" s="60"/>
      <c r="I95" s="919"/>
      <c r="J95" s="60"/>
      <c r="K95" s="60"/>
      <c r="L95" s="60"/>
      <c r="M95" s="919"/>
      <c r="N95" s="60"/>
      <c r="O95" s="60"/>
      <c r="P95" s="60"/>
      <c r="Q95" s="60"/>
      <c r="R95" s="1043"/>
      <c r="S95" s="1043"/>
      <c r="T95" s="1043"/>
      <c r="U95" s="1043"/>
      <c r="V95" s="1043"/>
      <c r="W95" s="1043"/>
      <c r="X95" s="1043"/>
    </row>
    <row r="96" spans="1:24">
      <c r="H96" s="60"/>
      <c r="I96" s="919"/>
      <c r="J96" s="60"/>
      <c r="K96" s="60"/>
      <c r="L96" s="60"/>
      <c r="M96" s="919"/>
      <c r="N96" s="60">
        <v>27934280541</v>
      </c>
      <c r="O96" s="60"/>
      <c r="P96" s="60"/>
      <c r="Q96" s="60"/>
      <c r="R96" s="60"/>
      <c r="S96" s="60"/>
      <c r="T96" s="60"/>
      <c r="U96" s="60"/>
      <c r="V96" s="60"/>
      <c r="W96" s="60"/>
      <c r="X96" s="60"/>
    </row>
    <row r="97" spans="5:24">
      <c r="E97">
        <v>2020</v>
      </c>
      <c r="F97" t="s">
        <v>470</v>
      </c>
      <c r="H97" s="60">
        <v>23755585130</v>
      </c>
      <c r="I97" s="919"/>
      <c r="J97" s="60">
        <f>+H97+H98</f>
        <v>29059735810</v>
      </c>
      <c r="K97" s="60"/>
      <c r="L97" s="60"/>
      <c r="M97" s="919"/>
      <c r="N97" s="60">
        <f>+N92-N96</f>
        <v>3.3403739929199219</v>
      </c>
      <c r="O97" s="60"/>
      <c r="P97" s="60"/>
      <c r="Q97" s="60"/>
      <c r="R97" s="60"/>
      <c r="S97" s="60"/>
      <c r="T97" s="60"/>
      <c r="U97" s="60"/>
      <c r="V97" s="60"/>
      <c r="W97" s="60"/>
      <c r="X97" s="60"/>
    </row>
    <row r="98" spans="5:24">
      <c r="F98" t="s">
        <v>340</v>
      </c>
      <c r="H98" s="60">
        <v>5304150680</v>
      </c>
      <c r="I98" s="919"/>
      <c r="J98" s="60"/>
      <c r="K98" s="60"/>
      <c r="L98" s="60"/>
      <c r="M98" s="919"/>
      <c r="N98" s="60"/>
      <c r="O98" s="60"/>
      <c r="P98" s="60"/>
      <c r="Q98" s="60"/>
      <c r="R98" s="60"/>
      <c r="S98" s="60"/>
      <c r="T98" s="60"/>
      <c r="U98" s="60"/>
      <c r="V98" s="60"/>
      <c r="W98" s="60"/>
      <c r="X98" s="60"/>
    </row>
    <row r="99" spans="5:24">
      <c r="F99" t="s">
        <v>471</v>
      </c>
      <c r="H99" s="60">
        <v>27912027693</v>
      </c>
      <c r="I99" s="919"/>
      <c r="J99" s="60"/>
      <c r="K99" s="60"/>
      <c r="L99" s="60"/>
      <c r="M99" s="919"/>
      <c r="N99" s="60"/>
      <c r="O99" s="60"/>
      <c r="P99" s="60"/>
      <c r="Q99" s="60"/>
      <c r="R99" s="60"/>
      <c r="S99" s="60"/>
      <c r="T99" s="60"/>
      <c r="U99" s="60"/>
      <c r="V99" s="60"/>
      <c r="W99" s="60"/>
      <c r="X99" s="60"/>
    </row>
    <row r="100" spans="5:24">
      <c r="H100" s="60"/>
      <c r="I100" s="919"/>
      <c r="J100" s="60"/>
      <c r="K100" s="60"/>
      <c r="L100" s="60"/>
      <c r="M100" s="919"/>
      <c r="N100" s="60"/>
      <c r="O100" s="60"/>
      <c r="P100" s="60"/>
      <c r="Q100" s="60"/>
      <c r="R100" s="60"/>
      <c r="S100" s="60"/>
      <c r="T100" s="60"/>
      <c r="U100" s="60"/>
      <c r="V100" s="60"/>
      <c r="W100" s="60"/>
      <c r="X100" s="60"/>
    </row>
    <row r="101" spans="5:24">
      <c r="H101" s="60"/>
      <c r="I101" s="919"/>
      <c r="J101" s="60"/>
      <c r="K101" s="60"/>
      <c r="L101" s="60"/>
      <c r="M101" s="919"/>
      <c r="N101" s="60"/>
      <c r="O101" s="60"/>
      <c r="P101" s="60"/>
      <c r="Q101" s="60"/>
      <c r="R101" s="60"/>
      <c r="S101" s="60"/>
      <c r="T101" s="60"/>
      <c r="U101" s="60"/>
      <c r="V101" s="60"/>
      <c r="W101" s="60"/>
      <c r="X101" s="60"/>
    </row>
    <row r="102" spans="5:24">
      <c r="E102">
        <v>2021</v>
      </c>
      <c r="F102" t="s">
        <v>470</v>
      </c>
      <c r="H102" s="60">
        <v>24873867190</v>
      </c>
      <c r="I102" s="919"/>
      <c r="J102" s="60">
        <f>+H102+H103</f>
        <v>34394749006</v>
      </c>
      <c r="K102" s="60"/>
      <c r="L102" s="60"/>
      <c r="M102" s="919"/>
      <c r="N102" s="60"/>
      <c r="O102" s="60"/>
      <c r="P102" s="60"/>
      <c r="Q102" s="60"/>
      <c r="R102" s="60"/>
      <c r="S102" s="60"/>
      <c r="T102" s="60"/>
      <c r="U102" s="60"/>
      <c r="V102" s="60"/>
      <c r="W102" s="60"/>
      <c r="X102" s="60"/>
    </row>
    <row r="103" spans="5:24">
      <c r="F103" t="s">
        <v>340</v>
      </c>
      <c r="H103" s="60">
        <v>9520881816</v>
      </c>
      <c r="I103" s="919"/>
      <c r="J103" s="60"/>
      <c r="K103" s="60"/>
      <c r="L103" s="60"/>
      <c r="M103" s="919"/>
      <c r="N103" s="60"/>
      <c r="O103" s="60"/>
      <c r="P103" s="60"/>
      <c r="Q103" s="60"/>
      <c r="R103" s="60"/>
      <c r="S103" s="60"/>
      <c r="T103" s="60"/>
      <c r="U103" s="60"/>
      <c r="V103" s="60"/>
      <c r="W103" s="60"/>
      <c r="X103" s="60"/>
    </row>
    <row r="104" spans="5:24">
      <c r="F104" t="s">
        <v>471</v>
      </c>
      <c r="H104" s="59">
        <f>+H103+H102</f>
        <v>34394749006</v>
      </c>
      <c r="Q104" s="59"/>
      <c r="R104" s="60"/>
      <c r="S104" s="60"/>
    </row>
    <row r="105" spans="5:24">
      <c r="R105" s="60"/>
      <c r="S105" s="60"/>
    </row>
    <row r="106" spans="5:24">
      <c r="E106">
        <v>2022</v>
      </c>
      <c r="F106" t="s">
        <v>470</v>
      </c>
      <c r="H106" s="60">
        <v>27934280541</v>
      </c>
      <c r="I106" s="919"/>
      <c r="R106" s="1044"/>
      <c r="S106" s="59"/>
    </row>
    <row r="108" spans="5:24">
      <c r="G108" t="s">
        <v>470</v>
      </c>
      <c r="J108" t="s">
        <v>473</v>
      </c>
    </row>
    <row r="109" spans="5:24">
      <c r="G109">
        <v>2019</v>
      </c>
      <c r="H109" s="59">
        <v>20417974353</v>
      </c>
      <c r="J109" s="312">
        <f>+(H110-H109)/H109</f>
        <v>0.16346434368547472</v>
      </c>
      <c r="K109" s="312"/>
      <c r="L109" s="312"/>
      <c r="N109" s="301"/>
      <c r="O109" s="301"/>
      <c r="P109" s="301"/>
      <c r="Q109" s="301"/>
      <c r="R109" s="301"/>
      <c r="S109" s="301"/>
      <c r="T109" s="301"/>
      <c r="U109" s="301"/>
      <c r="V109" s="301"/>
      <c r="W109" s="301"/>
      <c r="X109" s="301"/>
    </row>
    <row r="110" spans="5:24">
      <c r="G110">
        <v>2020</v>
      </c>
      <c r="H110" s="59">
        <f>+H97</f>
        <v>23755585130</v>
      </c>
      <c r="J110" s="312">
        <f>+(H111-H110)/H110</f>
        <v>4.7074490225364529E-2</v>
      </c>
      <c r="K110" s="312"/>
      <c r="L110" s="312"/>
      <c r="N110" s="312">
        <v>0.74380000000000002</v>
      </c>
      <c r="O110" s="312"/>
      <c r="P110" s="312"/>
      <c r="Q110" s="312"/>
      <c r="R110" s="312"/>
      <c r="S110" s="312"/>
      <c r="T110" s="312"/>
      <c r="U110" s="312"/>
      <c r="V110" s="312"/>
      <c r="W110" s="312"/>
      <c r="X110" s="312"/>
    </row>
    <row r="111" spans="5:24">
      <c r="G111">
        <v>2021</v>
      </c>
      <c r="H111" s="59">
        <f>+H102</f>
        <v>24873867190</v>
      </c>
      <c r="J111" s="312">
        <f>+(H112-H111)/H111</f>
        <v>0.12303729563332126</v>
      </c>
      <c r="K111" s="312"/>
      <c r="L111" s="312"/>
      <c r="M111" s="920"/>
      <c r="N111" s="312">
        <v>0.74519999999999997</v>
      </c>
      <c r="O111" s="312"/>
      <c r="P111" s="312"/>
      <c r="Q111" s="312"/>
      <c r="R111" s="312"/>
      <c r="S111" s="312"/>
      <c r="T111" s="312"/>
      <c r="U111" s="312"/>
      <c r="V111" s="312"/>
      <c r="W111" s="312"/>
      <c r="X111" s="312"/>
    </row>
    <row r="112" spans="5:24">
      <c r="G112">
        <v>2022</v>
      </c>
      <c r="H112" s="59">
        <f>+H106</f>
        <v>27934280541</v>
      </c>
      <c r="J112" s="301"/>
      <c r="K112" s="301"/>
      <c r="L112" s="301"/>
      <c r="M112" s="920"/>
    </row>
    <row r="114" spans="7:31">
      <c r="H114" s="59">
        <v>22607877013</v>
      </c>
    </row>
    <row r="116" spans="7:31">
      <c r="G116" t="s">
        <v>472</v>
      </c>
    </row>
    <row r="117" spans="7:31">
      <c r="G117">
        <v>2019</v>
      </c>
      <c r="H117" s="59">
        <v>28214806441</v>
      </c>
      <c r="AC117" s="2326" t="s">
        <v>478</v>
      </c>
      <c r="AD117" s="2311" t="s">
        <v>476</v>
      </c>
      <c r="AE117" s="2311" t="s">
        <v>477</v>
      </c>
    </row>
    <row r="118" spans="7:31">
      <c r="G118">
        <v>2020</v>
      </c>
      <c r="H118" s="59">
        <f>+J97</f>
        <v>29059735810</v>
      </c>
      <c r="J118" s="305">
        <v>0.97699999999999998</v>
      </c>
      <c r="K118" s="305"/>
      <c r="L118" s="305"/>
      <c r="N118" s="59">
        <f>+J118*H118</f>
        <v>28391361886.369999</v>
      </c>
      <c r="O118" s="59"/>
      <c r="P118" s="59"/>
      <c r="Q118" s="59"/>
      <c r="R118" s="59"/>
      <c r="S118" s="59"/>
      <c r="T118" s="59"/>
      <c r="U118" s="59"/>
      <c r="V118" s="59"/>
      <c r="W118" s="59"/>
      <c r="X118" s="59"/>
      <c r="AC118" s="2326"/>
      <c r="AD118" s="2311"/>
      <c r="AE118" s="2311"/>
    </row>
    <row r="119" spans="7:31">
      <c r="G119">
        <v>2021</v>
      </c>
      <c r="H119" s="59">
        <f>+J102</f>
        <v>34394749006</v>
      </c>
      <c r="J119" s="301">
        <v>0.71</v>
      </c>
      <c r="K119" s="301"/>
      <c r="L119" s="301"/>
      <c r="M119" s="920"/>
      <c r="N119" s="59">
        <f>+J119*H119</f>
        <v>24420271794.259998</v>
      </c>
      <c r="O119" s="59"/>
      <c r="P119" s="59"/>
      <c r="Q119" s="59"/>
      <c r="R119" s="59"/>
      <c r="S119" s="59"/>
      <c r="T119" s="59"/>
      <c r="U119" s="59"/>
      <c r="V119" s="59"/>
      <c r="W119" s="59"/>
      <c r="X119" s="59"/>
      <c r="Y119" t="s">
        <v>474</v>
      </c>
      <c r="AC119" s="314">
        <v>2020</v>
      </c>
      <c r="AD119" s="317">
        <v>0.16346434368547472</v>
      </c>
      <c r="AE119" s="315"/>
    </row>
    <row r="120" spans="7:31">
      <c r="N120" s="59">
        <f>+H119-N119</f>
        <v>9974477211.7400017</v>
      </c>
      <c r="O120" s="59"/>
      <c r="P120" s="59"/>
      <c r="Q120" s="59"/>
      <c r="R120" s="59"/>
      <c r="S120" s="59"/>
      <c r="T120" s="59"/>
      <c r="U120" s="59"/>
      <c r="V120" s="59"/>
      <c r="W120" s="59"/>
      <c r="X120" s="59"/>
      <c r="Y120" t="s">
        <v>475</v>
      </c>
      <c r="AC120" s="313">
        <v>2021</v>
      </c>
      <c r="AD120" s="316">
        <v>4.7074490225364529E-2</v>
      </c>
      <c r="AE120" s="316">
        <v>0.74380000000000002</v>
      </c>
    </row>
    <row r="121" spans="7:31">
      <c r="AC121" s="313">
        <v>2022</v>
      </c>
      <c r="AD121" s="316">
        <v>0.12303729563332126</v>
      </c>
      <c r="AE121" s="316">
        <v>0.74519999999999997</v>
      </c>
    </row>
  </sheetData>
  <mergeCells count="57">
    <mergeCell ref="A1:N1"/>
    <mergeCell ref="P2:Q2"/>
    <mergeCell ref="O3:P3"/>
    <mergeCell ref="A4:A5"/>
    <mergeCell ref="B4:B5"/>
    <mergeCell ref="C4:C5"/>
    <mergeCell ref="D4:D5"/>
    <mergeCell ref="E4:E5"/>
    <mergeCell ref="F4:F5"/>
    <mergeCell ref="G4:G5"/>
    <mergeCell ref="P4:P5"/>
    <mergeCell ref="Q4:Q5"/>
    <mergeCell ref="M4:M5"/>
    <mergeCell ref="N4:N5"/>
    <mergeCell ref="R4:V4"/>
    <mergeCell ref="Y4:Y5"/>
    <mergeCell ref="L4:L5"/>
    <mergeCell ref="O4:O5"/>
    <mergeCell ref="A10:G10"/>
    <mergeCell ref="A7:G7"/>
    <mergeCell ref="H4:H5"/>
    <mergeCell ref="I4:I5"/>
    <mergeCell ref="J4:J5"/>
    <mergeCell ref="K4:K5"/>
    <mergeCell ref="A6:G6"/>
    <mergeCell ref="A13:G13"/>
    <mergeCell ref="A25:G25"/>
    <mergeCell ref="A29:A30"/>
    <mergeCell ref="B29:B30"/>
    <mergeCell ref="C29:C30"/>
    <mergeCell ref="D29:D30"/>
    <mergeCell ref="E29:E30"/>
    <mergeCell ref="F29:F30"/>
    <mergeCell ref="A24:G24"/>
    <mergeCell ref="G29:G30"/>
    <mergeCell ref="A37:G37"/>
    <mergeCell ref="A41:G41"/>
    <mergeCell ref="A48:G48"/>
    <mergeCell ref="A52:G52"/>
    <mergeCell ref="A61:G61"/>
    <mergeCell ref="A47:G47"/>
    <mergeCell ref="A60:G60"/>
    <mergeCell ref="A64:G64"/>
    <mergeCell ref="A65:G65"/>
    <mergeCell ref="A68:G68"/>
    <mergeCell ref="A71:G71"/>
    <mergeCell ref="A75:G75"/>
    <mergeCell ref="A79:G79"/>
    <mergeCell ref="A74:G74"/>
    <mergeCell ref="A78:G78"/>
    <mergeCell ref="A82:G82"/>
    <mergeCell ref="AC117:AC118"/>
    <mergeCell ref="AD117:AD118"/>
    <mergeCell ref="AE117:AE118"/>
    <mergeCell ref="A83:G83"/>
    <mergeCell ref="A90:G90"/>
    <mergeCell ref="A91:G91"/>
  </mergeCells>
  <pageMargins left="0.70866141732283472" right="0.70866141732283472" top="0.74803149606299213" bottom="0.74803149606299213" header="0.31496062992125984" footer="0.31496062992125984"/>
  <pageSetup scale="70" orientation="portrait" verticalDpi="597"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1">
    <tabColor theme="0" tint="-0.14999847407452621"/>
  </sheetPr>
  <dimension ref="A1:P21"/>
  <sheetViews>
    <sheetView workbookViewId="0">
      <pane xSplit="3" ySplit="1" topLeftCell="D11" activePane="bottomRight" state="frozen"/>
      <selection pane="topRight" activeCell="D1" sqref="D1"/>
      <selection pane="bottomLeft" activeCell="A2" sqref="A2"/>
      <selection pane="bottomRight" activeCell="I12" sqref="I12"/>
    </sheetView>
  </sheetViews>
  <sheetFormatPr baseColWidth="10" defaultRowHeight="15"/>
  <cols>
    <col min="1" max="1" width="14.28515625" style="1571" customWidth="1"/>
    <col min="2" max="2" width="11.42578125" style="1571" customWidth="1"/>
    <col min="3" max="3" width="19" style="1571" customWidth="1"/>
    <col min="4" max="4" width="19" customWidth="1"/>
    <col min="5" max="5" width="17.140625" customWidth="1"/>
    <col min="6" max="6" width="19.42578125" customWidth="1"/>
    <col min="7" max="7" width="25" customWidth="1"/>
    <col min="8" max="8" width="17.42578125" customWidth="1"/>
    <col min="9" max="9" width="18.7109375" customWidth="1"/>
    <col min="10" max="10" width="16" customWidth="1"/>
    <col min="11" max="12" width="18.85546875" customWidth="1"/>
    <col min="13" max="13" width="17.140625" customWidth="1"/>
    <col min="14" max="14" width="23.42578125" customWidth="1"/>
    <col min="15" max="15" width="17.140625" customWidth="1"/>
    <col min="16" max="16" width="19.42578125" customWidth="1"/>
  </cols>
  <sheetData>
    <row r="1" spans="1:16" ht="84.75" customHeight="1" thickTop="1" thickBot="1">
      <c r="A1" s="2028" t="s">
        <v>13</v>
      </c>
      <c r="B1" s="2028" t="s">
        <v>1321</v>
      </c>
      <c r="C1" s="2028" t="s">
        <v>282</v>
      </c>
      <c r="D1" s="2027" t="s">
        <v>1322</v>
      </c>
      <c r="E1" s="2027" t="s">
        <v>1326</v>
      </c>
      <c r="F1" s="2027" t="s">
        <v>1323</v>
      </c>
      <c r="G1" s="2027" t="s">
        <v>1325</v>
      </c>
      <c r="H1" s="2027" t="s">
        <v>1324</v>
      </c>
      <c r="I1" s="2027" t="s">
        <v>1327</v>
      </c>
      <c r="J1" s="2027" t="s">
        <v>1403</v>
      </c>
      <c r="K1" s="2027" t="s">
        <v>1402</v>
      </c>
      <c r="L1" s="2027" t="s">
        <v>1434</v>
      </c>
      <c r="M1" s="2027" t="s">
        <v>1435</v>
      </c>
      <c r="N1" s="2027" t="s">
        <v>1436</v>
      </c>
      <c r="O1" s="2237" t="s">
        <v>1433</v>
      </c>
      <c r="P1" s="2027" t="s">
        <v>10</v>
      </c>
    </row>
    <row r="2" spans="1:16" ht="48.75" customHeight="1" thickTop="1" thickBot="1">
      <c r="A2" s="2362" t="s">
        <v>342</v>
      </c>
      <c r="B2" s="2029">
        <v>320101</v>
      </c>
      <c r="C2" s="2030" t="s">
        <v>19</v>
      </c>
      <c r="D2" s="2021">
        <v>251598327</v>
      </c>
      <c r="E2" s="2032"/>
      <c r="F2" s="2023">
        <v>1924822626</v>
      </c>
      <c r="G2" s="2022"/>
      <c r="H2" s="2022"/>
      <c r="I2" s="2022"/>
      <c r="J2" s="2022"/>
      <c r="K2" s="2022"/>
      <c r="L2" s="2022"/>
      <c r="M2" s="2022"/>
      <c r="N2" s="2022"/>
      <c r="O2" s="2022"/>
      <c r="P2" s="2042">
        <f t="shared" ref="P2:P15" si="0">SUM(D2:M2)</f>
        <v>2176420953</v>
      </c>
    </row>
    <row r="3" spans="1:16" ht="41.25" customHeight="1" thickTop="1" thickBot="1">
      <c r="A3" s="2362"/>
      <c r="B3" s="2029">
        <v>320102</v>
      </c>
      <c r="C3" s="2030" t="s">
        <v>21</v>
      </c>
      <c r="D3" s="2024">
        <v>444686072</v>
      </c>
      <c r="E3" s="2032"/>
      <c r="F3" s="2023">
        <v>1008781230.02</v>
      </c>
      <c r="G3" s="2022"/>
      <c r="H3" s="2022">
        <v>191000000</v>
      </c>
      <c r="I3" s="2022"/>
      <c r="J3" s="2022"/>
      <c r="K3" s="2022"/>
      <c r="L3" s="2022"/>
      <c r="M3" s="2022"/>
      <c r="N3" s="2022"/>
      <c r="O3" s="2022"/>
      <c r="P3" s="2042">
        <f t="shared" si="0"/>
        <v>1644467302.02</v>
      </c>
    </row>
    <row r="4" spans="1:16" ht="61.5" thickTop="1" thickBot="1">
      <c r="A4" s="2362"/>
      <c r="B4" s="2029">
        <v>320103</v>
      </c>
      <c r="C4" s="2030" t="s">
        <v>160</v>
      </c>
      <c r="D4" s="2024">
        <v>3931975899</v>
      </c>
      <c r="E4" s="2032"/>
      <c r="F4" s="2023"/>
      <c r="G4" s="2022"/>
      <c r="H4" s="2022">
        <v>37409413</v>
      </c>
      <c r="I4" s="2022">
        <v>617692963.5072</v>
      </c>
      <c r="J4" s="2022"/>
      <c r="K4" s="2022"/>
      <c r="L4" s="2022"/>
      <c r="M4" s="2022"/>
      <c r="N4" s="2022"/>
      <c r="O4" s="2022"/>
      <c r="P4" s="2042">
        <f t="shared" si="0"/>
        <v>4587078275.5072002</v>
      </c>
    </row>
    <row r="5" spans="1:16" ht="61.5" thickTop="1" thickBot="1">
      <c r="A5" s="2362" t="s">
        <v>343</v>
      </c>
      <c r="B5" s="2029">
        <v>320201</v>
      </c>
      <c r="C5" s="2030" t="s">
        <v>125</v>
      </c>
      <c r="D5" s="2025">
        <v>3349134257</v>
      </c>
      <c r="E5" s="2032">
        <v>1999089756</v>
      </c>
      <c r="F5" s="2023"/>
      <c r="G5" s="2022">
        <v>33094998</v>
      </c>
      <c r="H5" s="2022">
        <v>161573358</v>
      </c>
      <c r="I5" s="2022">
        <v>666889444.77160001</v>
      </c>
      <c r="J5" s="2022"/>
      <c r="K5" s="2022"/>
      <c r="L5" s="2022"/>
      <c r="M5" s="2022"/>
      <c r="N5" s="2022"/>
      <c r="O5" s="2022">
        <v>-74352513</v>
      </c>
      <c r="P5" s="2042">
        <f t="shared" si="0"/>
        <v>6209781813.7715998</v>
      </c>
    </row>
    <row r="6" spans="1:16" ht="73.5" thickTop="1" thickBot="1">
      <c r="A6" s="2362"/>
      <c r="B6" s="2029">
        <v>320202</v>
      </c>
      <c r="C6" s="2030" t="s">
        <v>161</v>
      </c>
      <c r="D6" s="2024">
        <v>1045063651</v>
      </c>
      <c r="E6" s="2032"/>
      <c r="F6" s="2023"/>
      <c r="G6" s="2022"/>
      <c r="H6" s="2022"/>
      <c r="I6" s="2022">
        <v>336849723.31999999</v>
      </c>
      <c r="J6" s="2022"/>
      <c r="K6" s="2022"/>
      <c r="L6" s="2022"/>
      <c r="M6" s="2022"/>
      <c r="N6" s="2022"/>
      <c r="O6" s="2022"/>
      <c r="P6" s="2042">
        <f t="shared" si="0"/>
        <v>1381913374.3199999</v>
      </c>
    </row>
    <row r="7" spans="1:16" ht="85.5" thickTop="1" thickBot="1">
      <c r="A7" s="2362"/>
      <c r="B7" s="2029">
        <v>320203</v>
      </c>
      <c r="C7" s="2030" t="s">
        <v>162</v>
      </c>
      <c r="D7" s="2024">
        <v>1116262824</v>
      </c>
      <c r="E7" s="2032"/>
      <c r="F7" s="2023"/>
      <c r="G7" s="2022"/>
      <c r="H7" s="2022"/>
      <c r="I7" s="2022">
        <v>209186154.88</v>
      </c>
      <c r="J7" s="2022"/>
      <c r="K7" s="2022"/>
      <c r="L7" s="2022"/>
      <c r="M7" s="2022"/>
      <c r="N7" s="2022"/>
      <c r="O7" s="2022"/>
      <c r="P7" s="2042">
        <f t="shared" si="0"/>
        <v>1325448978.8800001</v>
      </c>
    </row>
    <row r="8" spans="1:16" ht="50.25" customHeight="1" thickTop="1" thickBot="1">
      <c r="A8" s="2362" t="s">
        <v>344</v>
      </c>
      <c r="B8" s="2029">
        <v>320301</v>
      </c>
      <c r="C8" s="2030" t="s">
        <v>17</v>
      </c>
      <c r="D8" s="2025">
        <v>8426631725</v>
      </c>
      <c r="E8" s="2032"/>
      <c r="F8" s="2023"/>
      <c r="G8" s="2022"/>
      <c r="H8" s="2022"/>
      <c r="I8" s="2022">
        <v>1077275855.646857</v>
      </c>
      <c r="J8" s="2022"/>
      <c r="K8" s="2022"/>
      <c r="L8" s="2022"/>
      <c r="M8" s="2022"/>
      <c r="N8" s="2022">
        <v>-30862216</v>
      </c>
      <c r="O8" s="2022"/>
      <c r="P8" s="2042">
        <f t="shared" si="0"/>
        <v>9503907580.6468563</v>
      </c>
    </row>
    <row r="9" spans="1:16" ht="37.5" thickTop="1" thickBot="1">
      <c r="A9" s="2362"/>
      <c r="B9" s="2029">
        <v>320302</v>
      </c>
      <c r="C9" s="2030" t="s">
        <v>164</v>
      </c>
      <c r="D9" s="2025">
        <v>2569760681</v>
      </c>
      <c r="E9" s="2032"/>
      <c r="F9" s="2023"/>
      <c r="G9" s="2022"/>
      <c r="H9" s="2022">
        <v>97504965</v>
      </c>
      <c r="I9" s="2022">
        <v>220996391.08000004</v>
      </c>
      <c r="J9" s="2022"/>
      <c r="K9" s="2022"/>
      <c r="L9" s="2022"/>
      <c r="M9" s="2022"/>
      <c r="N9" s="2022"/>
      <c r="O9" s="2022"/>
      <c r="P9" s="2042">
        <f t="shared" si="0"/>
        <v>2888262037.0799999</v>
      </c>
    </row>
    <row r="10" spans="1:16" ht="49.5" thickTop="1" thickBot="1">
      <c r="A10" s="2031" t="s">
        <v>345</v>
      </c>
      <c r="B10" s="2029">
        <v>320401</v>
      </c>
      <c r="C10" s="2030" t="s">
        <v>165</v>
      </c>
      <c r="D10" s="2024">
        <v>270967404</v>
      </c>
      <c r="E10" s="2032"/>
      <c r="F10" s="2023"/>
      <c r="G10" s="2022"/>
      <c r="H10" s="2022"/>
      <c r="I10" s="2022">
        <v>84333311.800000012</v>
      </c>
      <c r="J10" s="2022"/>
      <c r="K10" s="2022"/>
      <c r="L10" s="2022"/>
      <c r="M10" s="2022"/>
      <c r="N10" s="2022"/>
      <c r="O10" s="2022"/>
      <c r="P10" s="2042">
        <f t="shared" si="0"/>
        <v>355300715.80000001</v>
      </c>
    </row>
    <row r="11" spans="1:16" ht="61.5" thickTop="1" thickBot="1">
      <c r="A11" s="2362" t="s">
        <v>346</v>
      </c>
      <c r="B11" s="2029">
        <v>320501</v>
      </c>
      <c r="C11" s="2030" t="s">
        <v>23</v>
      </c>
      <c r="D11" s="2024">
        <v>424219601</v>
      </c>
      <c r="E11" s="2032"/>
      <c r="F11" s="2023"/>
      <c r="G11" s="2022"/>
      <c r="H11" s="2022"/>
      <c r="I11" s="2022"/>
      <c r="J11" s="2022"/>
      <c r="K11" s="2022"/>
      <c r="L11" s="2022"/>
      <c r="M11" s="2022"/>
      <c r="N11" s="2022"/>
      <c r="O11" s="2022"/>
      <c r="P11" s="2042">
        <f t="shared" si="0"/>
        <v>424219601</v>
      </c>
    </row>
    <row r="12" spans="1:16" ht="61.5" thickTop="1" thickBot="1">
      <c r="A12" s="2362"/>
      <c r="B12" s="2029">
        <v>320502</v>
      </c>
      <c r="C12" s="2030" t="s">
        <v>169</v>
      </c>
      <c r="D12" s="2024">
        <v>3446365663</v>
      </c>
      <c r="E12" s="2032"/>
      <c r="F12" s="2023"/>
      <c r="G12" s="2022"/>
      <c r="H12" s="2022">
        <v>-259078323</v>
      </c>
      <c r="I12" s="2022">
        <v>106045896.832</v>
      </c>
      <c r="J12" s="2022">
        <v>-208885779</v>
      </c>
      <c r="K12" s="2022"/>
      <c r="L12" s="2022"/>
      <c r="M12" s="2022"/>
      <c r="N12" s="2022"/>
      <c r="O12" s="2022">
        <v>202971717</v>
      </c>
      <c r="P12" s="2042">
        <f t="shared" si="0"/>
        <v>3084447457.8319998</v>
      </c>
    </row>
    <row r="13" spans="1:16" ht="37.5" thickTop="1" thickBot="1">
      <c r="A13" s="2362"/>
      <c r="B13" s="2029">
        <v>320503</v>
      </c>
      <c r="C13" s="2030" t="s">
        <v>177</v>
      </c>
      <c r="D13" s="2024">
        <v>438973148</v>
      </c>
      <c r="E13" s="2032"/>
      <c r="F13" s="2023"/>
      <c r="G13" s="2023"/>
      <c r="H13" s="2022"/>
      <c r="I13" s="2022">
        <v>200000000</v>
      </c>
      <c r="J13" s="2022"/>
      <c r="K13" s="2022"/>
      <c r="L13" s="2022"/>
      <c r="M13" s="2022"/>
      <c r="N13" s="2022"/>
      <c r="O13" s="2022"/>
      <c r="P13" s="2042">
        <f t="shared" si="0"/>
        <v>638973148</v>
      </c>
    </row>
    <row r="14" spans="1:16" ht="69.75" customHeight="1" thickTop="1" thickBot="1">
      <c r="A14" s="2031" t="s">
        <v>347</v>
      </c>
      <c r="B14" s="2029">
        <v>320601</v>
      </c>
      <c r="C14" s="2030" t="s">
        <v>166</v>
      </c>
      <c r="D14" s="2024">
        <v>2533478602</v>
      </c>
      <c r="E14" s="2032"/>
      <c r="G14" s="2022"/>
      <c r="H14" s="2022">
        <v>-595497478</v>
      </c>
      <c r="I14" s="2022"/>
      <c r="J14" s="2022">
        <v>208885779</v>
      </c>
      <c r="K14" s="2022">
        <v>3179498075</v>
      </c>
      <c r="L14" s="2022"/>
      <c r="M14" s="2022"/>
      <c r="N14" s="2022"/>
      <c r="O14" s="2022"/>
      <c r="P14" s="2042">
        <f t="shared" si="0"/>
        <v>5326364978</v>
      </c>
    </row>
    <row r="15" spans="1:16" ht="25.5" customHeight="1" thickTop="1" thickBot="1">
      <c r="A15" s="2031" t="s">
        <v>348</v>
      </c>
      <c r="B15" s="2029">
        <v>320801</v>
      </c>
      <c r="C15" s="2030" t="s">
        <v>32</v>
      </c>
      <c r="D15" s="2024">
        <v>1000295638</v>
      </c>
      <c r="E15" s="2032"/>
      <c r="F15" s="2023">
        <v>2337398068.6999998</v>
      </c>
      <c r="G15" s="2022"/>
      <c r="H15" s="2022"/>
      <c r="I15" s="2022">
        <v>503614803.82800001</v>
      </c>
      <c r="J15" s="2022"/>
      <c r="K15" s="2022"/>
      <c r="L15" s="2022">
        <v>1984180805</v>
      </c>
      <c r="M15" s="2022">
        <v>435084566</v>
      </c>
      <c r="N15" s="2022">
        <v>30862216</v>
      </c>
      <c r="O15" s="2022">
        <v>-128619204</v>
      </c>
      <c r="P15" s="2042">
        <f t="shared" si="0"/>
        <v>6260573881.5279999</v>
      </c>
    </row>
    <row r="16" spans="1:16" ht="50.25" customHeight="1" thickTop="1" thickBot="1">
      <c r="A16" s="2031" t="s">
        <v>349</v>
      </c>
      <c r="B16" s="2029">
        <v>329901</v>
      </c>
      <c r="C16" s="2030" t="s">
        <v>30</v>
      </c>
      <c r="D16" s="2024">
        <v>1574430257</v>
      </c>
      <c r="E16" s="2032"/>
      <c r="F16" s="2023"/>
      <c r="G16" s="2022"/>
      <c r="H16" s="2022">
        <v>367088065</v>
      </c>
      <c r="I16" s="2022">
        <v>98249832</v>
      </c>
      <c r="J16" s="2022"/>
      <c r="K16" s="2022"/>
      <c r="L16" s="2022"/>
      <c r="M16" s="2022"/>
      <c r="N16" s="2022"/>
      <c r="O16" s="2022"/>
      <c r="P16" s="2042">
        <f>SUM(D16:M16)</f>
        <v>2039768154</v>
      </c>
    </row>
    <row r="17" spans="1:16" ht="16.5" thickTop="1" thickBot="1">
      <c r="A17" s="2363" t="s">
        <v>10</v>
      </c>
      <c r="B17" s="2364"/>
      <c r="C17" s="2365"/>
      <c r="D17" s="2026">
        <f>SUM(D2:D16)</f>
        <v>30823843749</v>
      </c>
      <c r="E17" s="2026">
        <f t="shared" ref="E17:O17" si="1">SUM(E2:E16)</f>
        <v>1999089756</v>
      </c>
      <c r="F17" s="2026">
        <f t="shared" si="1"/>
        <v>5271001924.7199993</v>
      </c>
      <c r="G17" s="2026">
        <f t="shared" si="1"/>
        <v>33094998</v>
      </c>
      <c r="H17" s="2026">
        <f t="shared" si="1"/>
        <v>0</v>
      </c>
      <c r="I17" s="2026">
        <f t="shared" si="1"/>
        <v>4121134377.665657</v>
      </c>
      <c r="J17" s="2026">
        <f t="shared" si="1"/>
        <v>0</v>
      </c>
      <c r="K17" s="2026">
        <f t="shared" si="1"/>
        <v>3179498075</v>
      </c>
      <c r="L17" s="2026">
        <f t="shared" si="1"/>
        <v>1984180805</v>
      </c>
      <c r="M17" s="2026">
        <f t="shared" si="1"/>
        <v>435084566</v>
      </c>
      <c r="N17" s="2026">
        <f t="shared" si="1"/>
        <v>0</v>
      </c>
      <c r="O17" s="2026">
        <f t="shared" si="1"/>
        <v>0</v>
      </c>
      <c r="P17" s="2026">
        <f>SUM(P2:P16)</f>
        <v>47846928251.385666</v>
      </c>
    </row>
    <row r="18" spans="1:16" ht="15.75" thickTop="1"/>
    <row r="21" spans="1:16">
      <c r="P21" s="2064"/>
    </row>
  </sheetData>
  <mergeCells count="5">
    <mergeCell ref="A2:A4"/>
    <mergeCell ref="A5:A7"/>
    <mergeCell ref="A8:A9"/>
    <mergeCell ref="A11:A13"/>
    <mergeCell ref="A17:C17"/>
  </mergeCells>
  <conditionalFormatting sqref="F2:I12 F13 F15:I16 G13:I14 K2:O16">
    <cfRule type="cellIs" dxfId="1" priority="2" operator="lessThan">
      <formula>0</formula>
    </cfRule>
  </conditionalFormatting>
  <conditionalFormatting sqref="J2:J16">
    <cfRule type="cellIs" dxfId="0" priority="1" operator="lessThan">
      <formula>0</formula>
    </cfRule>
  </conditionalFormatting>
  <pageMargins left="0.7" right="0.7" top="0.75" bottom="0.75" header="0.3" footer="0.3"/>
  <pageSetup paperSize="9" orientation="portrait" verticalDpi="597"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7" tint="0.59999389629810485"/>
  </sheetPr>
  <dimension ref="A1:AL28"/>
  <sheetViews>
    <sheetView workbookViewId="0">
      <selection sqref="A1:AJ2"/>
    </sheetView>
  </sheetViews>
  <sheetFormatPr baseColWidth="10" defaultColWidth="11.42578125" defaultRowHeight="14.25"/>
  <cols>
    <col min="1" max="1" width="12.140625" style="4" customWidth="1"/>
    <col min="2" max="2" width="16.5703125" style="4" customWidth="1"/>
    <col min="3" max="3" width="19.85546875" style="4" customWidth="1"/>
    <col min="4" max="4" width="12.140625" style="4" customWidth="1"/>
    <col min="5" max="5" width="21.28515625" style="4" customWidth="1"/>
    <col min="6" max="7" width="12.140625" style="4" customWidth="1"/>
    <col min="8" max="8" width="23.85546875" style="4" customWidth="1"/>
    <col min="9" max="9" width="15.42578125" style="4" customWidth="1"/>
    <col min="10" max="10" width="20.5703125" style="4" customWidth="1"/>
    <col min="11" max="11" width="17.42578125" style="4" customWidth="1"/>
    <col min="12" max="12" width="22.85546875" style="4" customWidth="1"/>
    <col min="13" max="13" width="18.140625" style="4" customWidth="1"/>
    <col min="14" max="14" width="20.28515625" style="4" customWidth="1"/>
    <col min="15" max="18" width="18.140625" style="4" customWidth="1"/>
    <col min="19" max="19" width="19.85546875" style="4" customWidth="1"/>
    <col min="20" max="21" width="17.42578125" style="4" customWidth="1"/>
    <col min="22" max="22" width="17.85546875" style="4" customWidth="1"/>
    <col min="23" max="23" width="19.42578125" style="4" customWidth="1"/>
    <col min="24" max="25" width="15.28515625" style="4" customWidth="1"/>
    <col min="26" max="33" width="24.140625" style="4" customWidth="1"/>
    <col min="34" max="34" width="19.7109375" style="4" customWidth="1"/>
    <col min="35" max="35" width="12.140625" style="67" customWidth="1"/>
    <col min="36" max="36" width="31.42578125" style="67" customWidth="1"/>
    <col min="37" max="37" width="11.42578125" style="4" customWidth="1"/>
    <col min="38" max="38" width="19.85546875" style="4" customWidth="1"/>
    <col min="39" max="16384" width="11.42578125" style="4"/>
  </cols>
  <sheetData>
    <row r="1" spans="1:38" ht="27" customHeight="1">
      <c r="A1" s="2368" t="s">
        <v>774</v>
      </c>
      <c r="B1" s="2369"/>
      <c r="C1" s="2369"/>
      <c r="D1" s="2369"/>
      <c r="E1" s="2369"/>
      <c r="F1" s="2369"/>
      <c r="G1" s="2369"/>
      <c r="H1" s="2369"/>
      <c r="I1" s="2369"/>
      <c r="J1" s="2369"/>
      <c r="K1" s="2369"/>
      <c r="L1" s="2369"/>
      <c r="M1" s="2369"/>
      <c r="N1" s="2369"/>
      <c r="O1" s="2369"/>
      <c r="P1" s="2369"/>
      <c r="Q1" s="2369"/>
      <c r="R1" s="2369"/>
      <c r="S1" s="2369"/>
      <c r="T1" s="2369"/>
      <c r="U1" s="2369"/>
      <c r="V1" s="2369"/>
      <c r="W1" s="2369"/>
      <c r="X1" s="2369"/>
      <c r="Y1" s="2369"/>
      <c r="Z1" s="2369"/>
      <c r="AA1" s="2369"/>
      <c r="AB1" s="2369"/>
      <c r="AC1" s="2369"/>
      <c r="AD1" s="2369"/>
      <c r="AE1" s="2369"/>
      <c r="AF1" s="2369"/>
      <c r="AG1" s="2369"/>
      <c r="AH1" s="2369"/>
      <c r="AI1" s="2369"/>
      <c r="AJ1" s="2370"/>
    </row>
    <row r="2" spans="1:38" ht="42.75" customHeight="1" thickBot="1">
      <c r="A2" s="2371"/>
      <c r="B2" s="2372"/>
      <c r="C2" s="2372"/>
      <c r="D2" s="2372"/>
      <c r="E2" s="2372"/>
      <c r="F2" s="2372"/>
      <c r="G2" s="2372"/>
      <c r="H2" s="2372"/>
      <c r="I2" s="2372"/>
      <c r="J2" s="2372"/>
      <c r="K2" s="2372"/>
      <c r="L2" s="2372"/>
      <c r="M2" s="2372"/>
      <c r="N2" s="2372"/>
      <c r="O2" s="2372"/>
      <c r="P2" s="2372"/>
      <c r="Q2" s="2372"/>
      <c r="R2" s="2372"/>
      <c r="S2" s="2372"/>
      <c r="T2" s="2372"/>
      <c r="U2" s="2372"/>
      <c r="V2" s="2372"/>
      <c r="W2" s="2372"/>
      <c r="X2" s="2372"/>
      <c r="Y2" s="2372"/>
      <c r="Z2" s="2372"/>
      <c r="AA2" s="2372"/>
      <c r="AB2" s="2372"/>
      <c r="AC2" s="2372"/>
      <c r="AD2" s="2372"/>
      <c r="AE2" s="2372"/>
      <c r="AF2" s="2372"/>
      <c r="AG2" s="2372"/>
      <c r="AH2" s="2372"/>
      <c r="AI2" s="2372"/>
      <c r="AJ2" s="2373"/>
    </row>
    <row r="3" spans="1:38" ht="20.25" customHeight="1">
      <c r="A3" s="614" t="s">
        <v>69</v>
      </c>
      <c r="B3" s="615" t="s">
        <v>13</v>
      </c>
      <c r="C3" s="2391" t="s">
        <v>376</v>
      </c>
      <c r="D3" s="2378" t="s">
        <v>69</v>
      </c>
      <c r="E3" s="2379" t="s">
        <v>282</v>
      </c>
      <c r="F3" s="620" t="s">
        <v>467</v>
      </c>
      <c r="G3" s="2369" t="s">
        <v>493</v>
      </c>
      <c r="H3" s="2369" t="s">
        <v>514</v>
      </c>
      <c r="I3" s="2378" t="s">
        <v>493</v>
      </c>
      <c r="J3" s="615"/>
      <c r="K3" s="621"/>
      <c r="L3" s="2381" t="s">
        <v>1251</v>
      </c>
      <c r="M3" s="2394" t="s">
        <v>198</v>
      </c>
      <c r="N3" s="2395"/>
      <c r="O3" s="2395"/>
      <c r="P3" s="2395"/>
      <c r="Q3" s="2395"/>
      <c r="R3" s="2395"/>
      <c r="S3" s="2381" t="s">
        <v>1252</v>
      </c>
      <c r="T3" s="2394" t="s">
        <v>1213</v>
      </c>
      <c r="U3" s="2395"/>
      <c r="V3" s="2395"/>
      <c r="W3" s="2395"/>
      <c r="X3" s="2395"/>
      <c r="Y3" s="2396"/>
      <c r="Z3" s="2381" t="s">
        <v>1250</v>
      </c>
      <c r="AA3" s="2394" t="s">
        <v>1253</v>
      </c>
      <c r="AB3" s="2395"/>
      <c r="AC3" s="2395"/>
      <c r="AD3" s="2395"/>
      <c r="AE3" s="2395"/>
      <c r="AF3" s="2395"/>
      <c r="AG3" s="2395"/>
      <c r="AH3" s="2396"/>
      <c r="AI3" s="2383" t="s">
        <v>384</v>
      </c>
      <c r="AJ3" s="2385" t="s">
        <v>389</v>
      </c>
    </row>
    <row r="4" spans="1:38" ht="21" customHeight="1" thickBot="1">
      <c r="A4" s="945"/>
      <c r="B4" s="928"/>
      <c r="C4" s="2392"/>
      <c r="D4" s="2277"/>
      <c r="E4" s="2380"/>
      <c r="F4" s="946"/>
      <c r="G4" s="2372"/>
      <c r="H4" s="2372"/>
      <c r="I4" s="2277"/>
      <c r="J4" s="928"/>
      <c r="K4" s="1954"/>
      <c r="L4" s="2382"/>
      <c r="M4" s="946" t="s">
        <v>202</v>
      </c>
      <c r="N4" s="928" t="s">
        <v>201</v>
      </c>
      <c r="O4" s="928" t="s">
        <v>374</v>
      </c>
      <c r="P4" s="928" t="s">
        <v>442</v>
      </c>
      <c r="Q4" s="928" t="s">
        <v>443</v>
      </c>
      <c r="R4" s="943" t="s">
        <v>232</v>
      </c>
      <c r="S4" s="2382"/>
      <c r="T4" s="947" t="s">
        <v>203</v>
      </c>
      <c r="U4" s="947" t="s">
        <v>201</v>
      </c>
      <c r="V4" s="947" t="s">
        <v>202</v>
      </c>
      <c r="W4" s="947" t="s">
        <v>442</v>
      </c>
      <c r="X4" s="947" t="s">
        <v>232</v>
      </c>
      <c r="Y4" s="1618" t="s">
        <v>374</v>
      </c>
      <c r="Z4" s="2382"/>
      <c r="AA4" s="946" t="s">
        <v>202</v>
      </c>
      <c r="AB4" s="1953" t="s">
        <v>201</v>
      </c>
      <c r="AC4" s="1953" t="s">
        <v>374</v>
      </c>
      <c r="AD4" s="1953" t="s">
        <v>442</v>
      </c>
      <c r="AE4" s="1953" t="s">
        <v>443</v>
      </c>
      <c r="AF4" s="1954" t="s">
        <v>232</v>
      </c>
      <c r="AG4" s="946" t="s">
        <v>505</v>
      </c>
      <c r="AH4" s="947" t="s">
        <v>511</v>
      </c>
      <c r="AI4" s="2384"/>
      <c r="AJ4" s="2386"/>
    </row>
    <row r="5" spans="1:38" ht="69" customHeight="1">
      <c r="A5" s="2387">
        <v>3201</v>
      </c>
      <c r="B5" s="2393" t="s">
        <v>342</v>
      </c>
      <c r="C5" s="2389">
        <f>+L5+L6+L7</f>
        <v>4856669710.1617022</v>
      </c>
      <c r="D5" s="954">
        <v>320101</v>
      </c>
      <c r="E5" s="955" t="s">
        <v>19</v>
      </c>
      <c r="F5" s="956">
        <f t="shared" ref="F5:F19" si="0">+(L5-H5)/H5</f>
        <v>0.19909128567289325</v>
      </c>
      <c r="G5" s="957">
        <f>+H5/H20</f>
        <v>7.5113502089961346E-3</v>
      </c>
      <c r="H5" s="958">
        <v>209824164</v>
      </c>
      <c r="I5" s="957">
        <f>+L5/L20</f>
        <v>8.1389220673496968E-3</v>
      </c>
      <c r="J5" s="959">
        <f t="shared" ref="J5:J19" si="1">+K5-L5</f>
        <v>-35748451.576000005</v>
      </c>
      <c r="K5" s="1974">
        <v>215849875</v>
      </c>
      <c r="L5" s="1384">
        <f>+SUM(M5:R5)</f>
        <v>251598326.57600001</v>
      </c>
      <c r="M5" s="974"/>
      <c r="N5" s="960"/>
      <c r="O5" s="960"/>
      <c r="P5" s="960"/>
      <c r="Q5" s="960">
        <f>+'320101'!E21</f>
        <v>251598326.57600001</v>
      </c>
      <c r="R5" s="960"/>
      <c r="S5" s="1384">
        <f>+SUM(T5:Y5)</f>
        <v>0</v>
      </c>
      <c r="T5" s="960"/>
      <c r="U5" s="960"/>
      <c r="V5" s="960"/>
      <c r="W5" s="960"/>
      <c r="X5" s="960"/>
      <c r="Y5" s="1610"/>
      <c r="Z5" s="1384">
        <f>+SUM(AA5:AH5)</f>
        <v>2241946443.5760002</v>
      </c>
      <c r="AA5" s="96">
        <f>+M5+V5</f>
        <v>0</v>
      </c>
      <c r="AB5" s="96">
        <f>+N5+U5</f>
        <v>0</v>
      </c>
      <c r="AC5" s="96">
        <f>+O5+Y5</f>
        <v>0</v>
      </c>
      <c r="AD5" s="96">
        <f>+W5+P5</f>
        <v>0</v>
      </c>
      <c r="AE5" s="96">
        <f>+Q5+T5</f>
        <v>251598326.57600001</v>
      </c>
      <c r="AF5" s="96">
        <f>+X5+R5</f>
        <v>0</v>
      </c>
      <c r="AG5" s="944">
        <f>+'320101'!G21</f>
        <v>1990348117</v>
      </c>
      <c r="AH5" s="1960"/>
      <c r="AI5" s="944" t="s">
        <v>385</v>
      </c>
      <c r="AJ5" s="904" t="s">
        <v>390</v>
      </c>
      <c r="AL5" s="249"/>
    </row>
    <row r="6" spans="1:38" ht="69" customHeight="1">
      <c r="A6" s="2388"/>
      <c r="B6" s="2294"/>
      <c r="C6" s="2390"/>
      <c r="D6" s="929">
        <v>320102</v>
      </c>
      <c r="E6" s="94" t="s">
        <v>21</v>
      </c>
      <c r="F6" s="948">
        <f t="shared" si="0"/>
        <v>1.0034905875938642</v>
      </c>
      <c r="G6" s="307">
        <f>+H6/H20</f>
        <v>1.1358419362322738E-2</v>
      </c>
      <c r="H6" s="939">
        <v>317289273</v>
      </c>
      <c r="I6" s="307">
        <f>+L6/L20</f>
        <v>2.0563727389278978E-2</v>
      </c>
      <c r="J6" s="500">
        <f t="shared" si="1"/>
        <v>-318396799</v>
      </c>
      <c r="K6" s="1975">
        <v>317289273</v>
      </c>
      <c r="L6" s="1385">
        <f t="shared" ref="L6:L19" si="2">+SUM(M6:R6)</f>
        <v>635686072</v>
      </c>
      <c r="M6" s="975"/>
      <c r="N6" s="934"/>
      <c r="O6" s="934"/>
      <c r="P6" s="934"/>
      <c r="Q6" s="934">
        <f>+'320102'!E19</f>
        <v>635686072</v>
      </c>
      <c r="R6" s="934"/>
      <c r="S6" s="1385">
        <f t="shared" ref="S6:S18" si="3">+SUM(T6:Y6)</f>
        <v>0</v>
      </c>
      <c r="T6" s="1586"/>
      <c r="U6" s="1586"/>
      <c r="V6" s="1586"/>
      <c r="W6" s="1586"/>
      <c r="X6" s="1586"/>
      <c r="Y6" s="1611"/>
      <c r="Z6" s="1384">
        <f t="shared" ref="Z6:Z19" si="4">+SUM(AA6:AH6)</f>
        <v>1578941811.22</v>
      </c>
      <c r="AA6" s="96">
        <f t="shared" ref="AA6:AA19" si="5">+M6+V6</f>
        <v>0</v>
      </c>
      <c r="AB6" s="96">
        <f t="shared" ref="AB6:AB19" si="6">+N6+U6</f>
        <v>0</v>
      </c>
      <c r="AC6" s="96">
        <f t="shared" ref="AC6:AC19" si="7">+O6+Y6</f>
        <v>0</v>
      </c>
      <c r="AD6" s="96">
        <f t="shared" ref="AD6:AD19" si="8">+W6+P6</f>
        <v>0</v>
      </c>
      <c r="AE6" s="96">
        <f t="shared" ref="AE6:AE19" si="9">+Q6+T6</f>
        <v>635686072</v>
      </c>
      <c r="AF6" s="981">
        <f t="shared" ref="AF6:AF19" si="10">+X6+R6</f>
        <v>0</v>
      </c>
      <c r="AG6" s="1968">
        <f>+'320102'!G19</f>
        <v>943255739.22000003</v>
      </c>
      <c r="AH6" s="1961"/>
      <c r="AI6" s="908" t="s">
        <v>385</v>
      </c>
      <c r="AJ6" s="905" t="s">
        <v>391</v>
      </c>
      <c r="AL6" s="249"/>
    </row>
    <row r="7" spans="1:38" ht="69" customHeight="1">
      <c r="A7" s="2388"/>
      <c r="B7" s="2294"/>
      <c r="C7" s="2390"/>
      <c r="D7" s="929">
        <v>320103</v>
      </c>
      <c r="E7" s="94" t="s">
        <v>160</v>
      </c>
      <c r="F7" s="948">
        <f t="shared" si="0"/>
        <v>8.0648713759396626E-2</v>
      </c>
      <c r="G7" s="307">
        <f>+H7/H20</f>
        <v>0.13149257402310119</v>
      </c>
      <c r="H7" s="949">
        <v>3673150452.1731882</v>
      </c>
      <c r="I7" s="307">
        <f>+L7/L20</f>
        <v>0.12840513745038692</v>
      </c>
      <c r="J7" s="500">
        <f t="shared" si="1"/>
        <v>-296234859.58570194</v>
      </c>
      <c r="K7" s="1975">
        <v>3673150452</v>
      </c>
      <c r="L7" s="1385">
        <f t="shared" si="2"/>
        <v>3969385311.5857019</v>
      </c>
      <c r="M7" s="975"/>
      <c r="N7" s="934">
        <f>+'ACCIONES 320103'!I240</f>
        <v>286678204.91280001</v>
      </c>
      <c r="O7" s="934"/>
      <c r="P7" s="934">
        <f>+'ACCIONES 320103'!L240</f>
        <v>47755737.429999992</v>
      </c>
      <c r="Q7" s="934">
        <f>+'ACCIONES 320103'!J240</f>
        <v>2473763200.4429021</v>
      </c>
      <c r="R7" s="934">
        <f>+'ACCIONES 320103'!K240</f>
        <v>1161188168.8</v>
      </c>
      <c r="S7" s="1385">
        <f t="shared" si="3"/>
        <v>617692964.21000004</v>
      </c>
      <c r="T7" s="1586">
        <f>+'320103'!J39</f>
        <v>21732127.702400208</v>
      </c>
      <c r="U7" s="1586">
        <f>+'320103'!K39</f>
        <v>272089975.07999974</v>
      </c>
      <c r="V7" s="1586">
        <f>+'320103'!L39</f>
        <v>93137690.280000001</v>
      </c>
      <c r="W7" s="1586">
        <f>+'320103'!M39</f>
        <v>84201605.147599995</v>
      </c>
      <c r="X7" s="1586">
        <f>+'320103'!N39</f>
        <v>146531566</v>
      </c>
      <c r="Y7" s="1611"/>
      <c r="Z7" s="1384">
        <f t="shared" si="4"/>
        <v>4587078275.795702</v>
      </c>
      <c r="AA7" s="96">
        <f t="shared" si="5"/>
        <v>93137690.280000001</v>
      </c>
      <c r="AB7" s="96">
        <f t="shared" si="6"/>
        <v>558768179.99279976</v>
      </c>
      <c r="AC7" s="96">
        <f t="shared" si="7"/>
        <v>0</v>
      </c>
      <c r="AD7" s="96">
        <f t="shared" si="8"/>
        <v>131957342.57759999</v>
      </c>
      <c r="AE7" s="96">
        <f t="shared" si="9"/>
        <v>2495495328.1453023</v>
      </c>
      <c r="AF7" s="981">
        <f t="shared" si="10"/>
        <v>1307719734.8</v>
      </c>
      <c r="AG7" s="1968"/>
      <c r="AH7" s="1961"/>
      <c r="AI7" s="908" t="s">
        <v>386</v>
      </c>
      <c r="AJ7" s="905" t="s">
        <v>402</v>
      </c>
      <c r="AL7" s="306"/>
    </row>
    <row r="8" spans="1:38" s="587" customFormat="1" ht="69" customHeight="1">
      <c r="A8" s="2272">
        <v>3202</v>
      </c>
      <c r="B8" s="2295" t="s">
        <v>343</v>
      </c>
      <c r="C8" s="2376">
        <f>+SUM(L8:L10)</f>
        <v>5601098272.0440016</v>
      </c>
      <c r="D8" s="890">
        <v>320201</v>
      </c>
      <c r="E8" s="950" t="s">
        <v>125</v>
      </c>
      <c r="F8" s="951">
        <f t="shared" si="0"/>
        <v>-3.5957681289546205E-2</v>
      </c>
      <c r="G8" s="891">
        <f>+H8/H20</f>
        <v>0.12773092057570909</v>
      </c>
      <c r="H8" s="940">
        <v>3568071369.4656</v>
      </c>
      <c r="I8" s="891">
        <f>+L8/L20</f>
        <v>0.1112727376247257</v>
      </c>
      <c r="J8" s="586">
        <f t="shared" si="1"/>
        <v>-222402749.34400129</v>
      </c>
      <c r="K8" s="1976">
        <v>3217369047</v>
      </c>
      <c r="L8" s="1386">
        <f t="shared" si="2"/>
        <v>3439771796.3440013</v>
      </c>
      <c r="M8" s="976">
        <f>+'320201'!F37</f>
        <v>307952646.53600001</v>
      </c>
      <c r="N8" s="892">
        <f>+'320201'!E37</f>
        <v>2763887962.8160009</v>
      </c>
      <c r="O8" s="892"/>
      <c r="P8" s="892"/>
      <c r="Q8" s="892">
        <f>+'320201'!G37</f>
        <v>367931186.99199998</v>
      </c>
      <c r="R8" s="892"/>
      <c r="S8" s="1386">
        <f t="shared" si="3"/>
        <v>663472748.8599999</v>
      </c>
      <c r="T8" s="892">
        <f>+'320201'!I37</f>
        <v>105819242.514</v>
      </c>
      <c r="U8" s="892">
        <f>+'320201'!J37</f>
        <v>557653506.34599996</v>
      </c>
      <c r="V8" s="892"/>
      <c r="W8" s="892"/>
      <c r="X8" s="892"/>
      <c r="Y8" s="1612"/>
      <c r="Z8" s="1384">
        <f t="shared" si="4"/>
        <v>6135429298.6880007</v>
      </c>
      <c r="AA8" s="96">
        <f t="shared" si="5"/>
        <v>307952646.53600001</v>
      </c>
      <c r="AB8" s="96">
        <f t="shared" si="6"/>
        <v>3321541469.1620007</v>
      </c>
      <c r="AC8" s="96">
        <f t="shared" si="7"/>
        <v>0</v>
      </c>
      <c r="AD8" s="96">
        <f t="shared" si="8"/>
        <v>0</v>
      </c>
      <c r="AE8" s="96">
        <f t="shared" si="9"/>
        <v>473750429.50599998</v>
      </c>
      <c r="AF8" s="981">
        <f t="shared" si="10"/>
        <v>0</v>
      </c>
      <c r="AG8" s="1968"/>
      <c r="AH8" s="1962">
        <f>+'320201'!L37</f>
        <v>2032184753.484</v>
      </c>
      <c r="AI8" s="2040" t="s">
        <v>385</v>
      </c>
      <c r="AJ8" s="2041" t="s">
        <v>399</v>
      </c>
      <c r="AL8" s="588"/>
    </row>
    <row r="9" spans="1:38" ht="69" customHeight="1">
      <c r="A9" s="2272"/>
      <c r="B9" s="2295"/>
      <c r="C9" s="2376"/>
      <c r="D9" s="925">
        <v>320202</v>
      </c>
      <c r="E9" s="926" t="s">
        <v>161</v>
      </c>
      <c r="F9" s="952">
        <f t="shared" si="0"/>
        <v>6.0000000710004602E-2</v>
      </c>
      <c r="G9" s="308">
        <f>+H9/H20</f>
        <v>3.5293878553915942E-2</v>
      </c>
      <c r="H9" s="941">
        <v>985909105</v>
      </c>
      <c r="I9" s="308">
        <f>+L9/L20</f>
        <v>3.380663033336416E-2</v>
      </c>
      <c r="J9" s="500">
        <f t="shared" si="1"/>
        <v>-59154546.599999905</v>
      </c>
      <c r="K9" s="1977">
        <v>985909105.4000001</v>
      </c>
      <c r="L9" s="1386">
        <f t="shared" si="2"/>
        <v>1045063652</v>
      </c>
      <c r="M9" s="977"/>
      <c r="N9" s="92">
        <f>+'320202'!E22</f>
        <v>280000000</v>
      </c>
      <c r="O9" s="92"/>
      <c r="P9" s="92"/>
      <c r="Q9" s="92">
        <f>+'320202'!F22</f>
        <v>531268181</v>
      </c>
      <c r="R9" s="92">
        <f>+'320202'!G22</f>
        <v>233795471</v>
      </c>
      <c r="S9" s="1386">
        <f t="shared" si="3"/>
        <v>336849723.31999999</v>
      </c>
      <c r="T9" s="92">
        <f>+'320202'!I22</f>
        <v>109267912.31999999</v>
      </c>
      <c r="U9" s="92">
        <f>+'320202'!J22</f>
        <v>121336701</v>
      </c>
      <c r="V9" s="92"/>
      <c r="W9" s="92"/>
      <c r="X9" s="92">
        <f>+'320202'!K22</f>
        <v>106245110</v>
      </c>
      <c r="Y9" s="1613"/>
      <c r="Z9" s="1384">
        <f t="shared" si="4"/>
        <v>1381913375.3199999</v>
      </c>
      <c r="AA9" s="96">
        <f t="shared" si="5"/>
        <v>0</v>
      </c>
      <c r="AB9" s="96">
        <f t="shared" si="6"/>
        <v>401336701</v>
      </c>
      <c r="AC9" s="96">
        <f t="shared" si="7"/>
        <v>0</v>
      </c>
      <c r="AD9" s="96">
        <f t="shared" si="8"/>
        <v>0</v>
      </c>
      <c r="AE9" s="96">
        <f t="shared" si="9"/>
        <v>640536093.31999993</v>
      </c>
      <c r="AF9" s="981">
        <f t="shared" si="10"/>
        <v>340040581</v>
      </c>
      <c r="AG9" s="1968"/>
      <c r="AH9" s="1963"/>
      <c r="AI9" s="2037" t="s">
        <v>386</v>
      </c>
      <c r="AJ9" s="2039" t="s">
        <v>400</v>
      </c>
      <c r="AL9" s="249"/>
    </row>
    <row r="10" spans="1:38" ht="69" customHeight="1">
      <c r="A10" s="2272"/>
      <c r="B10" s="2295"/>
      <c r="C10" s="2376"/>
      <c r="D10" s="925">
        <v>320203</v>
      </c>
      <c r="E10" s="926" t="s">
        <v>162</v>
      </c>
      <c r="F10" s="952">
        <f t="shared" si="0"/>
        <v>-1.195780148706016E-2</v>
      </c>
      <c r="G10" s="308">
        <f>+H10/H20</f>
        <v>4.0443941852485434E-2</v>
      </c>
      <c r="H10" s="941">
        <v>1129772418</v>
      </c>
      <c r="I10" s="308">
        <f>+L10/L20</f>
        <v>3.6109843226757969E-2</v>
      </c>
      <c r="J10" s="500">
        <f t="shared" si="1"/>
        <v>13509594.117759943</v>
      </c>
      <c r="K10" s="617">
        <v>1129772417.81776</v>
      </c>
      <c r="L10" s="1386">
        <f t="shared" si="2"/>
        <v>1116262823.7</v>
      </c>
      <c r="M10" s="977"/>
      <c r="N10" s="92">
        <f>+'320203'!E23</f>
        <v>800000000</v>
      </c>
      <c r="O10" s="92"/>
      <c r="P10" s="92">
        <f>+'320203'!G23</f>
        <v>175610367.40000001</v>
      </c>
      <c r="Q10" s="92">
        <f>+'320203'!F23</f>
        <v>140652456.30000001</v>
      </c>
      <c r="R10" s="92"/>
      <c r="S10" s="1386">
        <f t="shared" si="3"/>
        <v>209186154.88</v>
      </c>
      <c r="T10" s="92"/>
      <c r="U10" s="92"/>
      <c r="V10" s="92"/>
      <c r="W10" s="92">
        <f>+'320203'!I23</f>
        <v>209186154.88</v>
      </c>
      <c r="X10" s="92"/>
      <c r="Y10" s="1613"/>
      <c r="Z10" s="1384">
        <f t="shared" si="4"/>
        <v>1325448978.5799999</v>
      </c>
      <c r="AA10" s="96">
        <f t="shared" si="5"/>
        <v>0</v>
      </c>
      <c r="AB10" s="96">
        <f t="shared" si="6"/>
        <v>800000000</v>
      </c>
      <c r="AC10" s="96">
        <f t="shared" si="7"/>
        <v>0</v>
      </c>
      <c r="AD10" s="96">
        <f t="shared" si="8"/>
        <v>384796522.27999997</v>
      </c>
      <c r="AE10" s="96">
        <f t="shared" si="9"/>
        <v>140652456.30000001</v>
      </c>
      <c r="AF10" s="981">
        <f t="shared" si="10"/>
        <v>0</v>
      </c>
      <c r="AG10" s="1968"/>
      <c r="AH10" s="1963"/>
      <c r="AI10" s="2037" t="s">
        <v>385</v>
      </c>
      <c r="AJ10" s="2039" t="s">
        <v>392</v>
      </c>
      <c r="AL10" s="249"/>
    </row>
    <row r="11" spans="1:38" s="587" customFormat="1" ht="69" customHeight="1">
      <c r="A11" s="2374">
        <v>3203</v>
      </c>
      <c r="B11" s="2286" t="s">
        <v>344</v>
      </c>
      <c r="C11" s="2377">
        <f>+L11+L12</f>
        <v>11063035155.548088</v>
      </c>
      <c r="D11" s="585">
        <v>320301</v>
      </c>
      <c r="E11" s="97" t="s">
        <v>17</v>
      </c>
      <c r="F11" s="953">
        <f t="shared" si="0"/>
        <v>-0.1357404181551996</v>
      </c>
      <c r="G11" s="309">
        <f>+H11/H20</f>
        <v>0.34775934860575747</v>
      </c>
      <c r="H11" s="942">
        <v>9714407205.644001</v>
      </c>
      <c r="I11" s="309">
        <f>+L11/L20</f>
        <v>0.2715936733862141</v>
      </c>
      <c r="J11" s="586">
        <f t="shared" si="1"/>
        <v>1373767519.5799999</v>
      </c>
      <c r="K11" s="618">
        <v>9769537029</v>
      </c>
      <c r="L11" s="1388">
        <f t="shared" si="2"/>
        <v>8395769509.4200001</v>
      </c>
      <c r="M11" s="978">
        <f>+'320301'!H17</f>
        <v>2650851216</v>
      </c>
      <c r="N11" s="96">
        <f>+'320301'!E17</f>
        <v>3299130608.4200001</v>
      </c>
      <c r="O11" s="96">
        <f>+'320301'!G17</f>
        <v>2124435842</v>
      </c>
      <c r="P11" s="96"/>
      <c r="Q11" s="96">
        <f>+'320301'!F17</f>
        <v>321351843</v>
      </c>
      <c r="R11" s="96"/>
      <c r="S11" s="1388">
        <f t="shared" si="3"/>
        <v>1077275855.462857</v>
      </c>
      <c r="T11" s="96"/>
      <c r="U11" s="96">
        <f>+'320301'!J17</f>
        <v>14999999.816000002</v>
      </c>
      <c r="V11" s="96">
        <f>+'320301'!K17</f>
        <v>1062275855.646857</v>
      </c>
      <c r="W11" s="96"/>
      <c r="X11" s="96"/>
      <c r="Y11" s="1614"/>
      <c r="Z11" s="1384">
        <f t="shared" si="4"/>
        <v>9473045364.8828583</v>
      </c>
      <c r="AA11" s="96">
        <f t="shared" si="5"/>
        <v>3713127071.6468573</v>
      </c>
      <c r="AB11" s="96">
        <f t="shared" si="6"/>
        <v>3314130608.2360001</v>
      </c>
      <c r="AC11" s="96">
        <f t="shared" si="7"/>
        <v>2124435842</v>
      </c>
      <c r="AD11" s="96">
        <f t="shared" si="8"/>
        <v>0</v>
      </c>
      <c r="AE11" s="96">
        <f t="shared" si="9"/>
        <v>321351843</v>
      </c>
      <c r="AF11" s="981">
        <f t="shared" si="10"/>
        <v>0</v>
      </c>
      <c r="AG11" s="1968"/>
      <c r="AH11" s="1962"/>
      <c r="AI11" s="909" t="s">
        <v>385</v>
      </c>
      <c r="AJ11" s="906" t="s">
        <v>392</v>
      </c>
      <c r="AL11" s="588"/>
    </row>
    <row r="12" spans="1:38" s="587" customFormat="1" ht="69" customHeight="1">
      <c r="A12" s="2374"/>
      <c r="B12" s="2286"/>
      <c r="C12" s="2377"/>
      <c r="D12" s="585">
        <v>320302</v>
      </c>
      <c r="E12" s="97" t="s">
        <v>164</v>
      </c>
      <c r="F12" s="953">
        <f t="shared" si="0"/>
        <v>0.18620219311052041</v>
      </c>
      <c r="G12" s="309">
        <f>+H12/H20</f>
        <v>8.0495213809220562E-2</v>
      </c>
      <c r="H12" s="942">
        <v>2248575884.9710493</v>
      </c>
      <c r="I12" s="309">
        <f>+L12/L20</f>
        <v>8.6283035035203751E-2</v>
      </c>
      <c r="J12" s="586">
        <f t="shared" si="1"/>
        <v>-379778022.57368803</v>
      </c>
      <c r="K12" s="618">
        <v>2287487623.5544</v>
      </c>
      <c r="L12" s="1388">
        <f t="shared" si="2"/>
        <v>2667265646.128088</v>
      </c>
      <c r="M12" s="978">
        <f>+'320302'!G27</f>
        <v>669617463.91599989</v>
      </c>
      <c r="N12" s="96">
        <f>+'320302'!E27</f>
        <v>1758170620.2120883</v>
      </c>
      <c r="O12" s="96">
        <f>+'320302'!F27</f>
        <v>239477562</v>
      </c>
      <c r="P12" s="96"/>
      <c r="Q12" s="96"/>
      <c r="R12" s="96"/>
      <c r="S12" s="1388">
        <f t="shared" si="3"/>
        <v>220996391.08000004</v>
      </c>
      <c r="T12" s="96"/>
      <c r="U12" s="96">
        <f>+'320302'!I27</f>
        <v>218973068.08000004</v>
      </c>
      <c r="V12" s="96"/>
      <c r="W12" s="96"/>
      <c r="X12" s="96"/>
      <c r="Y12" s="1614">
        <f>+'320302'!J27</f>
        <v>2023323</v>
      </c>
      <c r="Z12" s="1384">
        <f t="shared" si="4"/>
        <v>2888262037.2080884</v>
      </c>
      <c r="AA12" s="96">
        <f t="shared" si="5"/>
        <v>669617463.91599989</v>
      </c>
      <c r="AB12" s="96">
        <f t="shared" si="6"/>
        <v>1977143688.2920885</v>
      </c>
      <c r="AC12" s="96">
        <f t="shared" si="7"/>
        <v>241500885</v>
      </c>
      <c r="AD12" s="96">
        <f t="shared" si="8"/>
        <v>0</v>
      </c>
      <c r="AE12" s="96">
        <f t="shared" si="9"/>
        <v>0</v>
      </c>
      <c r="AF12" s="981">
        <f t="shared" si="10"/>
        <v>0</v>
      </c>
      <c r="AG12" s="1968"/>
      <c r="AH12" s="1962"/>
      <c r="AI12" s="909" t="s">
        <v>386</v>
      </c>
      <c r="AJ12" s="906" t="s">
        <v>401</v>
      </c>
      <c r="AL12" s="588"/>
    </row>
    <row r="13" spans="1:38" ht="69" customHeight="1">
      <c r="A13" s="927">
        <v>3204</v>
      </c>
      <c r="B13" s="931" t="s">
        <v>345</v>
      </c>
      <c r="C13" s="310">
        <f>+L13</f>
        <v>270967403.81882554</v>
      </c>
      <c r="D13" s="925">
        <v>320401</v>
      </c>
      <c r="E13" s="926" t="s">
        <v>165</v>
      </c>
      <c r="F13" s="952">
        <f t="shared" si="0"/>
        <v>6.0000004031244399E-2</v>
      </c>
      <c r="G13" s="308">
        <f>+H13/H20</f>
        <v>9.1511082546833888E-3</v>
      </c>
      <c r="H13" s="941">
        <v>255629625.27200004</v>
      </c>
      <c r="I13" s="308">
        <f>+L13/L20</f>
        <v>8.7654898682615768E-3</v>
      </c>
      <c r="J13" s="500">
        <f t="shared" si="1"/>
        <v>5882383.1811744571</v>
      </c>
      <c r="K13" s="617">
        <v>276849787</v>
      </c>
      <c r="L13" s="1387">
        <f t="shared" si="2"/>
        <v>270967403.81882554</v>
      </c>
      <c r="M13" s="977"/>
      <c r="N13" s="92"/>
      <c r="O13" s="92"/>
      <c r="P13" s="92"/>
      <c r="Q13" s="92">
        <f>+'320401'!E14</f>
        <v>245644256.61882553</v>
      </c>
      <c r="R13" s="92">
        <f>+'320401'!F14</f>
        <v>25323147.199999999</v>
      </c>
      <c r="S13" s="1387">
        <f t="shared" si="3"/>
        <v>84333312.667710125</v>
      </c>
      <c r="T13" s="92">
        <f>+'320401'!H14</f>
        <v>84333312.667710125</v>
      </c>
      <c r="U13" s="92"/>
      <c r="V13" s="92"/>
      <c r="W13" s="92"/>
      <c r="X13" s="92"/>
      <c r="Y13" s="1613"/>
      <c r="Z13" s="1384">
        <f t="shared" si="4"/>
        <v>355300716.48653561</v>
      </c>
      <c r="AA13" s="96">
        <f t="shared" si="5"/>
        <v>0</v>
      </c>
      <c r="AB13" s="96">
        <f t="shared" si="6"/>
        <v>0</v>
      </c>
      <c r="AC13" s="96">
        <f t="shared" si="7"/>
        <v>0</v>
      </c>
      <c r="AD13" s="96">
        <f t="shared" si="8"/>
        <v>0</v>
      </c>
      <c r="AE13" s="96">
        <f t="shared" si="9"/>
        <v>329977569.28653562</v>
      </c>
      <c r="AF13" s="981">
        <f t="shared" si="10"/>
        <v>25323147.199999999</v>
      </c>
      <c r="AG13" s="1968"/>
      <c r="AH13" s="1963"/>
      <c r="AI13" s="2037" t="s">
        <v>386</v>
      </c>
      <c r="AJ13" s="2039" t="s">
        <v>403</v>
      </c>
      <c r="AL13" s="249"/>
    </row>
    <row r="14" spans="1:38" ht="69" customHeight="1">
      <c r="A14" s="2374">
        <v>3205</v>
      </c>
      <c r="B14" s="2375" t="s">
        <v>346</v>
      </c>
      <c r="C14" s="2377">
        <f>+L14+L15+L16</f>
        <v>4044566026.6989717</v>
      </c>
      <c r="D14" s="929">
        <v>320501</v>
      </c>
      <c r="E14" s="94" t="s">
        <v>23</v>
      </c>
      <c r="F14" s="948">
        <f t="shared" si="0"/>
        <v>-0.14497323836288953</v>
      </c>
      <c r="G14" s="307">
        <f>+H14/H20</f>
        <v>1.7761250203813805E-2</v>
      </c>
      <c r="H14" s="939">
        <v>496147746</v>
      </c>
      <c r="I14" s="307">
        <f>+L14/L20</f>
        <v>1.3723025567596513E-2</v>
      </c>
      <c r="J14" s="500">
        <f t="shared" si="1"/>
        <v>-128890649.55593163</v>
      </c>
      <c r="K14" s="616">
        <v>295328951</v>
      </c>
      <c r="L14" s="1389">
        <f t="shared" si="2"/>
        <v>424219600.55593163</v>
      </c>
      <c r="M14" s="979"/>
      <c r="N14" s="98">
        <f>+'320501'!G15</f>
        <v>50000000</v>
      </c>
      <c r="O14" s="98"/>
      <c r="P14" s="98"/>
      <c r="Q14" s="98">
        <f>+'320501'!E15</f>
        <v>374219600.55593163</v>
      </c>
      <c r="R14" s="98">
        <f>+'320501'!F15</f>
        <v>0</v>
      </c>
      <c r="S14" s="1389">
        <f t="shared" si="3"/>
        <v>0</v>
      </c>
      <c r="T14" s="98"/>
      <c r="U14" s="98"/>
      <c r="V14" s="98"/>
      <c r="W14" s="98"/>
      <c r="X14" s="98"/>
      <c r="Y14" s="1615"/>
      <c r="Z14" s="1384">
        <f t="shared" si="4"/>
        <v>424219600.55593163</v>
      </c>
      <c r="AA14" s="96">
        <f t="shared" si="5"/>
        <v>0</v>
      </c>
      <c r="AB14" s="96">
        <f t="shared" si="6"/>
        <v>50000000</v>
      </c>
      <c r="AC14" s="96">
        <f t="shared" si="7"/>
        <v>0</v>
      </c>
      <c r="AD14" s="96">
        <f t="shared" si="8"/>
        <v>0</v>
      </c>
      <c r="AE14" s="96">
        <f t="shared" si="9"/>
        <v>374219600.55593163</v>
      </c>
      <c r="AF14" s="981">
        <f t="shared" si="10"/>
        <v>0</v>
      </c>
      <c r="AG14" s="1968"/>
      <c r="AH14" s="1963"/>
      <c r="AI14" s="908" t="s">
        <v>387</v>
      </c>
      <c r="AJ14" s="907" t="s">
        <v>393</v>
      </c>
      <c r="AL14" s="249"/>
    </row>
    <row r="15" spans="1:38" ht="69" customHeight="1">
      <c r="A15" s="2374"/>
      <c r="B15" s="2375"/>
      <c r="C15" s="2377"/>
      <c r="D15" s="929">
        <v>320502</v>
      </c>
      <c r="E15" s="94" t="s">
        <v>169</v>
      </c>
      <c r="F15" s="948">
        <f t="shared" si="0"/>
        <v>0.13869157463301265</v>
      </c>
      <c r="G15" s="307">
        <f>+H15/H20</f>
        <v>0.10001635687270768</v>
      </c>
      <c r="H15" s="939">
        <v>2793884971.8400002</v>
      </c>
      <c r="I15" s="307">
        <f>+L15/L20</f>
        <v>0.10291383702181893</v>
      </c>
      <c r="J15" s="500">
        <f t="shared" si="1"/>
        <v>42025348.072000027</v>
      </c>
      <c r="K15" s="616">
        <v>3223398626</v>
      </c>
      <c r="L15" s="1389">
        <f t="shared" si="2"/>
        <v>3181373277.928</v>
      </c>
      <c r="M15" s="979"/>
      <c r="N15" s="98">
        <f>+'320502'!E21</f>
        <v>2821597035</v>
      </c>
      <c r="O15" s="98"/>
      <c r="P15" s="98"/>
      <c r="Q15" s="98">
        <f>+'320502'!F21</f>
        <v>359776242.92800003</v>
      </c>
      <c r="R15" s="98"/>
      <c r="S15" s="1389">
        <f t="shared" si="3"/>
        <v>106045896.936</v>
      </c>
      <c r="T15" s="98">
        <f>+'320502'!H21</f>
        <v>106045896.936</v>
      </c>
      <c r="U15" s="98"/>
      <c r="V15" s="98"/>
      <c r="W15" s="98"/>
      <c r="X15" s="98"/>
      <c r="Y15" s="1615"/>
      <c r="Z15" s="1384">
        <f t="shared" si="4"/>
        <v>3287419174.8639998</v>
      </c>
      <c r="AA15" s="96">
        <f t="shared" si="5"/>
        <v>0</v>
      </c>
      <c r="AB15" s="96">
        <f t="shared" si="6"/>
        <v>2821597035</v>
      </c>
      <c r="AC15" s="96">
        <f t="shared" si="7"/>
        <v>0</v>
      </c>
      <c r="AD15" s="96">
        <f t="shared" si="8"/>
        <v>0</v>
      </c>
      <c r="AE15" s="96">
        <f t="shared" si="9"/>
        <v>465822139.86400002</v>
      </c>
      <c r="AF15" s="981">
        <f t="shared" si="10"/>
        <v>0</v>
      </c>
      <c r="AG15" s="1968"/>
      <c r="AH15" s="1963"/>
      <c r="AI15" s="908" t="s">
        <v>386</v>
      </c>
      <c r="AJ15" s="905" t="s">
        <v>394</v>
      </c>
      <c r="AL15" s="249"/>
    </row>
    <row r="16" spans="1:38" ht="69" customHeight="1">
      <c r="A16" s="2374"/>
      <c r="B16" s="2375"/>
      <c r="C16" s="2377"/>
      <c r="D16" s="929">
        <v>320503</v>
      </c>
      <c r="E16" s="94" t="s">
        <v>177</v>
      </c>
      <c r="F16" s="948">
        <f t="shared" si="0"/>
        <v>0.53461418772744596</v>
      </c>
      <c r="G16" s="307">
        <f>+H16/H20</f>
        <v>1.0240030637360304E-2</v>
      </c>
      <c r="H16" s="939">
        <v>286047888.60000002</v>
      </c>
      <c r="I16" s="307">
        <f>+L16/L20</f>
        <v>1.4200286192691095E-2</v>
      </c>
      <c r="J16" s="500">
        <f t="shared" si="1"/>
        <v>-152925259.21503997</v>
      </c>
      <c r="K16" s="616">
        <v>286047889</v>
      </c>
      <c r="L16" s="1389">
        <f t="shared" si="2"/>
        <v>438973148.21503997</v>
      </c>
      <c r="M16" s="979"/>
      <c r="N16" s="98">
        <f>+'320503'!F14</f>
        <v>0</v>
      </c>
      <c r="O16" s="98"/>
      <c r="P16" s="98"/>
      <c r="Q16" s="98">
        <f>+'320503'!E14</f>
        <v>438973148.21503997</v>
      </c>
      <c r="R16" s="98"/>
      <c r="S16" s="1389">
        <f t="shared" si="3"/>
        <v>200000000.31999999</v>
      </c>
      <c r="T16" s="98">
        <f>+'320503'!H14</f>
        <v>150000000.31999999</v>
      </c>
      <c r="U16" s="98">
        <f>+'320503'!I14</f>
        <v>50000000</v>
      </c>
      <c r="V16" s="98"/>
      <c r="W16" s="98"/>
      <c r="X16" s="98"/>
      <c r="Y16" s="1615"/>
      <c r="Z16" s="1384">
        <f t="shared" si="4"/>
        <v>638973148.5350399</v>
      </c>
      <c r="AA16" s="96">
        <f t="shared" si="5"/>
        <v>0</v>
      </c>
      <c r="AB16" s="96">
        <f t="shared" si="6"/>
        <v>50000000</v>
      </c>
      <c r="AC16" s="96">
        <f t="shared" si="7"/>
        <v>0</v>
      </c>
      <c r="AD16" s="96">
        <f t="shared" si="8"/>
        <v>0</v>
      </c>
      <c r="AE16" s="96">
        <f t="shared" si="9"/>
        <v>588973148.5350399</v>
      </c>
      <c r="AF16" s="981">
        <f t="shared" si="10"/>
        <v>0</v>
      </c>
      <c r="AG16" s="1968"/>
      <c r="AH16" s="1963"/>
      <c r="AI16" s="908" t="s">
        <v>385</v>
      </c>
      <c r="AJ16" s="907" t="s">
        <v>395</v>
      </c>
      <c r="AL16" s="249"/>
    </row>
    <row r="17" spans="1:38" ht="69" customHeight="1">
      <c r="A17" s="927">
        <v>3206</v>
      </c>
      <c r="B17" s="931" t="s">
        <v>347</v>
      </c>
      <c r="C17" s="310">
        <f>+L17</f>
        <v>2146866903</v>
      </c>
      <c r="D17" s="925">
        <v>320601</v>
      </c>
      <c r="E17" s="926" t="s">
        <v>166</v>
      </c>
      <c r="F17" s="952">
        <f t="shared" si="0"/>
        <v>6.729493800180018</v>
      </c>
      <c r="G17" s="308">
        <f>+H17/H20</f>
        <v>9.9429802591691797E-3</v>
      </c>
      <c r="H17" s="941">
        <v>277750000</v>
      </c>
      <c r="I17" s="308">
        <f>+L17/L20</f>
        <v>6.9448722693357404E-2</v>
      </c>
      <c r="J17" s="500">
        <f t="shared" si="1"/>
        <v>-1869116903</v>
      </c>
      <c r="K17" s="617">
        <v>277750000</v>
      </c>
      <c r="L17" s="1387">
        <f t="shared" si="2"/>
        <v>2146866903</v>
      </c>
      <c r="M17" s="977"/>
      <c r="N17" s="92">
        <f>+'320601'!F15</f>
        <v>827924322</v>
      </c>
      <c r="O17" s="92"/>
      <c r="P17" s="92"/>
      <c r="Q17" s="92">
        <f>+'320601'!E15</f>
        <v>1318942581</v>
      </c>
      <c r="R17" s="92"/>
      <c r="S17" s="1387">
        <f t="shared" si="3"/>
        <v>0</v>
      </c>
      <c r="T17" s="92"/>
      <c r="U17" s="92"/>
      <c r="V17" s="92"/>
      <c r="W17" s="92"/>
      <c r="X17" s="92"/>
      <c r="Y17" s="1613"/>
      <c r="Z17" s="1384">
        <f>+SUM(AA17:AG17)</f>
        <v>5326364978</v>
      </c>
      <c r="AA17" s="96">
        <f t="shared" si="5"/>
        <v>0</v>
      </c>
      <c r="AB17" s="96">
        <f t="shared" si="6"/>
        <v>827924322</v>
      </c>
      <c r="AC17" s="96">
        <f t="shared" si="7"/>
        <v>0</v>
      </c>
      <c r="AD17" s="96">
        <f t="shared" si="8"/>
        <v>0</v>
      </c>
      <c r="AE17" s="96">
        <f t="shared" si="9"/>
        <v>1318942581</v>
      </c>
      <c r="AF17" s="981">
        <f t="shared" si="10"/>
        <v>0</v>
      </c>
      <c r="AG17" s="1963">
        <v>3179498075</v>
      </c>
      <c r="AH17" s="1963"/>
      <c r="AI17" s="2037" t="s">
        <v>387</v>
      </c>
      <c r="AJ17" s="2038" t="s">
        <v>396</v>
      </c>
      <c r="AL17" s="249"/>
    </row>
    <row r="18" spans="1:38" ht="69" customHeight="1">
      <c r="A18" s="935">
        <v>3208</v>
      </c>
      <c r="B18" s="930" t="s">
        <v>348</v>
      </c>
      <c r="C18" s="311">
        <f>+L18</f>
        <v>988257160.70047998</v>
      </c>
      <c r="D18" s="929">
        <v>320801</v>
      </c>
      <c r="E18" s="94" t="s">
        <v>32</v>
      </c>
      <c r="F18" s="948">
        <f t="shared" si="0"/>
        <v>0.25961425595851362</v>
      </c>
      <c r="G18" s="307">
        <f>+H18/H20</f>
        <v>2.8086324689899134E-2</v>
      </c>
      <c r="H18" s="939">
        <v>784571273.32879996</v>
      </c>
      <c r="I18" s="307">
        <f>+L18/L20</f>
        <v>3.1969004416298637E-2</v>
      </c>
      <c r="J18" s="500">
        <f t="shared" si="1"/>
        <v>-203685887.70047998</v>
      </c>
      <c r="K18" s="616">
        <v>784571273</v>
      </c>
      <c r="L18" s="1389">
        <f t="shared" si="2"/>
        <v>988257160.70047998</v>
      </c>
      <c r="M18" s="979"/>
      <c r="N18" s="98"/>
      <c r="O18" s="98"/>
      <c r="P18" s="98"/>
      <c r="Q18" s="98">
        <f>+'320801'!E20</f>
        <v>988257160.70047998</v>
      </c>
      <c r="R18" s="98"/>
      <c r="S18" s="1389">
        <f t="shared" si="3"/>
        <v>387034077.60000002</v>
      </c>
      <c r="T18" s="98">
        <f>+'320801'!G20</f>
        <v>387034077.60000002</v>
      </c>
      <c r="U18" s="98">
        <f>+'320801'!H20</f>
        <v>0</v>
      </c>
      <c r="V18" s="98"/>
      <c r="W18" s="98"/>
      <c r="X18" s="98"/>
      <c r="Y18" s="1615"/>
      <c r="Z18" s="1384">
        <f t="shared" si="4"/>
        <v>4147773873.0004797</v>
      </c>
      <c r="AA18" s="96">
        <f t="shared" si="5"/>
        <v>0</v>
      </c>
      <c r="AB18" s="96">
        <f t="shared" si="6"/>
        <v>0</v>
      </c>
      <c r="AC18" s="96">
        <f t="shared" si="7"/>
        <v>0</v>
      </c>
      <c r="AD18" s="96">
        <f t="shared" si="8"/>
        <v>0</v>
      </c>
      <c r="AE18" s="96">
        <f t="shared" si="9"/>
        <v>1375291238.3004799</v>
      </c>
      <c r="AF18" s="981">
        <f t="shared" si="10"/>
        <v>0</v>
      </c>
      <c r="AG18" s="1968">
        <f>+'ACCIONES 320801 '!P81</f>
        <v>2772482634.6999998</v>
      </c>
      <c r="AH18" s="1963"/>
      <c r="AI18" s="908" t="s">
        <v>385</v>
      </c>
      <c r="AJ18" s="905" t="s">
        <v>397</v>
      </c>
      <c r="AL18" s="249"/>
    </row>
    <row r="19" spans="1:38" ht="85.5" customHeight="1" thickBot="1">
      <c r="A19" s="923">
        <v>3299</v>
      </c>
      <c r="B19" s="961" t="s">
        <v>349</v>
      </c>
      <c r="C19" s="962">
        <f>+L19</f>
        <v>1941518322.0000002</v>
      </c>
      <c r="D19" s="963">
        <v>329901</v>
      </c>
      <c r="E19" s="924" t="s">
        <v>30</v>
      </c>
      <c r="F19" s="964">
        <f t="shared" si="0"/>
        <v>0.62708542078064422</v>
      </c>
      <c r="G19" s="965">
        <f>+H19/H20</f>
        <v>4.2716302090857972E-2</v>
      </c>
      <c r="H19" s="966">
        <v>1193249166.3950238</v>
      </c>
      <c r="I19" s="965">
        <f>+L19/L20</f>
        <v>6.2805927726694577E-2</v>
      </c>
      <c r="J19" s="967">
        <f t="shared" si="1"/>
        <v>-747549129.60497642</v>
      </c>
      <c r="K19" s="973">
        <v>1193969192.3950238</v>
      </c>
      <c r="L19" s="1387">
        <f t="shared" si="2"/>
        <v>1941518322.0000002</v>
      </c>
      <c r="M19" s="980"/>
      <c r="N19" s="968"/>
      <c r="O19" s="968"/>
      <c r="P19" s="968"/>
      <c r="Q19" s="968">
        <f>+'329901'!E28</f>
        <v>1506193333.0000002</v>
      </c>
      <c r="R19" s="968">
        <f>+'329901'!F28</f>
        <v>435324989</v>
      </c>
      <c r="S19" s="1619">
        <f>+SUM(T19:Y19)</f>
        <v>98249832.27775979</v>
      </c>
      <c r="T19" s="968"/>
      <c r="U19" s="968"/>
      <c r="V19" s="968"/>
      <c r="W19" s="968"/>
      <c r="X19" s="968">
        <f>+'329901'!H28</f>
        <v>98249832.27775979</v>
      </c>
      <c r="Y19" s="1616"/>
      <c r="Z19" s="1384">
        <f t="shared" si="4"/>
        <v>2039768154.27776</v>
      </c>
      <c r="AA19" s="96">
        <f t="shared" si="5"/>
        <v>0</v>
      </c>
      <c r="AB19" s="96">
        <f t="shared" si="6"/>
        <v>0</v>
      </c>
      <c r="AC19" s="96">
        <f t="shared" si="7"/>
        <v>0</v>
      </c>
      <c r="AD19" s="96">
        <f t="shared" si="8"/>
        <v>0</v>
      </c>
      <c r="AE19" s="96">
        <f t="shared" si="9"/>
        <v>1506193333.0000002</v>
      </c>
      <c r="AF19" s="981">
        <f t="shared" si="10"/>
        <v>533574821.27775979</v>
      </c>
      <c r="AG19" s="1969"/>
      <c r="AH19" s="2034"/>
      <c r="AI19" s="2035" t="s">
        <v>444</v>
      </c>
      <c r="AJ19" s="2036" t="s">
        <v>398</v>
      </c>
      <c r="AL19" s="249"/>
    </row>
    <row r="20" spans="1:38" ht="21.75" customHeight="1" thickBot="1">
      <c r="A20" s="2366" t="s">
        <v>10</v>
      </c>
      <c r="B20" s="2367"/>
      <c r="C20" s="969">
        <f>SUM(C5:C19)</f>
        <v>30912978953.972069</v>
      </c>
      <c r="D20" s="2367" t="s">
        <v>10</v>
      </c>
      <c r="E20" s="2367"/>
      <c r="F20" s="970"/>
      <c r="G20" s="971">
        <f>SUM(G5:G19)</f>
        <v>1</v>
      </c>
      <c r="H20" s="969">
        <f>SUM(H5:H19)</f>
        <v>27934280543.689663</v>
      </c>
      <c r="I20" s="971">
        <f>SUM(I5:I19)</f>
        <v>1</v>
      </c>
      <c r="J20" s="972"/>
      <c r="K20" s="1383"/>
      <c r="L20" s="1391">
        <f t="shared" ref="L20:R20" si="11">SUM(L5:L19)</f>
        <v>30912978953.972069</v>
      </c>
      <c r="M20" s="1964">
        <f t="shared" si="11"/>
        <v>3628421326.4520001</v>
      </c>
      <c r="N20" s="1965">
        <f t="shared" si="11"/>
        <v>12887388753.360889</v>
      </c>
      <c r="O20" s="1965">
        <f t="shared" si="11"/>
        <v>2363913404</v>
      </c>
      <c r="P20" s="1965">
        <f t="shared" si="11"/>
        <v>223366104.82999998</v>
      </c>
      <c r="Q20" s="1965">
        <f t="shared" si="11"/>
        <v>9954257589.3291798</v>
      </c>
      <c r="R20" s="1965">
        <f t="shared" si="11"/>
        <v>1855631776</v>
      </c>
      <c r="S20" s="1966">
        <f>SUM(S5:S19)</f>
        <v>4001136957.6143265</v>
      </c>
      <c r="T20" s="1965">
        <f>SUM(T5:T19)</f>
        <v>964232570.06011033</v>
      </c>
      <c r="U20" s="1965">
        <f t="shared" ref="U20:AF20" si="12">SUM(U5:U19)</f>
        <v>1235053250.3219995</v>
      </c>
      <c r="V20" s="1965">
        <f t="shared" si="12"/>
        <v>1155413545.926857</v>
      </c>
      <c r="W20" s="1965">
        <f t="shared" si="12"/>
        <v>293387760.02759999</v>
      </c>
      <c r="X20" s="1965">
        <f t="shared" si="12"/>
        <v>351026508.27775979</v>
      </c>
      <c r="Y20" s="1967">
        <f t="shared" si="12"/>
        <v>2023323</v>
      </c>
      <c r="Z20" s="1391">
        <f t="shared" ref="Z20" si="13">SUM(Z5:Z19)</f>
        <v>45831885230.990395</v>
      </c>
      <c r="AA20" s="1971">
        <f t="shared" si="12"/>
        <v>4783834872.3788567</v>
      </c>
      <c r="AB20" s="1972">
        <f t="shared" si="12"/>
        <v>14122442003.682888</v>
      </c>
      <c r="AC20" s="1972">
        <f t="shared" si="12"/>
        <v>2365936727</v>
      </c>
      <c r="AD20" s="1972">
        <f t="shared" si="12"/>
        <v>516753864.85759997</v>
      </c>
      <c r="AE20" s="1972">
        <f t="shared" si="12"/>
        <v>10918490159.38929</v>
      </c>
      <c r="AF20" s="1972">
        <f t="shared" si="12"/>
        <v>2206658284.2777596</v>
      </c>
      <c r="AG20" s="982">
        <f>SUM(AG5:AG19)</f>
        <v>8885584565.9200001</v>
      </c>
      <c r="AH20" s="982">
        <f>SUM(AH5:AH19)</f>
        <v>2032184753.484</v>
      </c>
      <c r="AI20" s="1973"/>
      <c r="AJ20" s="982"/>
      <c r="AL20" s="249"/>
    </row>
    <row r="21" spans="1:38" ht="45" customHeight="1" thickBot="1">
      <c r="D21"/>
      <c r="E21"/>
      <c r="F21"/>
      <c r="G21"/>
      <c r="H21"/>
      <c r="I21"/>
      <c r="J21"/>
      <c r="K21"/>
      <c r="L21" s="1392">
        <f>+SUM(M21:R21)</f>
        <v>30823843749.054287</v>
      </c>
      <c r="M21" s="1620">
        <f>+FUENTES!B3</f>
        <v>3628421326.533432</v>
      </c>
      <c r="N21" s="1620">
        <f>+FUENTES!B4</f>
        <v>12768763433.971201</v>
      </c>
      <c r="O21" s="1620">
        <f>+FUENTES!B5</f>
        <v>2394775619.8196483</v>
      </c>
      <c r="P21" s="1620">
        <f>+FUENTES!B6</f>
        <v>223366104.72436002</v>
      </c>
      <c r="Q21" s="1620">
        <f>+FUENTES!B7</f>
        <v>9952885488.4987335</v>
      </c>
      <c r="R21" s="1620">
        <f>+FUENTES!B8</f>
        <v>1855631775.5069122</v>
      </c>
      <c r="S21" s="1617">
        <v>4121134377.6656575</v>
      </c>
      <c r="T21" s="1621">
        <v>965604672</v>
      </c>
      <c r="U21" s="1620">
        <v>1353678570</v>
      </c>
      <c r="V21" s="1620">
        <v>1155413546</v>
      </c>
      <c r="W21" s="1620">
        <v>293387759</v>
      </c>
      <c r="X21" s="1620">
        <v>351026508</v>
      </c>
      <c r="Y21" s="1622">
        <v>2023323</v>
      </c>
      <c r="Z21" s="1392">
        <v>42248164806.665657</v>
      </c>
      <c r="AA21" s="1620">
        <v>4783834873</v>
      </c>
      <c r="AB21" s="1620">
        <v>14122442004</v>
      </c>
      <c r="AC21" s="1620">
        <v>2396798943</v>
      </c>
      <c r="AD21" s="1620">
        <v>516753864</v>
      </c>
      <c r="AE21" s="1620">
        <v>10918490160</v>
      </c>
      <c r="AF21" s="1620">
        <v>2206658284</v>
      </c>
      <c r="AG21" s="1970">
        <v>5271001925</v>
      </c>
      <c r="AH21" s="1393">
        <v>2032184754</v>
      </c>
      <c r="AI21" s="903"/>
      <c r="AJ21" s="619"/>
    </row>
    <row r="22" spans="1:38" ht="15" customHeight="1">
      <c r="D22"/>
      <c r="E22"/>
      <c r="F22"/>
      <c r="G22"/>
      <c r="H22"/>
      <c r="I22"/>
      <c r="J22"/>
      <c r="K22"/>
      <c r="L22" s="248">
        <f>+L21-L20</f>
        <v>-89135204.91778183</v>
      </c>
      <c r="M22" s="248">
        <f t="shared" ref="M22:Y22" si="14">+M21-M20</f>
        <v>8.1431865692138672E-2</v>
      </c>
      <c r="N22" s="248">
        <f t="shared" si="14"/>
        <v>-118625319.38968849</v>
      </c>
      <c r="O22" s="248">
        <f t="shared" si="14"/>
        <v>30862215.819648266</v>
      </c>
      <c r="P22" s="248">
        <f t="shared" si="14"/>
        <v>-0.10563996434211731</v>
      </c>
      <c r="Q22" s="248">
        <f t="shared" si="14"/>
        <v>-1372100.8304462433</v>
      </c>
      <c r="R22" s="248">
        <f t="shared" si="14"/>
        <v>-0.4930877685546875</v>
      </c>
      <c r="S22" s="248">
        <f t="shared" si="14"/>
        <v>119997420.05133104</v>
      </c>
      <c r="T22" s="248">
        <f t="shared" si="14"/>
        <v>1372101.9398896694</v>
      </c>
      <c r="U22" s="248">
        <f t="shared" si="14"/>
        <v>118625319.67800045</v>
      </c>
      <c r="V22" s="248">
        <f t="shared" si="14"/>
        <v>7.314300537109375E-2</v>
      </c>
      <c r="W22" s="248">
        <f t="shared" si="14"/>
        <v>-1.0275999903678894</v>
      </c>
      <c r="X22" s="248">
        <f t="shared" si="14"/>
        <v>-0.27775979042053223</v>
      </c>
      <c r="Y22" s="248">
        <f t="shared" si="14"/>
        <v>0</v>
      </c>
      <c r="Z22" s="248">
        <f>+Z21-Z20</f>
        <v>-3583720424.3247375</v>
      </c>
      <c r="AA22" s="248">
        <f t="shared" ref="AA22:AH22" si="15">+AA21-AA20</f>
        <v>0.62114334106445313</v>
      </c>
      <c r="AB22" s="248">
        <f t="shared" si="15"/>
        <v>0.31711196899414063</v>
      </c>
      <c r="AC22" s="248">
        <f t="shared" si="15"/>
        <v>30862216</v>
      </c>
      <c r="AD22" s="248">
        <f t="shared" si="15"/>
        <v>-0.85759997367858887</v>
      </c>
      <c r="AE22" s="248">
        <f t="shared" si="15"/>
        <v>0.61071014404296875</v>
      </c>
      <c r="AF22" s="248">
        <f t="shared" si="15"/>
        <v>-0.27775955200195313</v>
      </c>
      <c r="AG22" s="248">
        <f t="shared" si="15"/>
        <v>-3614582640.9200001</v>
      </c>
      <c r="AH22" s="248">
        <f t="shared" si="15"/>
        <v>0.51600003242492676</v>
      </c>
    </row>
    <row r="23" spans="1:38" ht="15">
      <c r="D23"/>
      <c r="E23"/>
      <c r="F23"/>
      <c r="G23"/>
      <c r="H23"/>
      <c r="I23"/>
      <c r="J23"/>
      <c r="K23"/>
      <c r="Z23"/>
    </row>
    <row r="24" spans="1:38" ht="15">
      <c r="D24"/>
      <c r="E24"/>
      <c r="F24"/>
      <c r="G24"/>
      <c r="H24"/>
      <c r="I24"/>
      <c r="J24"/>
      <c r="K24"/>
      <c r="L24" s="306">
        <f>+L22/L21</f>
        <v>-2.8917615091569042E-3</v>
      </c>
      <c r="M24" s="306">
        <f t="shared" ref="M24:Y24" si="16">+M22/M21</f>
        <v>2.2442781133672285E-11</v>
      </c>
      <c r="N24" s="306">
        <f t="shared" si="16"/>
        <v>-9.2902746615296117E-3</v>
      </c>
      <c r="O24" s="306">
        <f t="shared" si="16"/>
        <v>1.2887310011103468E-2</v>
      </c>
      <c r="P24" s="306">
        <f t="shared" si="16"/>
        <v>-4.7294536685626478E-10</v>
      </c>
      <c r="Q24" s="306">
        <f t="shared" si="16"/>
        <v>-1.3785960182419494E-4</v>
      </c>
      <c r="R24" s="306">
        <f t="shared" si="16"/>
        <v>-2.6572500808787252E-10</v>
      </c>
      <c r="S24" s="306">
        <f t="shared" si="16"/>
        <v>2.9117570322786081E-2</v>
      </c>
      <c r="T24" s="306">
        <f t="shared" si="16"/>
        <v>1.4209769066751878E-3</v>
      </c>
      <c r="U24" s="306">
        <f t="shared" si="16"/>
        <v>8.7631822137806653E-2</v>
      </c>
      <c r="V24" s="306">
        <f t="shared" si="16"/>
        <v>6.3304611257425699E-11</v>
      </c>
      <c r="W24" s="306">
        <f t="shared" si="16"/>
        <v>-3.502531918408666E-9</v>
      </c>
      <c r="X24" s="306">
        <f t="shared" si="16"/>
        <v>-7.9127867579884375E-10</v>
      </c>
      <c r="Y24" s="306">
        <f t="shared" si="16"/>
        <v>0</v>
      </c>
      <c r="Z24" s="306">
        <f>+Z22/Z21</f>
        <v>-8.482546971506133E-2</v>
      </c>
      <c r="AA24" s="306">
        <f t="shared" ref="AA24:AF24" si="17">+AA22/AA21</f>
        <v>1.2984213660262205E-10</v>
      </c>
      <c r="AB24" s="306">
        <f t="shared" si="17"/>
        <v>2.2454471323325156E-11</v>
      </c>
      <c r="AC24" s="306">
        <f t="shared" si="17"/>
        <v>1.2876430912211063E-2</v>
      </c>
      <c r="AD24" s="306">
        <f t="shared" si="17"/>
        <v>-1.6595908292590704E-9</v>
      </c>
      <c r="AE24" s="306">
        <f t="shared" si="17"/>
        <v>5.5933570951074497E-11</v>
      </c>
      <c r="AF24" s="306">
        <f t="shared" si="17"/>
        <v>-1.2587338692897189E-10</v>
      </c>
      <c r="AG24" s="306">
        <f>+AG22/AG21</f>
        <v>-0.68574868542094114</v>
      </c>
      <c r="AH24" s="306">
        <f>+AH22/AH21</f>
        <v>2.5391393740616889E-10</v>
      </c>
    </row>
    <row r="25" spans="1:38" ht="15">
      <c r="D25"/>
      <c r="E25"/>
      <c r="F25"/>
      <c r="G25"/>
      <c r="H25"/>
      <c r="I25"/>
      <c r="J25"/>
      <c r="K25"/>
      <c r="Z25"/>
    </row>
    <row r="26" spans="1:38" ht="15">
      <c r="D26"/>
      <c r="E26"/>
      <c r="F26"/>
      <c r="G26"/>
      <c r="H26"/>
      <c r="I26"/>
      <c r="J26"/>
      <c r="K26"/>
      <c r="L26" s="63"/>
      <c r="M26" s="63"/>
      <c r="O26" s="280"/>
      <c r="Z26"/>
    </row>
    <row r="27" spans="1:38">
      <c r="N27" s="382"/>
    </row>
    <row r="28" spans="1:38">
      <c r="L28" s="63"/>
      <c r="M28" s="63"/>
      <c r="AA28" s="2043">
        <v>4783834873</v>
      </c>
      <c r="AB28" s="2043">
        <v>14122442004</v>
      </c>
      <c r="AC28" s="2043">
        <v>2396798943</v>
      </c>
      <c r="AD28" s="2043">
        <v>516753864</v>
      </c>
      <c r="AE28" s="2043">
        <v>10918490160</v>
      </c>
      <c r="AF28" s="2043">
        <v>2206658284</v>
      </c>
      <c r="AG28" s="2043">
        <v>5271001925</v>
      </c>
      <c r="AH28" s="2043">
        <v>2032184754</v>
      </c>
    </row>
  </sheetData>
  <mergeCells count="29">
    <mergeCell ref="AA3:AH3"/>
    <mergeCell ref="M3:R3"/>
    <mergeCell ref="S3:S4"/>
    <mergeCell ref="T3:Y3"/>
    <mergeCell ref="D20:E20"/>
    <mergeCell ref="Z3:Z4"/>
    <mergeCell ref="A5:A7"/>
    <mergeCell ref="C5:C7"/>
    <mergeCell ref="H3:H4"/>
    <mergeCell ref="C3:C4"/>
    <mergeCell ref="C14:C16"/>
    <mergeCell ref="B5:B7"/>
    <mergeCell ref="A8:A10"/>
    <mergeCell ref="A20:B20"/>
    <mergeCell ref="A1:AJ2"/>
    <mergeCell ref="A14:A16"/>
    <mergeCell ref="B14:B16"/>
    <mergeCell ref="B8:B10"/>
    <mergeCell ref="C8:C10"/>
    <mergeCell ref="A11:A12"/>
    <mergeCell ref="B11:B12"/>
    <mergeCell ref="C11:C12"/>
    <mergeCell ref="D3:D4"/>
    <mergeCell ref="E3:E4"/>
    <mergeCell ref="L3:L4"/>
    <mergeCell ref="AI3:AI4"/>
    <mergeCell ref="AJ3:AJ4"/>
    <mergeCell ref="G3:G4"/>
    <mergeCell ref="I3:I4"/>
  </mergeCells>
  <pageMargins left="0.51181102362204722" right="0.11811023622047245" top="0.55118110236220474" bottom="0.19685039370078741" header="0.31496062992125984" footer="0.31496062992125984"/>
  <pageSetup scale="55" orientation="landscape" verticalDpi="597"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7" tint="0.59999389629810485"/>
  </sheetPr>
  <dimension ref="A1:T33"/>
  <sheetViews>
    <sheetView workbookViewId="0"/>
  </sheetViews>
  <sheetFormatPr baseColWidth="10" defaultRowHeight="15"/>
  <cols>
    <col min="1" max="1" width="9.85546875" customWidth="1"/>
    <col min="2" max="2" width="37.42578125" customWidth="1"/>
    <col min="3" max="3" width="12.85546875" style="334" customWidth="1"/>
    <col min="4" max="4" width="17.7109375" customWidth="1"/>
    <col min="5" max="5" width="16.7109375" customWidth="1"/>
    <col min="6" max="6" width="18.42578125" customWidth="1"/>
    <col min="7" max="7" width="17.140625" customWidth="1"/>
    <col min="8" max="8" width="12.7109375" bestFit="1" customWidth="1"/>
  </cols>
  <sheetData>
    <row r="1" spans="1:8" ht="15" customHeight="1" thickBot="1">
      <c r="B1" s="2405"/>
      <c r="C1" s="2408" t="s">
        <v>542</v>
      </c>
      <c r="D1" s="2409"/>
      <c r="E1" s="2414" t="s">
        <v>539</v>
      </c>
      <c r="F1" s="2414"/>
      <c r="G1" s="2414"/>
    </row>
    <row r="2" spans="1:8" ht="15.75" thickBot="1">
      <c r="B2" s="2406"/>
      <c r="C2" s="2410"/>
      <c r="D2" s="2411"/>
      <c r="E2" s="2414" t="s">
        <v>540</v>
      </c>
      <c r="F2" s="2414"/>
      <c r="G2" s="2414"/>
    </row>
    <row r="3" spans="1:8" ht="15.75" customHeight="1" thickBot="1">
      <c r="B3" s="2407"/>
      <c r="C3" s="2412"/>
      <c r="D3" s="2413"/>
      <c r="E3" s="2414" t="s">
        <v>541</v>
      </c>
      <c r="F3" s="2414"/>
      <c r="G3" s="2414"/>
    </row>
    <row r="4" spans="1:8" ht="7.5" customHeight="1" thickBot="1">
      <c r="A4" s="345"/>
      <c r="B4" s="345"/>
      <c r="C4" s="345"/>
      <c r="D4" s="345"/>
      <c r="E4" s="347"/>
      <c r="F4" s="347"/>
    </row>
    <row r="5" spans="1:8" ht="15.75" thickBot="1">
      <c r="B5" s="2402" t="s">
        <v>405</v>
      </c>
      <c r="C5" s="2403"/>
      <c r="D5" s="2403"/>
      <c r="E5" s="2403"/>
      <c r="F5" s="2403"/>
      <c r="G5" s="2404"/>
    </row>
    <row r="6" spans="1:8" ht="15.75" thickBot="1">
      <c r="B6" s="2402" t="s">
        <v>178</v>
      </c>
      <c r="C6" s="2403"/>
      <c r="D6" s="2403"/>
      <c r="E6" s="2403"/>
      <c r="F6" s="2403"/>
      <c r="G6" s="2404"/>
    </row>
    <row r="7" spans="1:8" ht="15" customHeight="1" thickBot="1">
      <c r="A7" s="2397" t="s">
        <v>433</v>
      </c>
      <c r="B7" s="2401" t="s">
        <v>434</v>
      </c>
      <c r="C7" s="2397">
        <v>2023</v>
      </c>
      <c r="D7" s="2397"/>
      <c r="E7" s="2397"/>
      <c r="F7" s="2397"/>
      <c r="G7" s="2397"/>
    </row>
    <row r="8" spans="1:8" ht="23.25" customHeight="1" thickBot="1">
      <c r="A8" s="2397"/>
      <c r="B8" s="2397"/>
      <c r="C8" s="2397" t="s">
        <v>199</v>
      </c>
      <c r="D8" s="2397" t="s">
        <v>200</v>
      </c>
      <c r="E8" s="622" t="s">
        <v>198</v>
      </c>
      <c r="F8" s="2397" t="s">
        <v>204</v>
      </c>
      <c r="G8" s="2397" t="s">
        <v>1177</v>
      </c>
    </row>
    <row r="9" spans="1:8" ht="15" customHeight="1" thickBot="1">
      <c r="A9" s="2397"/>
      <c r="B9" s="2397"/>
      <c r="C9" s="2397"/>
      <c r="D9" s="2397"/>
      <c r="E9" s="622" t="s">
        <v>231</v>
      </c>
      <c r="F9" s="2397"/>
      <c r="G9" s="2397"/>
    </row>
    <row r="10" spans="1:8" ht="36.75" thickBot="1">
      <c r="A10" s="185">
        <v>3201007</v>
      </c>
      <c r="B10" s="336" t="s">
        <v>11</v>
      </c>
      <c r="C10" s="337" t="s">
        <v>214</v>
      </c>
      <c r="D10" s="337">
        <v>100</v>
      </c>
      <c r="E10" s="338">
        <f>+SUM(E11:E16)</f>
        <v>131346938.57600001</v>
      </c>
      <c r="F10" s="338">
        <f>+SUM(F11:F16)</f>
        <v>131346938.57600001</v>
      </c>
      <c r="G10" s="338">
        <f>+SUM(G11:G17)</f>
        <v>1990348117</v>
      </c>
      <c r="H10" s="501"/>
    </row>
    <row r="11" spans="1:8">
      <c r="A11" s="184"/>
      <c r="B11" s="48" t="s">
        <v>240</v>
      </c>
      <c r="C11" s="339" t="s">
        <v>209</v>
      </c>
      <c r="D11" s="339">
        <v>1</v>
      </c>
      <c r="E11" s="340">
        <f>+'ACCIONES 320101'!I11</f>
        <v>30120000</v>
      </c>
      <c r="F11" s="340">
        <f>+'ACCIONES 320101'!J11</f>
        <v>30120000</v>
      </c>
      <c r="G11" s="340">
        <f>+'ACCIONES 320101'!K11</f>
        <v>0</v>
      </c>
    </row>
    <row r="12" spans="1:8" ht="38.25">
      <c r="A12" s="184"/>
      <c r="B12" s="7" t="s">
        <v>241</v>
      </c>
      <c r="C12" s="121" t="s">
        <v>209</v>
      </c>
      <c r="D12" s="339">
        <v>1</v>
      </c>
      <c r="E12" s="145">
        <f>+'ACCIONES 320101'!I14</f>
        <v>0</v>
      </c>
      <c r="F12" s="145">
        <f>+'ACCIONES 320101'!J14</f>
        <v>0</v>
      </c>
      <c r="G12" s="145">
        <f>+'ACCIONES 320101'!K14</f>
        <v>0</v>
      </c>
    </row>
    <row r="13" spans="1:8" ht="25.5">
      <c r="A13" s="184"/>
      <c r="B13" s="7" t="s">
        <v>242</v>
      </c>
      <c r="C13" s="121" t="s">
        <v>210</v>
      </c>
      <c r="D13" s="339">
        <v>1</v>
      </c>
      <c r="E13" s="145">
        <f>+'ACCIONES 320101'!I16</f>
        <v>17830682.576000001</v>
      </c>
      <c r="F13" s="145">
        <f>+'ACCIONES 320101'!J16</f>
        <v>17830682.576000001</v>
      </c>
      <c r="G13" s="145">
        <f>+'ACCIONES 320101'!K16</f>
        <v>0</v>
      </c>
    </row>
    <row r="14" spans="1:8" ht="25.5">
      <c r="A14" s="184"/>
      <c r="B14" s="7" t="s">
        <v>337</v>
      </c>
      <c r="C14" s="121" t="s">
        <v>210</v>
      </c>
      <c r="D14" s="339">
        <v>1</v>
      </c>
      <c r="E14" s="145">
        <f>+'ACCIONES 320101'!I23</f>
        <v>0</v>
      </c>
      <c r="F14" s="145">
        <f>+'ACCIONES 320101'!J23</f>
        <v>0</v>
      </c>
      <c r="G14" s="145">
        <f>+'ACCIONES 320101'!K23</f>
        <v>0</v>
      </c>
    </row>
    <row r="15" spans="1:8" ht="32.25" customHeight="1">
      <c r="A15" s="184"/>
      <c r="B15" s="7" t="s">
        <v>243</v>
      </c>
      <c r="C15" s="121" t="s">
        <v>209</v>
      </c>
      <c r="D15" s="339">
        <v>1</v>
      </c>
      <c r="E15" s="145">
        <f>+'ACCIONES 320101'!I25</f>
        <v>42914976</v>
      </c>
      <c r="F15" s="145">
        <f>+'ACCIONES 320101'!J25</f>
        <v>42914976</v>
      </c>
      <c r="G15" s="145">
        <f>+'ACCIONES 320101'!K25</f>
        <v>0</v>
      </c>
    </row>
    <row r="16" spans="1:8" ht="38.25">
      <c r="A16" s="184"/>
      <c r="B16" s="52" t="s">
        <v>244</v>
      </c>
      <c r="C16" s="341" t="s">
        <v>209</v>
      </c>
      <c r="D16" s="339">
        <v>1</v>
      </c>
      <c r="E16" s="518">
        <f>+'ACCIONES 320101'!I29</f>
        <v>40481280</v>
      </c>
      <c r="F16" s="518">
        <f>+'ACCIONES 320101'!J29</f>
        <v>40481280</v>
      </c>
      <c r="G16" s="518">
        <f>+'ACCIONES 320101'!K29</f>
        <v>0</v>
      </c>
    </row>
    <row r="17" spans="1:20" ht="15.75" thickBot="1">
      <c r="A17" s="184"/>
      <c r="B17" s="366" t="s">
        <v>507</v>
      </c>
      <c r="C17" s="341" t="s">
        <v>209</v>
      </c>
      <c r="D17" s="339">
        <v>1</v>
      </c>
      <c r="E17" s="1522"/>
      <c r="F17" s="1522"/>
      <c r="G17" s="1522">
        <f>+'ACCIONES 320101'!K31</f>
        <v>1990348117</v>
      </c>
    </row>
    <row r="18" spans="1:20" ht="24.75" thickBot="1">
      <c r="A18" s="186">
        <v>3201007</v>
      </c>
      <c r="B18" s="342" t="s">
        <v>239</v>
      </c>
      <c r="C18" s="343" t="s">
        <v>209</v>
      </c>
      <c r="D18" s="343">
        <v>1</v>
      </c>
      <c r="E18" s="344">
        <f>+SUM(E19:E20)</f>
        <v>120251388</v>
      </c>
      <c r="F18" s="344">
        <f>+SUM(F19:F20)</f>
        <v>120251388</v>
      </c>
      <c r="G18" s="344"/>
    </row>
    <row r="19" spans="1:20" ht="38.25">
      <c r="A19" s="184"/>
      <c r="B19" s="48" t="s">
        <v>247</v>
      </c>
      <c r="C19" s="339" t="s">
        <v>209</v>
      </c>
      <c r="D19" s="339">
        <v>1</v>
      </c>
      <c r="E19" s="340">
        <f>+'ACCIONES 320101'!I54</f>
        <v>11637125</v>
      </c>
      <c r="F19" s="340">
        <f>+'ACCIONES 320101'!J54</f>
        <v>11637125</v>
      </c>
      <c r="G19" s="340">
        <f>+'ACCIONES 320101'!K54</f>
        <v>0</v>
      </c>
    </row>
    <row r="20" spans="1:20" ht="15.75" thickBot="1">
      <c r="A20" s="184"/>
      <c r="B20" s="1303" t="s">
        <v>725</v>
      </c>
      <c r="C20" s="339"/>
      <c r="D20" s="339">
        <v>1</v>
      </c>
      <c r="E20" s="340">
        <f>+'ACCIONES 320101'!I56</f>
        <v>108614263</v>
      </c>
      <c r="F20" s="340">
        <f>+'ACCIONES 320101'!J56</f>
        <v>108614263</v>
      </c>
      <c r="G20" s="340">
        <f>+'ACCIONES 320101'!K56</f>
        <v>0</v>
      </c>
    </row>
    <row r="21" spans="1:20" s="591" customFormat="1" ht="15.75" customHeight="1" thickBot="1">
      <c r="A21" s="590"/>
      <c r="B21" s="2398" t="s">
        <v>228</v>
      </c>
      <c r="C21" s="2399"/>
      <c r="D21" s="2400"/>
      <c r="E21" s="1137">
        <f>+E18+E10</f>
        <v>251598326.57600001</v>
      </c>
      <c r="F21" s="1137">
        <f>+F18+F10</f>
        <v>251598326.57600001</v>
      </c>
      <c r="G21" s="1137">
        <f>+G10+G18</f>
        <v>1990348117</v>
      </c>
      <c r="P21"/>
      <c r="Q21"/>
      <c r="R21"/>
      <c r="S21"/>
      <c r="T21"/>
    </row>
    <row r="22" spans="1:20" ht="15.75" thickBot="1">
      <c r="C22"/>
      <c r="D22" s="334"/>
    </row>
    <row r="23" spans="1:20" ht="15.75" thickBot="1">
      <c r="C23"/>
      <c r="D23" s="334"/>
      <c r="E23" s="592">
        <v>251598327</v>
      </c>
      <c r="F23" s="1140">
        <v>251598327</v>
      </c>
      <c r="G23" s="1140">
        <f>1924822626+65525491</f>
        <v>1990348117</v>
      </c>
    </row>
    <row r="24" spans="1:20">
      <c r="C24"/>
      <c r="D24" s="334"/>
    </row>
    <row r="25" spans="1:20">
      <c r="E25" s="501">
        <f>+E23-E21</f>
        <v>0.42399999499320984</v>
      </c>
      <c r="F25" s="501">
        <f>+F23-F21</f>
        <v>0.42399999499320984</v>
      </c>
      <c r="G25" s="501">
        <f t="shared" ref="G25" si="0">+G23-G21</f>
        <v>0</v>
      </c>
    </row>
    <row r="27" spans="1:20">
      <c r="A27" s="775"/>
    </row>
    <row r="28" spans="1:20">
      <c r="A28" s="775"/>
    </row>
    <row r="29" spans="1:20">
      <c r="A29" s="776"/>
    </row>
    <row r="30" spans="1:20">
      <c r="A30" s="776"/>
    </row>
    <row r="31" spans="1:20">
      <c r="A31" s="776"/>
    </row>
    <row r="32" spans="1:20">
      <c r="A32" s="775"/>
    </row>
    <row r="33" spans="1:1">
      <c r="A33" s="775"/>
    </row>
  </sheetData>
  <mergeCells count="15">
    <mergeCell ref="B5:G5"/>
    <mergeCell ref="B6:G6"/>
    <mergeCell ref="B1:B3"/>
    <mergeCell ref="C1:D3"/>
    <mergeCell ref="E3:G3"/>
    <mergeCell ref="E2:G2"/>
    <mergeCell ref="E1:G1"/>
    <mergeCell ref="G8:G9"/>
    <mergeCell ref="B21:D21"/>
    <mergeCell ref="C8:C9"/>
    <mergeCell ref="D8:D9"/>
    <mergeCell ref="A7:A9"/>
    <mergeCell ref="B7:B9"/>
    <mergeCell ref="F8:F9"/>
    <mergeCell ref="C7:G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7" tint="0.59999389629810485"/>
  </sheetPr>
  <dimension ref="A1:Y458"/>
  <sheetViews>
    <sheetView workbookViewId="0"/>
  </sheetViews>
  <sheetFormatPr baseColWidth="10" defaultColWidth="11.42578125" defaultRowHeight="12.75"/>
  <cols>
    <col min="1" max="1" width="5.5703125" style="345" customWidth="1"/>
    <col min="2" max="2" width="6.28515625" style="345" customWidth="1"/>
    <col min="3" max="3" width="39.28515625" style="345" customWidth="1"/>
    <col min="4" max="4" width="19" style="345" customWidth="1"/>
    <col min="5" max="5" width="20" style="345" customWidth="1"/>
    <col min="6" max="6" width="15.7109375" style="345" customWidth="1"/>
    <col min="7" max="8" width="16.5703125" style="345" customWidth="1"/>
    <col min="9" max="9" width="21.140625" style="347" customWidth="1"/>
    <col min="10" max="10" width="21" style="347" customWidth="1"/>
    <col min="11" max="11" width="21.85546875" style="345" customWidth="1"/>
    <col min="12" max="12" width="15.85546875" style="345" bestFit="1" customWidth="1"/>
    <col min="13" max="16384" width="11.42578125" style="345"/>
  </cols>
  <sheetData>
    <row r="1" spans="1:18" ht="15" customHeight="1" thickBot="1">
      <c r="C1" s="2405"/>
      <c r="D1" s="2430" t="s">
        <v>542</v>
      </c>
      <c r="E1" s="2431"/>
      <c r="F1" s="2431"/>
      <c r="G1" s="2431"/>
      <c r="H1" s="2432"/>
      <c r="I1" s="2441" t="s">
        <v>539</v>
      </c>
      <c r="J1" s="2442"/>
      <c r="K1" s="2443"/>
    </row>
    <row r="2" spans="1:18" ht="13.5" thickBot="1">
      <c r="C2" s="2406"/>
      <c r="D2" s="2433"/>
      <c r="E2" s="2434"/>
      <c r="F2" s="2434"/>
      <c r="G2" s="2434"/>
      <c r="H2" s="2435"/>
      <c r="I2" s="2441" t="s">
        <v>540</v>
      </c>
      <c r="J2" s="2442"/>
      <c r="K2" s="2443"/>
    </row>
    <row r="3" spans="1:18" ht="15.75" customHeight="1" thickBot="1">
      <c r="C3" s="2407"/>
      <c r="D3" s="2436"/>
      <c r="E3" s="2437"/>
      <c r="F3" s="2437"/>
      <c r="G3" s="2437"/>
      <c r="H3" s="2438"/>
      <c r="I3" s="2444" t="s">
        <v>541</v>
      </c>
      <c r="J3" s="2445"/>
      <c r="K3" s="2446"/>
    </row>
    <row r="4" spans="1:18" ht="13.5" thickBot="1"/>
    <row r="5" spans="1:18" s="1" customFormat="1" ht="15" customHeight="1" thickBot="1">
      <c r="C5" s="2440" t="s">
        <v>405</v>
      </c>
      <c r="D5" s="2440"/>
      <c r="E5" s="2440"/>
      <c r="F5" s="2440"/>
      <c r="G5" s="2440"/>
      <c r="H5" s="2440"/>
      <c r="I5" s="2440"/>
      <c r="J5" s="2440"/>
      <c r="K5" s="2440"/>
    </row>
    <row r="6" spans="1:18" ht="15.75" customHeight="1" thickBot="1">
      <c r="C6" s="2440" t="s">
        <v>178</v>
      </c>
      <c r="D6" s="2440"/>
      <c r="E6" s="2440"/>
      <c r="F6" s="2440"/>
      <c r="G6" s="2440"/>
      <c r="H6" s="2440"/>
      <c r="I6" s="2440"/>
      <c r="J6" s="2440"/>
      <c r="K6" s="2440"/>
    </row>
    <row r="7" spans="1:18" ht="26.25" customHeight="1" thickBot="1">
      <c r="A7" s="2414" t="s">
        <v>543</v>
      </c>
      <c r="B7" s="2414" t="s">
        <v>544</v>
      </c>
      <c r="C7" s="2420" t="s">
        <v>435</v>
      </c>
      <c r="D7" s="2420" t="s">
        <v>436</v>
      </c>
      <c r="E7" s="2423" t="s">
        <v>497</v>
      </c>
      <c r="F7" s="2420" t="s">
        <v>437</v>
      </c>
      <c r="G7" s="2420" t="s">
        <v>200</v>
      </c>
      <c r="H7" s="2427" t="s">
        <v>576</v>
      </c>
      <c r="I7" s="2424" t="s">
        <v>470</v>
      </c>
      <c r="J7" s="2424"/>
      <c r="K7" s="2447" t="s">
        <v>505</v>
      </c>
    </row>
    <row r="8" spans="1:18" ht="12.75" customHeight="1" thickBot="1">
      <c r="A8" s="2414"/>
      <c r="B8" s="2414"/>
      <c r="C8" s="2421"/>
      <c r="D8" s="2421"/>
      <c r="E8" s="2423"/>
      <c r="F8" s="2421"/>
      <c r="G8" s="2421"/>
      <c r="H8" s="2427"/>
      <c r="I8" s="2418" t="s">
        <v>231</v>
      </c>
      <c r="J8" s="2425" t="s">
        <v>341</v>
      </c>
      <c r="K8" s="2448"/>
    </row>
    <row r="9" spans="1:18" ht="27.75" customHeight="1" thickBot="1">
      <c r="A9" s="2414"/>
      <c r="B9" s="2414"/>
      <c r="C9" s="2422"/>
      <c r="D9" s="2422"/>
      <c r="E9" s="2401"/>
      <c r="F9" s="2422"/>
      <c r="G9" s="2422"/>
      <c r="H9" s="2424"/>
      <c r="I9" s="2419"/>
      <c r="J9" s="2426"/>
      <c r="K9" s="2449"/>
    </row>
    <row r="10" spans="1:18" ht="57.75" customHeight="1" thickBot="1">
      <c r="A10" s="1596">
        <v>101</v>
      </c>
      <c r="B10" s="1597"/>
      <c r="C10" s="633" t="s">
        <v>11</v>
      </c>
      <c r="D10" s="625"/>
      <c r="E10" s="625"/>
      <c r="F10" s="451" t="s">
        <v>214</v>
      </c>
      <c r="G10" s="451">
        <v>100</v>
      </c>
      <c r="H10" s="451"/>
      <c r="I10" s="1141">
        <f>+I11+I14+I16+I23+I25+I29</f>
        <v>131346938.57600001</v>
      </c>
      <c r="J10" s="1149">
        <f>+J11+J14+J16+J23+J25+J29</f>
        <v>131346938.57600001</v>
      </c>
      <c r="K10" s="1062">
        <f>+K31</f>
        <v>1990348117</v>
      </c>
      <c r="L10" s="1513"/>
      <c r="M10" s="345">
        <v>142804064</v>
      </c>
    </row>
    <row r="11" spans="1:18" ht="24.75" customHeight="1">
      <c r="A11" s="1139"/>
      <c r="B11" s="1451" t="s">
        <v>1011</v>
      </c>
      <c r="C11" s="1138" t="s">
        <v>240</v>
      </c>
      <c r="D11" s="819"/>
      <c r="E11" s="819"/>
      <c r="F11" s="820" t="s">
        <v>317</v>
      </c>
      <c r="G11" s="820">
        <v>1</v>
      </c>
      <c r="H11" s="820"/>
      <c r="I11" s="1142">
        <f>SUM(I12:I13)</f>
        <v>30120000</v>
      </c>
      <c r="J11" s="1150">
        <f>SUM(J12:J13)</f>
        <v>30120000</v>
      </c>
      <c r="K11" s="1150"/>
    </row>
    <row r="12" spans="1:18" ht="25.5">
      <c r="B12" s="1417"/>
      <c r="C12" s="567" t="s">
        <v>588</v>
      </c>
      <c r="D12" s="121" t="s">
        <v>235</v>
      </c>
      <c r="E12" s="121">
        <v>83990</v>
      </c>
      <c r="F12" s="31" t="s">
        <v>590</v>
      </c>
      <c r="G12" s="31">
        <v>11</v>
      </c>
      <c r="H12" s="31"/>
      <c r="I12" s="1457">
        <f>51950976-21830976</f>
        <v>30120000</v>
      </c>
      <c r="J12" s="1151">
        <f>+SUM(I12)</f>
        <v>30120000</v>
      </c>
      <c r="K12" s="1151"/>
    </row>
    <row r="13" spans="1:18" s="507" customFormat="1">
      <c r="B13" s="1418"/>
      <c r="C13" s="567" t="s">
        <v>589</v>
      </c>
      <c r="D13" s="121" t="s">
        <v>591</v>
      </c>
      <c r="E13" s="121">
        <v>83990</v>
      </c>
      <c r="F13" s="31" t="s">
        <v>590</v>
      </c>
      <c r="G13" s="31">
        <v>11</v>
      </c>
      <c r="H13" s="31"/>
      <c r="I13" s="1457">
        <f>10000000-10000000</f>
        <v>0</v>
      </c>
      <c r="J13" s="1151">
        <f>+SUM(I13)</f>
        <v>0</v>
      </c>
      <c r="K13" s="1151"/>
    </row>
    <row r="14" spans="1:18" ht="48" customHeight="1">
      <c r="A14" s="1139"/>
      <c r="B14" s="1416" t="s">
        <v>1012</v>
      </c>
      <c r="C14" s="169" t="s">
        <v>241</v>
      </c>
      <c r="D14" s="171"/>
      <c r="E14" s="171"/>
      <c r="F14" s="168" t="s">
        <v>317</v>
      </c>
      <c r="G14" s="168">
        <v>1</v>
      </c>
      <c r="H14" s="168"/>
      <c r="I14" s="1144">
        <f>+I15</f>
        <v>0</v>
      </c>
      <c r="J14" s="1152">
        <f>SUM(J15:J15)</f>
        <v>0</v>
      </c>
      <c r="K14" s="1152"/>
      <c r="L14"/>
      <c r="M14"/>
      <c r="N14"/>
      <c r="O14"/>
      <c r="P14"/>
      <c r="Q14"/>
      <c r="R14"/>
    </row>
    <row r="15" spans="1:18" ht="35.25" customHeight="1">
      <c r="B15" s="1417"/>
      <c r="C15" s="567" t="s">
        <v>592</v>
      </c>
      <c r="D15" s="121" t="s">
        <v>593</v>
      </c>
      <c r="E15" s="121" t="s">
        <v>594</v>
      </c>
      <c r="F15" s="31"/>
      <c r="G15" s="31"/>
      <c r="H15" s="31"/>
      <c r="I15" s="1143"/>
      <c r="J15" s="1151">
        <f>+I15</f>
        <v>0</v>
      </c>
      <c r="K15" s="1151"/>
      <c r="L15"/>
      <c r="M15"/>
      <c r="N15"/>
      <c r="O15"/>
      <c r="P15"/>
      <c r="Q15"/>
      <c r="R15"/>
    </row>
    <row r="16" spans="1:18" ht="23.25" customHeight="1">
      <c r="A16" s="1139"/>
      <c r="B16" s="1416" t="s">
        <v>1013</v>
      </c>
      <c r="C16" s="169" t="s">
        <v>242</v>
      </c>
      <c r="D16" s="171"/>
      <c r="E16" s="171"/>
      <c r="F16" s="168" t="s">
        <v>210</v>
      </c>
      <c r="G16" s="168">
        <v>1</v>
      </c>
      <c r="H16" s="168"/>
      <c r="I16" s="1144">
        <f>SUM(I17:I22)</f>
        <v>17830682.576000001</v>
      </c>
      <c r="J16" s="1152">
        <f>SUM(J17:J22)</f>
        <v>17830682.576000001</v>
      </c>
      <c r="K16" s="1152"/>
      <c r="L16"/>
      <c r="M16"/>
      <c r="N16"/>
      <c r="O16"/>
      <c r="P16"/>
      <c r="Q16"/>
      <c r="R16"/>
    </row>
    <row r="17" spans="1:25" s="507" customFormat="1" ht="23.25" customHeight="1">
      <c r="B17" s="1418"/>
      <c r="C17" s="567" t="s">
        <v>595</v>
      </c>
      <c r="D17" s="339" t="s">
        <v>729</v>
      </c>
      <c r="E17" s="2154">
        <v>36490</v>
      </c>
      <c r="F17" s="31"/>
      <c r="G17" s="2151"/>
      <c r="H17" s="31"/>
      <c r="I17" s="1143">
        <f>3700000+617200</f>
        <v>4317200</v>
      </c>
      <c r="J17" s="1151">
        <f>+I17</f>
        <v>4317200</v>
      </c>
      <c r="K17" s="1151"/>
      <c r="L17"/>
      <c r="M17"/>
      <c r="N17"/>
      <c r="O17"/>
      <c r="P17"/>
      <c r="Q17"/>
      <c r="R17"/>
    </row>
    <row r="18" spans="1:25" s="507" customFormat="1" ht="23.25" customHeight="1">
      <c r="B18" s="1418"/>
      <c r="C18" s="2450" t="s">
        <v>596</v>
      </c>
      <c r="D18" s="339" t="s">
        <v>557</v>
      </c>
      <c r="E18" s="1458">
        <v>1919</v>
      </c>
      <c r="F18" s="31"/>
      <c r="G18" s="31"/>
      <c r="H18" s="31"/>
      <c r="I18" s="1143">
        <f>1040000*1.004+11457125-11457125</f>
        <v>1044160</v>
      </c>
      <c r="J18" s="1151">
        <f t="shared" ref="J18:J21" si="0">+I18</f>
        <v>1044160</v>
      </c>
      <c r="K18" s="1151"/>
      <c r="L18" s="2158"/>
      <c r="M18" s="813"/>
      <c r="N18" s="813"/>
      <c r="O18" s="813"/>
      <c r="P18" s="813"/>
      <c r="Q18" s="813"/>
      <c r="R18" s="813"/>
    </row>
    <row r="19" spans="1:25" s="507" customFormat="1" ht="23.25" customHeight="1">
      <c r="B19" s="1418"/>
      <c r="C19" s="2451"/>
      <c r="D19" s="339" t="s">
        <v>1333</v>
      </c>
      <c r="E19" s="1458">
        <v>4621301</v>
      </c>
      <c r="F19" s="31"/>
      <c r="G19" s="31"/>
      <c r="H19" s="31"/>
      <c r="I19" s="1143">
        <f>3556080*1.004</f>
        <v>3570304.32</v>
      </c>
      <c r="J19" s="1151">
        <f t="shared" si="0"/>
        <v>3570304.32</v>
      </c>
      <c r="K19" s="1151"/>
      <c r="L19" s="813"/>
      <c r="M19" s="813"/>
      <c r="N19" s="813"/>
      <c r="O19" s="813"/>
      <c r="P19" s="813"/>
      <c r="Q19" s="813"/>
      <c r="R19" s="813"/>
    </row>
    <row r="20" spans="1:25" s="507" customFormat="1" ht="23.25" customHeight="1">
      <c r="B20" s="1418"/>
      <c r="C20" s="2451"/>
      <c r="D20" s="339" t="s">
        <v>729</v>
      </c>
      <c r="E20" s="1458" t="s">
        <v>1385</v>
      </c>
      <c r="F20" s="31"/>
      <c r="G20" s="31"/>
      <c r="H20" s="31"/>
      <c r="I20" s="1143">
        <f>608736*1.004</f>
        <v>611170.94400000002</v>
      </c>
      <c r="J20" s="1151">
        <f t="shared" si="0"/>
        <v>611170.94400000002</v>
      </c>
      <c r="K20" s="1151"/>
      <c r="L20" s="813"/>
      <c r="M20" s="813"/>
      <c r="N20" s="813"/>
      <c r="O20" s="813"/>
      <c r="P20" s="813"/>
      <c r="Q20" s="813"/>
      <c r="R20" s="813"/>
    </row>
    <row r="21" spans="1:25" s="507" customFormat="1" ht="23.25" customHeight="1">
      <c r="B21" s="1418"/>
      <c r="C21" s="2452"/>
      <c r="D21" s="339" t="s">
        <v>1335</v>
      </c>
      <c r="E21" s="1458" t="s">
        <v>1386</v>
      </c>
      <c r="F21" s="31"/>
      <c r="G21" s="31"/>
      <c r="H21" s="31"/>
      <c r="I21" s="1143">
        <f>(5470828+2784000)*1.004</f>
        <v>8287847.3119999999</v>
      </c>
      <c r="J21" s="1151">
        <f t="shared" si="0"/>
        <v>8287847.3119999999</v>
      </c>
      <c r="K21" s="1151"/>
      <c r="L21" s="813"/>
      <c r="M21" s="813"/>
      <c r="N21" s="813"/>
      <c r="O21" s="813"/>
      <c r="P21" s="813"/>
      <c r="Q21" s="813"/>
      <c r="R21" s="813"/>
    </row>
    <row r="22" spans="1:25" s="507" customFormat="1" ht="23.25" customHeight="1">
      <c r="B22" s="1418"/>
      <c r="C22" s="1486" t="s">
        <v>1136</v>
      </c>
      <c r="D22" s="339"/>
      <c r="E22" s="1458"/>
      <c r="F22" s="31"/>
      <c r="G22" s="31"/>
      <c r="H22" s="31"/>
      <c r="I22" s="1143"/>
      <c r="J22" s="1151">
        <f>+I22</f>
        <v>0</v>
      </c>
      <c r="K22" s="1151"/>
      <c r="L22" s="813"/>
      <c r="M22" s="813"/>
      <c r="N22" s="813"/>
      <c r="O22" s="813"/>
      <c r="P22" s="813"/>
      <c r="Q22" s="813"/>
      <c r="R22" s="813"/>
    </row>
    <row r="23" spans="1:25" ht="23.25" customHeight="1">
      <c r="A23" s="1139"/>
      <c r="B23" s="1416" t="s">
        <v>1014</v>
      </c>
      <c r="C23" s="169" t="s">
        <v>337</v>
      </c>
      <c r="D23" s="171"/>
      <c r="E23" s="171"/>
      <c r="F23" s="168" t="s">
        <v>210</v>
      </c>
      <c r="G23" s="168">
        <v>1</v>
      </c>
      <c r="H23" s="168"/>
      <c r="I23" s="1144">
        <f>SUM(I24:I24)</f>
        <v>0</v>
      </c>
      <c r="J23" s="1152">
        <f>SUM(J24:J24)</f>
        <v>0</v>
      </c>
      <c r="K23" s="1152"/>
      <c r="L23"/>
      <c r="M23"/>
      <c r="N23"/>
      <c r="O23"/>
      <c r="P23"/>
      <c r="Q23"/>
      <c r="R23"/>
    </row>
    <row r="24" spans="1:25" ht="11.25" customHeight="1">
      <c r="B24" s="1417"/>
      <c r="C24" s="567" t="s">
        <v>597</v>
      </c>
      <c r="D24" s="121" t="s">
        <v>598</v>
      </c>
      <c r="E24" s="121"/>
      <c r="F24" s="31"/>
      <c r="G24" s="31"/>
      <c r="H24" s="31"/>
      <c r="I24" s="1143"/>
      <c r="J24" s="1151">
        <f>+I24</f>
        <v>0</v>
      </c>
      <c r="K24" s="1151"/>
      <c r="L24"/>
      <c r="M24"/>
      <c r="N24"/>
      <c r="O24"/>
      <c r="P24"/>
      <c r="Q24"/>
      <c r="R24"/>
    </row>
    <row r="25" spans="1:25" ht="23.25" customHeight="1">
      <c r="A25" s="1139"/>
      <c r="B25" s="1416" t="s">
        <v>1015</v>
      </c>
      <c r="C25" s="169" t="s">
        <v>243</v>
      </c>
      <c r="D25" s="171"/>
      <c r="E25" s="171"/>
      <c r="F25" s="168" t="s">
        <v>317</v>
      </c>
      <c r="G25" s="168">
        <v>1</v>
      </c>
      <c r="H25" s="168"/>
      <c r="I25" s="1144">
        <f>SUM(I26:I28)</f>
        <v>42914976</v>
      </c>
      <c r="J25" s="1152">
        <f>SUM(J26:J28)</f>
        <v>42914976</v>
      </c>
      <c r="K25" s="1152"/>
      <c r="L25"/>
      <c r="M25"/>
      <c r="N25"/>
      <c r="O25"/>
      <c r="P25"/>
      <c r="Q25"/>
      <c r="R25"/>
    </row>
    <row r="26" spans="1:25" s="507" customFormat="1" ht="23.25" customHeight="1">
      <c r="B26" s="1418"/>
      <c r="C26" s="567" t="s">
        <v>599</v>
      </c>
      <c r="D26" s="121" t="s">
        <v>600</v>
      </c>
      <c r="E26" s="2008">
        <v>83990</v>
      </c>
      <c r="F26" s="31"/>
      <c r="G26" s="31"/>
      <c r="H26" s="31"/>
      <c r="I26" s="1143">
        <f>21084000+4001583-12542792</f>
        <v>12542791</v>
      </c>
      <c r="J26" s="1151">
        <f>+I26</f>
        <v>12542791</v>
      </c>
      <c r="K26" s="1151"/>
      <c r="L26"/>
      <c r="M26"/>
      <c r="N26"/>
      <c r="O26"/>
      <c r="P26"/>
      <c r="Q26"/>
      <c r="R26"/>
    </row>
    <row r="27" spans="1:25" s="507" customFormat="1" ht="25.5">
      <c r="B27" s="1418"/>
      <c r="C27" s="567" t="s">
        <v>1276</v>
      </c>
      <c r="D27" s="121" t="s">
        <v>235</v>
      </c>
      <c r="E27" s="2008">
        <v>83990</v>
      </c>
      <c r="F27" s="31" t="s">
        <v>590</v>
      </c>
      <c r="G27" s="31">
        <v>7</v>
      </c>
      <c r="H27" s="31"/>
      <c r="I27" s="1143">
        <v>12542792</v>
      </c>
      <c r="J27" s="1151">
        <f>I27</f>
        <v>12542792</v>
      </c>
      <c r="K27" s="1151"/>
      <c r="L27"/>
      <c r="M27" s="1550"/>
      <c r="N27" s="1550"/>
      <c r="O27"/>
      <c r="P27" s="2009"/>
      <c r="Q27" s="2009"/>
      <c r="R27" s="2009"/>
      <c r="S27" s="2010"/>
      <c r="T27" s="2010"/>
      <c r="U27" s="2010"/>
      <c r="V27" s="2010"/>
      <c r="W27" s="2010"/>
      <c r="X27" s="2010"/>
      <c r="Y27" s="2010"/>
    </row>
    <row r="28" spans="1:25" s="507" customFormat="1" ht="36.75" customHeight="1">
      <c r="B28" s="1418"/>
      <c r="C28" s="567" t="s">
        <v>1258</v>
      </c>
      <c r="D28" s="121" t="s">
        <v>235</v>
      </c>
      <c r="E28" s="2008">
        <v>83990</v>
      </c>
      <c r="F28" s="31" t="s">
        <v>590</v>
      </c>
      <c r="G28" s="31">
        <v>7</v>
      </c>
      <c r="H28" s="441"/>
      <c r="I28" s="1145">
        <v>17829393</v>
      </c>
      <c r="J28" s="1153">
        <f>+I28</f>
        <v>17829393</v>
      </c>
      <c r="K28" s="1151"/>
    </row>
    <row r="29" spans="1:25" ht="23.25" customHeight="1">
      <c r="A29" s="1139"/>
      <c r="B29" s="1416" t="s">
        <v>1016</v>
      </c>
      <c r="C29" s="169" t="s">
        <v>244</v>
      </c>
      <c r="D29" s="171"/>
      <c r="E29" s="171"/>
      <c r="F29" s="168" t="s">
        <v>317</v>
      </c>
      <c r="G29" s="168">
        <v>1</v>
      </c>
      <c r="H29" s="168"/>
      <c r="I29" s="1144">
        <f>+SUM(I30:I30)</f>
        <v>40481280</v>
      </c>
      <c r="J29" s="1152">
        <f>+SUM(J30:J30)</f>
        <v>40481280</v>
      </c>
      <c r="K29" s="1152"/>
      <c r="L29"/>
      <c r="M29"/>
      <c r="N29"/>
      <c r="O29"/>
      <c r="P29"/>
      <c r="Q29"/>
      <c r="R29"/>
    </row>
    <row r="30" spans="1:25" ht="23.25" customHeight="1">
      <c r="B30" s="1417"/>
      <c r="C30" s="567" t="s">
        <v>601</v>
      </c>
      <c r="D30" s="27" t="s">
        <v>235</v>
      </c>
      <c r="E30" s="27">
        <v>83990</v>
      </c>
      <c r="F30" s="31" t="s">
        <v>590</v>
      </c>
      <c r="G30" s="31">
        <v>10</v>
      </c>
      <c r="H30" s="31"/>
      <c r="I30" s="1143">
        <v>40481280</v>
      </c>
      <c r="J30" s="1151">
        <f>+I30</f>
        <v>40481280</v>
      </c>
      <c r="K30" s="1151"/>
      <c r="L30"/>
      <c r="M30"/>
      <c r="N30"/>
      <c r="O30"/>
    </row>
    <row r="31" spans="1:25" ht="21.75" customHeight="1" thickBot="1">
      <c r="A31" s="1139"/>
      <c r="B31" s="1139" t="s">
        <v>1172</v>
      </c>
      <c r="C31" s="171" t="s">
        <v>507</v>
      </c>
      <c r="D31" s="171"/>
      <c r="E31" s="168"/>
      <c r="F31" s="174" t="s">
        <v>209</v>
      </c>
      <c r="G31" s="168">
        <v>1</v>
      </c>
      <c r="H31" s="1079"/>
      <c r="I31" s="1144"/>
      <c r="J31" s="1152"/>
      <c r="K31" s="1152">
        <f>SUM(K32:K52)</f>
        <v>1990348117</v>
      </c>
      <c r="L31"/>
      <c r="M31"/>
      <c r="N31"/>
      <c r="O31"/>
    </row>
    <row r="32" spans="1:25" ht="15.6" customHeight="1">
      <c r="B32" s="1417"/>
      <c r="C32" s="1543" t="s">
        <v>1184</v>
      </c>
      <c r="D32" s="537" t="s">
        <v>235</v>
      </c>
      <c r="E32" s="810">
        <v>83990</v>
      </c>
      <c r="F32" s="31" t="s">
        <v>209</v>
      </c>
      <c r="G32" s="31">
        <v>1</v>
      </c>
      <c r="H32" s="1511"/>
      <c r="I32" s="1145"/>
      <c r="J32" s="1151"/>
      <c r="K32" s="1544">
        <f>838400000+247020000+53858824</f>
        <v>1139278824</v>
      </c>
      <c r="L32"/>
      <c r="M32"/>
      <c r="N32"/>
      <c r="O32"/>
    </row>
    <row r="33" spans="2:15" ht="19.5" customHeight="1">
      <c r="B33" s="1417"/>
      <c r="C33" s="2428" t="s">
        <v>1185</v>
      </c>
      <c r="D33" s="2429" t="s">
        <v>235</v>
      </c>
      <c r="E33" s="1545">
        <v>83990</v>
      </c>
      <c r="F33" s="31" t="s">
        <v>209</v>
      </c>
      <c r="G33" s="31">
        <v>1</v>
      </c>
      <c r="H33" s="1511"/>
      <c r="I33" s="1541"/>
      <c r="J33" s="1151"/>
      <c r="K33" s="1544">
        <v>42600000</v>
      </c>
      <c r="L33"/>
      <c r="M33"/>
      <c r="N33"/>
      <c r="O33"/>
    </row>
    <row r="34" spans="2:15" ht="15">
      <c r="B34" s="1417"/>
      <c r="C34" s="2428"/>
      <c r="D34" s="2429"/>
      <c r="E34" s="1545">
        <v>81136</v>
      </c>
      <c r="F34" s="31" t="s">
        <v>209</v>
      </c>
      <c r="G34" s="31">
        <v>1</v>
      </c>
      <c r="H34" s="1511"/>
      <c r="I34" s="1541"/>
      <c r="J34" s="1151"/>
      <c r="K34" s="1544">
        <v>25000000</v>
      </c>
      <c r="L34"/>
      <c r="M34"/>
      <c r="N34"/>
      <c r="O34"/>
    </row>
    <row r="35" spans="2:15" ht="15">
      <c r="B35" s="1417"/>
      <c r="C35" s="2428"/>
      <c r="D35" s="811" t="s">
        <v>729</v>
      </c>
      <c r="E35" s="1545">
        <v>3465401</v>
      </c>
      <c r="F35" s="31" t="s">
        <v>209</v>
      </c>
      <c r="G35" s="31">
        <v>1</v>
      </c>
      <c r="H35" s="1511"/>
      <c r="I35" s="1541"/>
      <c r="J35" s="1151"/>
      <c r="K35" s="1544">
        <v>21900000</v>
      </c>
      <c r="L35"/>
      <c r="M35"/>
      <c r="N35"/>
      <c r="O35"/>
    </row>
    <row r="36" spans="2:15" ht="15">
      <c r="B36" s="1417"/>
      <c r="C36" s="2428"/>
      <c r="D36" s="2429" t="s">
        <v>568</v>
      </c>
      <c r="E36" s="1545">
        <v>62173</v>
      </c>
      <c r="F36" s="31" t="s">
        <v>209</v>
      </c>
      <c r="G36" s="31">
        <v>1</v>
      </c>
      <c r="H36" s="1511"/>
      <c r="I36" s="1541"/>
      <c r="J36" s="1151"/>
      <c r="K36" s="1544">
        <v>516000</v>
      </c>
      <c r="L36"/>
      <c r="M36"/>
      <c r="N36"/>
      <c r="O36"/>
    </row>
    <row r="37" spans="2:15" ht="15">
      <c r="B37" s="1417"/>
      <c r="C37" s="2428"/>
      <c r="D37" s="2429"/>
      <c r="E37" s="1545">
        <v>62199</v>
      </c>
      <c r="F37" s="31" t="s">
        <v>209</v>
      </c>
      <c r="G37" s="31">
        <v>1</v>
      </c>
      <c r="H37" s="1511"/>
      <c r="I37" s="1541"/>
      <c r="J37" s="1151"/>
      <c r="K37" s="1544">
        <v>363690000</v>
      </c>
      <c r="L37"/>
      <c r="M37"/>
      <c r="N37"/>
      <c r="O37"/>
    </row>
    <row r="38" spans="2:15" ht="15">
      <c r="B38" s="1417"/>
      <c r="C38" s="2428"/>
      <c r="D38" s="2429"/>
      <c r="E38" s="1545">
        <v>67990</v>
      </c>
      <c r="F38" s="31" t="s">
        <v>209</v>
      </c>
      <c r="G38" s="31">
        <v>1</v>
      </c>
      <c r="H38" s="1511"/>
      <c r="I38" s="1541"/>
      <c r="J38" s="1151"/>
      <c r="K38" s="1544">
        <v>9000000</v>
      </c>
      <c r="L38"/>
      <c r="M38"/>
      <c r="N38"/>
      <c r="O38"/>
    </row>
    <row r="39" spans="2:15" ht="15">
      <c r="B39" s="1417"/>
      <c r="C39" s="2428"/>
      <c r="D39" s="2429"/>
      <c r="E39" s="1545">
        <v>62129</v>
      </c>
      <c r="F39" s="31" t="s">
        <v>209</v>
      </c>
      <c r="G39" s="31">
        <v>1</v>
      </c>
      <c r="H39" s="1511"/>
      <c r="I39" s="1541"/>
      <c r="J39" s="1151"/>
      <c r="K39" s="1544">
        <v>24120000</v>
      </c>
      <c r="L39"/>
      <c r="M39"/>
      <c r="N39"/>
      <c r="O39"/>
    </row>
    <row r="40" spans="2:15" ht="15">
      <c r="B40" s="1417"/>
      <c r="C40" s="2428"/>
      <c r="D40" s="2429"/>
      <c r="E40" s="1545">
        <v>62165</v>
      </c>
      <c r="F40" s="31" t="s">
        <v>209</v>
      </c>
      <c r="G40" s="31">
        <v>1</v>
      </c>
      <c r="H40" s="1511"/>
      <c r="I40" s="1541"/>
      <c r="J40" s="1151"/>
      <c r="K40" s="1544">
        <v>31700000</v>
      </c>
      <c r="L40"/>
      <c r="M40"/>
      <c r="N40"/>
      <c r="O40"/>
    </row>
    <row r="41" spans="2:15" ht="15">
      <c r="B41" s="1417"/>
      <c r="C41" s="2428"/>
      <c r="D41" s="811" t="s">
        <v>557</v>
      </c>
      <c r="E41" s="1545" t="s">
        <v>1186</v>
      </c>
      <c r="F41" s="31" t="s">
        <v>209</v>
      </c>
      <c r="G41" s="31">
        <v>1</v>
      </c>
      <c r="H41" s="1511"/>
      <c r="I41" s="1541"/>
      <c r="J41" s="1151"/>
      <c r="K41" s="1544">
        <v>63072000</v>
      </c>
      <c r="L41"/>
      <c r="M41"/>
      <c r="N41"/>
      <c r="O41"/>
    </row>
    <row r="42" spans="2:15" ht="15">
      <c r="B42" s="1417"/>
      <c r="C42" s="2428"/>
      <c r="D42" s="811" t="s">
        <v>1201</v>
      </c>
      <c r="E42" s="315">
        <v>4419899</v>
      </c>
      <c r="F42" s="31" t="s">
        <v>209</v>
      </c>
      <c r="G42" s="31">
        <v>1</v>
      </c>
      <c r="H42" s="1511"/>
      <c r="I42" s="1541"/>
      <c r="J42" s="1151"/>
      <c r="K42" s="1544">
        <v>24000</v>
      </c>
      <c r="L42"/>
      <c r="M42"/>
      <c r="N42"/>
      <c r="O42"/>
    </row>
    <row r="43" spans="2:15" ht="15">
      <c r="B43" s="1417"/>
      <c r="C43" s="2428"/>
      <c r="D43" s="811" t="s">
        <v>934</v>
      </c>
      <c r="E43" s="315">
        <v>2732099</v>
      </c>
      <c r="F43" s="31" t="s">
        <v>209</v>
      </c>
      <c r="G43" s="31">
        <v>1</v>
      </c>
      <c r="H43" s="1511"/>
      <c r="I43" s="1541"/>
      <c r="J43" s="1151"/>
      <c r="K43" s="1544">
        <v>840000</v>
      </c>
      <c r="L43"/>
      <c r="M43"/>
      <c r="N43"/>
      <c r="O43"/>
    </row>
    <row r="44" spans="2:15" ht="15">
      <c r="B44" s="1417"/>
      <c r="C44" s="2428"/>
      <c r="D44" s="2429" t="s">
        <v>1199</v>
      </c>
      <c r="E44" s="315">
        <v>1611003</v>
      </c>
      <c r="F44" s="31" t="s">
        <v>209</v>
      </c>
      <c r="G44" s="31">
        <v>1</v>
      </c>
      <c r="H44" s="1511"/>
      <c r="I44" s="1541"/>
      <c r="J44" s="1151"/>
      <c r="K44" s="1544">
        <v>18921600</v>
      </c>
      <c r="L44"/>
      <c r="M44"/>
      <c r="N44"/>
      <c r="O44"/>
    </row>
    <row r="45" spans="2:15" ht="15">
      <c r="B45" s="1417"/>
      <c r="C45" s="2428"/>
      <c r="D45" s="2429"/>
      <c r="E45" s="315">
        <v>1633001</v>
      </c>
      <c r="F45" s="31" t="s">
        <v>209</v>
      </c>
      <c r="G45" s="31">
        <v>1</v>
      </c>
      <c r="H45" s="1511"/>
      <c r="I45" s="1541"/>
      <c r="J45" s="1151"/>
      <c r="K45" s="1544">
        <v>9636000</v>
      </c>
      <c r="L45"/>
      <c r="M45"/>
      <c r="N45"/>
      <c r="O45"/>
    </row>
    <row r="46" spans="2:15" ht="15">
      <c r="B46" s="1417"/>
      <c r="C46" s="1551" t="s">
        <v>1187</v>
      </c>
      <c r="D46" s="810" t="s">
        <v>1116</v>
      </c>
      <c r="E46" s="810">
        <v>67990</v>
      </c>
      <c r="F46" s="31" t="s">
        <v>209</v>
      </c>
      <c r="G46" s="31">
        <v>1</v>
      </c>
      <c r="H46" s="1511"/>
      <c r="I46" s="1541"/>
      <c r="J46" s="1151"/>
      <c r="K46" s="1544">
        <f>101059126+11666667</f>
        <v>112725793</v>
      </c>
      <c r="L46"/>
      <c r="M46"/>
      <c r="N46"/>
      <c r="O46"/>
    </row>
    <row r="47" spans="2:15" ht="25.5">
      <c r="B47" s="1417"/>
      <c r="C47" s="1551" t="s">
        <v>1188</v>
      </c>
      <c r="D47" s="810" t="s">
        <v>235</v>
      </c>
      <c r="E47" s="810">
        <v>81136</v>
      </c>
      <c r="F47" s="31" t="s">
        <v>209</v>
      </c>
      <c r="G47" s="31">
        <v>1</v>
      </c>
      <c r="H47" s="1511"/>
      <c r="I47" s="1541"/>
      <c r="J47" s="1151"/>
      <c r="K47" s="1544">
        <v>64900000</v>
      </c>
      <c r="L47"/>
      <c r="M47"/>
      <c r="N47"/>
      <c r="O47"/>
    </row>
    <row r="48" spans="2:15" ht="15">
      <c r="B48" s="1417"/>
      <c r="C48" s="1551" t="s">
        <v>1189</v>
      </c>
      <c r="D48" s="810" t="s">
        <v>591</v>
      </c>
      <c r="E48" s="810">
        <v>92913</v>
      </c>
      <c r="F48" s="31" t="s">
        <v>209</v>
      </c>
      <c r="G48" s="31">
        <v>1</v>
      </c>
      <c r="H48" s="1511"/>
      <c r="I48" s="1541"/>
      <c r="J48" s="1151"/>
      <c r="K48" s="1544">
        <v>41200000</v>
      </c>
      <c r="L48"/>
      <c r="M48"/>
      <c r="N48"/>
      <c r="O48"/>
    </row>
    <row r="49" spans="1:15" ht="25.5" customHeight="1">
      <c r="B49" s="1417"/>
      <c r="C49" s="2428" t="s">
        <v>1190</v>
      </c>
      <c r="D49" s="810" t="s">
        <v>568</v>
      </c>
      <c r="E49" s="1545">
        <v>63391</v>
      </c>
      <c r="F49" s="31" t="s">
        <v>209</v>
      </c>
      <c r="G49" s="31">
        <v>1</v>
      </c>
      <c r="H49" s="1511"/>
      <c r="I49" s="1541"/>
      <c r="J49" s="1151"/>
      <c r="K49" s="1544">
        <v>8030050</v>
      </c>
      <c r="L49"/>
      <c r="M49"/>
      <c r="N49"/>
      <c r="O49"/>
    </row>
    <row r="50" spans="1:15" ht="21" customHeight="1">
      <c r="B50" s="1417"/>
      <c r="C50" s="2428"/>
      <c r="D50" s="810" t="s">
        <v>235</v>
      </c>
      <c r="E50" s="810">
        <v>8363102</v>
      </c>
      <c r="F50" s="31" t="s">
        <v>209</v>
      </c>
      <c r="G50" s="31">
        <v>1</v>
      </c>
      <c r="H50" s="1511"/>
      <c r="I50" s="1541"/>
      <c r="J50" s="1151"/>
      <c r="K50" s="1544">
        <v>800000</v>
      </c>
      <c r="L50"/>
      <c r="M50"/>
      <c r="N50"/>
      <c r="O50"/>
    </row>
    <row r="51" spans="1:15" ht="15">
      <c r="B51" s="1417"/>
      <c r="C51" s="2428"/>
      <c r="D51" s="2429" t="s">
        <v>729</v>
      </c>
      <c r="E51" s="1545">
        <v>3229101</v>
      </c>
      <c r="F51" s="31" t="s">
        <v>209</v>
      </c>
      <c r="G51" s="31">
        <v>1</v>
      </c>
      <c r="H51" s="1511"/>
      <c r="I51" s="1541"/>
      <c r="J51" s="1151"/>
      <c r="K51" s="1544">
        <v>11543000</v>
      </c>
      <c r="L51"/>
      <c r="M51"/>
      <c r="N51"/>
      <c r="O51"/>
    </row>
    <row r="52" spans="1:15" ht="15.75" thickBot="1">
      <c r="B52" s="1417"/>
      <c r="C52" s="2428"/>
      <c r="D52" s="2439"/>
      <c r="E52" s="1545">
        <v>3262002</v>
      </c>
      <c r="F52" s="31" t="s">
        <v>209</v>
      </c>
      <c r="G52" s="31">
        <v>1</v>
      </c>
      <c r="H52" s="1511"/>
      <c r="I52" s="1541"/>
      <c r="J52" s="1151"/>
      <c r="K52" s="1544">
        <v>850850</v>
      </c>
      <c r="L52"/>
      <c r="M52"/>
      <c r="N52"/>
      <c r="O52"/>
    </row>
    <row r="53" spans="1:15" ht="26.25" thickBot="1">
      <c r="A53" s="1139">
        <v>102</v>
      </c>
      <c r="B53" s="1416"/>
      <c r="C53" s="370" t="s">
        <v>239</v>
      </c>
      <c r="D53" s="626"/>
      <c r="E53" s="626"/>
      <c r="F53" s="438" t="s">
        <v>317</v>
      </c>
      <c r="G53" s="438">
        <v>1</v>
      </c>
      <c r="H53" s="438"/>
      <c r="I53" s="1146">
        <f>+I54+I56</f>
        <v>120251388</v>
      </c>
      <c r="J53" s="1154">
        <f>+J54+J57</f>
        <v>120251388</v>
      </c>
      <c r="K53" s="1154">
        <v>0</v>
      </c>
      <c r="L53"/>
      <c r="M53"/>
      <c r="N53"/>
      <c r="O53"/>
    </row>
    <row r="54" spans="1:15" ht="38.25">
      <c r="A54" s="1139"/>
      <c r="B54" s="1416" t="s">
        <v>1017</v>
      </c>
      <c r="C54" s="627" t="s">
        <v>247</v>
      </c>
      <c r="D54" s="623"/>
      <c r="E54" s="623"/>
      <c r="F54" s="624" t="s">
        <v>317</v>
      </c>
      <c r="G54" s="624">
        <v>1</v>
      </c>
      <c r="H54" s="624"/>
      <c r="I54" s="1147">
        <f>SUM(I55)</f>
        <v>11637125</v>
      </c>
      <c r="J54" s="1155">
        <f>SUM(J55)</f>
        <v>11637125</v>
      </c>
      <c r="K54" s="1155"/>
      <c r="L54"/>
      <c r="M54"/>
      <c r="N54"/>
      <c r="O54"/>
    </row>
    <row r="55" spans="1:15" s="507" customFormat="1" ht="25.5">
      <c r="B55" s="1418"/>
      <c r="C55" s="567" t="s">
        <v>445</v>
      </c>
      <c r="D55" s="27" t="s">
        <v>568</v>
      </c>
      <c r="E55" s="27" t="s">
        <v>602</v>
      </c>
      <c r="F55" s="31"/>
      <c r="G55" s="31"/>
      <c r="H55" s="31"/>
      <c r="I55" s="1143">
        <f>10000000+1637125</f>
        <v>11637125</v>
      </c>
      <c r="J55" s="1151">
        <f>+I55</f>
        <v>11637125</v>
      </c>
      <c r="K55" s="1151"/>
    </row>
    <row r="56" spans="1:15" s="507" customFormat="1">
      <c r="A56" s="1139"/>
      <c r="B56" s="1416" t="s">
        <v>1018</v>
      </c>
      <c r="C56" s="1302" t="s">
        <v>660</v>
      </c>
      <c r="D56" s="171"/>
      <c r="E56" s="171"/>
      <c r="F56" s="174" t="s">
        <v>317</v>
      </c>
      <c r="G56" s="171">
        <v>1</v>
      </c>
      <c r="H56" s="171"/>
      <c r="I56" s="1304">
        <f>+I57</f>
        <v>108614263</v>
      </c>
      <c r="J56" s="1305">
        <f>+J57</f>
        <v>108614263</v>
      </c>
      <c r="K56" s="1305"/>
    </row>
    <row r="57" spans="1:15" ht="13.5" thickBot="1">
      <c r="B57" s="1417"/>
      <c r="C57" s="172" t="s">
        <v>227</v>
      </c>
      <c r="D57" s="177" t="s">
        <v>603</v>
      </c>
      <c r="E57" s="177"/>
      <c r="F57" s="874" t="s">
        <v>317</v>
      </c>
      <c r="G57" s="874">
        <v>1</v>
      </c>
      <c r="H57" s="874"/>
      <c r="I57" s="874">
        <f>98794263+9820000</f>
        <v>108614263</v>
      </c>
      <c r="J57" s="1156">
        <f>+I57</f>
        <v>108614263</v>
      </c>
      <c r="K57" s="1156"/>
    </row>
    <row r="58" spans="1:15" ht="15.75" customHeight="1" thickBot="1">
      <c r="B58" s="1417"/>
      <c r="C58" s="2415" t="s">
        <v>10</v>
      </c>
      <c r="D58" s="2416"/>
      <c r="E58" s="2416"/>
      <c r="F58" s="2416"/>
      <c r="G58" s="2417"/>
      <c r="H58" s="1046"/>
      <c r="I58" s="1148">
        <f>+I10+I53</f>
        <v>251598326.57600001</v>
      </c>
      <c r="J58" s="1157">
        <f>+J10+J53</f>
        <v>251598326.57600001</v>
      </c>
      <c r="K58" s="1157">
        <f>+K31</f>
        <v>1990348117</v>
      </c>
    </row>
    <row r="59" spans="1:15" ht="13.5" thickBot="1">
      <c r="I59" s="346"/>
      <c r="J59" s="346"/>
      <c r="K59" s="346"/>
    </row>
    <row r="60" spans="1:15" s="507" customFormat="1" ht="13.5" thickBot="1">
      <c r="C60" s="345"/>
      <c r="D60" s="345"/>
      <c r="E60" s="345"/>
      <c r="F60" s="345"/>
      <c r="G60" s="345"/>
      <c r="H60" s="345"/>
      <c r="I60" s="592">
        <v>251598327</v>
      </c>
      <c r="J60" s="592">
        <v>251598327</v>
      </c>
      <c r="K60" s="592">
        <f>1677802626+247020000+65525491</f>
        <v>1990348117</v>
      </c>
    </row>
    <row r="62" spans="1:15">
      <c r="I62" s="554"/>
      <c r="J62" s="554">
        <f>+J60-J58</f>
        <v>0.42399999499320984</v>
      </c>
      <c r="K62" s="554">
        <f>+K60-K58</f>
        <v>0</v>
      </c>
    </row>
    <row r="64" spans="1:15">
      <c r="C64" s="1488"/>
      <c r="E64" s="1488"/>
      <c r="K64" s="1512">
        <f>+J60+K60</f>
        <v>2241946444</v>
      </c>
    </row>
    <row r="67" spans="6:9">
      <c r="F67" s="1513"/>
      <c r="I67" s="554"/>
    </row>
    <row r="129" spans="11:11">
      <c r="K129" s="345">
        <v>125</v>
      </c>
    </row>
    <row r="130" spans="11:11">
      <c r="K130" s="345">
        <v>126</v>
      </c>
    </row>
    <row r="131" spans="11:11">
      <c r="K131" s="345">
        <v>127</v>
      </c>
    </row>
    <row r="132" spans="11:11">
      <c r="K132" s="345">
        <v>128</v>
      </c>
    </row>
    <row r="133" spans="11:11">
      <c r="K133" s="345">
        <v>129</v>
      </c>
    </row>
    <row r="134" spans="11:11">
      <c r="K134" s="345">
        <v>130</v>
      </c>
    </row>
    <row r="135" spans="11:11">
      <c r="K135" s="345">
        <v>131</v>
      </c>
    </row>
    <row r="136" spans="11:11">
      <c r="K136" s="345">
        <v>132</v>
      </c>
    </row>
    <row r="137" spans="11:11">
      <c r="K137" s="345">
        <v>133</v>
      </c>
    </row>
    <row r="138" spans="11:11">
      <c r="K138" s="345">
        <v>134</v>
      </c>
    </row>
    <row r="139" spans="11:11">
      <c r="K139" s="345">
        <v>135</v>
      </c>
    </row>
    <row r="140" spans="11:11">
      <c r="K140" s="345">
        <v>136</v>
      </c>
    </row>
    <row r="141" spans="11:11">
      <c r="K141" s="345">
        <v>137</v>
      </c>
    </row>
    <row r="142" spans="11:11">
      <c r="K142" s="345">
        <v>138</v>
      </c>
    </row>
    <row r="143" spans="11:11">
      <c r="K143" s="345">
        <v>139</v>
      </c>
    </row>
    <row r="144" spans="11:11">
      <c r="K144" s="345">
        <v>140</v>
      </c>
    </row>
    <row r="145" spans="11:11">
      <c r="K145" s="345">
        <v>141</v>
      </c>
    </row>
    <row r="146" spans="11:11">
      <c r="K146" s="345">
        <v>142</v>
      </c>
    </row>
    <row r="147" spans="11:11">
      <c r="K147" s="345">
        <v>143</v>
      </c>
    </row>
    <row r="148" spans="11:11">
      <c r="K148" s="345">
        <v>144</v>
      </c>
    </row>
    <row r="149" spans="11:11">
      <c r="K149" s="345">
        <v>145</v>
      </c>
    </row>
    <row r="150" spans="11:11">
      <c r="K150" s="345">
        <v>146</v>
      </c>
    </row>
    <row r="151" spans="11:11">
      <c r="K151" s="345">
        <v>147</v>
      </c>
    </row>
    <row r="152" spans="11:11">
      <c r="K152" s="345">
        <v>148</v>
      </c>
    </row>
    <row r="153" spans="11:11">
      <c r="K153" s="345">
        <v>149</v>
      </c>
    </row>
    <row r="154" spans="11:11">
      <c r="K154" s="345">
        <v>150</v>
      </c>
    </row>
    <row r="155" spans="11:11">
      <c r="K155" s="345">
        <v>151</v>
      </c>
    </row>
    <row r="156" spans="11:11">
      <c r="K156" s="345">
        <v>152</v>
      </c>
    </row>
    <row r="157" spans="11:11">
      <c r="K157" s="345">
        <v>153</v>
      </c>
    </row>
    <row r="158" spans="11:11">
      <c r="K158" s="345">
        <v>154</v>
      </c>
    </row>
    <row r="159" spans="11:11">
      <c r="K159" s="345">
        <v>155</v>
      </c>
    </row>
    <row r="160" spans="11:11">
      <c r="K160" s="345">
        <v>156</v>
      </c>
    </row>
    <row r="161" spans="11:11">
      <c r="K161" s="345">
        <v>157</v>
      </c>
    </row>
    <row r="162" spans="11:11">
      <c r="K162" s="345">
        <v>158</v>
      </c>
    </row>
    <row r="163" spans="11:11">
      <c r="K163" s="345">
        <v>159</v>
      </c>
    </row>
    <row r="164" spans="11:11">
      <c r="K164" s="345">
        <v>160</v>
      </c>
    </row>
    <row r="165" spans="11:11">
      <c r="K165" s="345">
        <v>161</v>
      </c>
    </row>
    <row r="166" spans="11:11">
      <c r="K166" s="345">
        <v>162</v>
      </c>
    </row>
    <row r="167" spans="11:11">
      <c r="K167" s="345">
        <v>163</v>
      </c>
    </row>
    <row r="168" spans="11:11">
      <c r="K168" s="345">
        <v>164</v>
      </c>
    </row>
    <row r="169" spans="11:11">
      <c r="K169" s="345">
        <v>165</v>
      </c>
    </row>
    <row r="170" spans="11:11">
      <c r="K170" s="345">
        <v>166</v>
      </c>
    </row>
    <row r="171" spans="11:11">
      <c r="K171" s="345">
        <v>167</v>
      </c>
    </row>
    <row r="172" spans="11:11">
      <c r="K172" s="345">
        <v>168</v>
      </c>
    </row>
    <row r="173" spans="11:11">
      <c r="K173" s="345">
        <v>169</v>
      </c>
    </row>
    <row r="174" spans="11:11">
      <c r="K174" s="345">
        <v>170</v>
      </c>
    </row>
    <row r="175" spans="11:11">
      <c r="K175" s="345">
        <v>171</v>
      </c>
    </row>
    <row r="176" spans="11:11">
      <c r="K176" s="345">
        <v>172</v>
      </c>
    </row>
    <row r="177" spans="11:11">
      <c r="K177" s="345">
        <v>173</v>
      </c>
    </row>
    <row r="178" spans="11:11">
      <c r="K178" s="345">
        <v>174</v>
      </c>
    </row>
    <row r="179" spans="11:11">
      <c r="K179" s="345">
        <v>175</v>
      </c>
    </row>
    <row r="180" spans="11:11">
      <c r="K180" s="345">
        <v>176</v>
      </c>
    </row>
    <row r="181" spans="11:11">
      <c r="K181" s="345">
        <v>177</v>
      </c>
    </row>
    <row r="182" spans="11:11">
      <c r="K182" s="345">
        <v>178</v>
      </c>
    </row>
    <row r="183" spans="11:11">
      <c r="K183" s="345">
        <v>179</v>
      </c>
    </row>
    <row r="184" spans="11:11">
      <c r="K184" s="345">
        <v>180</v>
      </c>
    </row>
    <row r="185" spans="11:11">
      <c r="K185" s="345">
        <v>181</v>
      </c>
    </row>
    <row r="186" spans="11:11">
      <c r="K186" s="345">
        <v>182</v>
      </c>
    </row>
    <row r="187" spans="11:11">
      <c r="K187" s="345">
        <v>183</v>
      </c>
    </row>
    <row r="188" spans="11:11">
      <c r="K188" s="345">
        <v>184</v>
      </c>
    </row>
    <row r="189" spans="11:11">
      <c r="K189" s="345">
        <v>185</v>
      </c>
    </row>
    <row r="190" spans="11:11">
      <c r="K190" s="345">
        <v>186</v>
      </c>
    </row>
    <row r="191" spans="11:11">
      <c r="K191" s="345">
        <v>187</v>
      </c>
    </row>
    <row r="192" spans="11:11">
      <c r="K192" s="345">
        <v>188</v>
      </c>
    </row>
    <row r="193" spans="11:11">
      <c r="K193" s="345">
        <v>189</v>
      </c>
    </row>
    <row r="194" spans="11:11">
      <c r="K194" s="345">
        <v>190</v>
      </c>
    </row>
    <row r="195" spans="11:11">
      <c r="K195" s="345">
        <v>191</v>
      </c>
    </row>
    <row r="196" spans="11:11">
      <c r="K196" s="345">
        <v>192</v>
      </c>
    </row>
    <row r="197" spans="11:11">
      <c r="K197" s="345">
        <v>193</v>
      </c>
    </row>
    <row r="198" spans="11:11">
      <c r="K198" s="345">
        <v>194</v>
      </c>
    </row>
    <row r="199" spans="11:11">
      <c r="K199" s="345">
        <v>195</v>
      </c>
    </row>
    <row r="200" spans="11:11">
      <c r="K200" s="345">
        <v>196</v>
      </c>
    </row>
    <row r="201" spans="11:11">
      <c r="K201" s="345">
        <v>197</v>
      </c>
    </row>
    <row r="202" spans="11:11">
      <c r="K202" s="345">
        <v>198</v>
      </c>
    </row>
    <row r="203" spans="11:11">
      <c r="K203" s="345">
        <v>199</v>
      </c>
    </row>
    <row r="204" spans="11:11">
      <c r="K204" s="345">
        <v>200</v>
      </c>
    </row>
    <row r="205" spans="11:11">
      <c r="K205" s="345">
        <v>201</v>
      </c>
    </row>
    <row r="206" spans="11:11">
      <c r="K206" s="345">
        <v>202</v>
      </c>
    </row>
    <row r="207" spans="11:11">
      <c r="K207" s="345">
        <v>203</v>
      </c>
    </row>
    <row r="208" spans="11:11">
      <c r="K208" s="345">
        <v>204</v>
      </c>
    </row>
    <row r="209" spans="11:11">
      <c r="K209" s="345">
        <v>205</v>
      </c>
    </row>
    <row r="210" spans="11:11">
      <c r="K210" s="345">
        <v>206</v>
      </c>
    </row>
    <row r="211" spans="11:11">
      <c r="K211" s="345">
        <v>207</v>
      </c>
    </row>
    <row r="212" spans="11:11">
      <c r="K212" s="345">
        <v>208</v>
      </c>
    </row>
    <row r="213" spans="11:11">
      <c r="K213" s="345">
        <v>209</v>
      </c>
    </row>
    <row r="214" spans="11:11">
      <c r="K214" s="345">
        <v>210</v>
      </c>
    </row>
    <row r="215" spans="11:11">
      <c r="K215" s="345">
        <v>211</v>
      </c>
    </row>
    <row r="216" spans="11:11">
      <c r="K216" s="345">
        <v>212</v>
      </c>
    </row>
    <row r="217" spans="11:11">
      <c r="K217" s="345">
        <v>213</v>
      </c>
    </row>
    <row r="218" spans="11:11">
      <c r="K218" s="345">
        <v>214</v>
      </c>
    </row>
    <row r="219" spans="11:11">
      <c r="K219" s="345">
        <v>215</v>
      </c>
    </row>
    <row r="220" spans="11:11">
      <c r="K220" s="345">
        <v>216</v>
      </c>
    </row>
    <row r="221" spans="11:11">
      <c r="K221" s="345">
        <v>217</v>
      </c>
    </row>
    <row r="222" spans="11:11">
      <c r="K222" s="345">
        <v>218</v>
      </c>
    </row>
    <row r="223" spans="11:11">
      <c r="K223" s="345">
        <v>219</v>
      </c>
    </row>
    <row r="224" spans="11:11">
      <c r="K224" s="345">
        <v>220</v>
      </c>
    </row>
    <row r="225" spans="11:11">
      <c r="K225" s="345">
        <v>221</v>
      </c>
    </row>
    <row r="226" spans="11:11">
      <c r="K226" s="345">
        <v>222</v>
      </c>
    </row>
    <row r="227" spans="11:11">
      <c r="K227" s="345">
        <v>223</v>
      </c>
    </row>
    <row r="228" spans="11:11">
      <c r="K228" s="345">
        <v>224</v>
      </c>
    </row>
    <row r="229" spans="11:11">
      <c r="K229" s="345">
        <v>225</v>
      </c>
    </row>
    <row r="230" spans="11:11">
      <c r="K230" s="345">
        <v>226</v>
      </c>
    </row>
    <row r="231" spans="11:11">
      <c r="K231" s="345">
        <v>227</v>
      </c>
    </row>
    <row r="232" spans="11:11">
      <c r="K232" s="345">
        <v>228</v>
      </c>
    </row>
    <row r="233" spans="11:11">
      <c r="K233" s="345">
        <v>229</v>
      </c>
    </row>
    <row r="234" spans="11:11">
      <c r="K234" s="345">
        <v>230</v>
      </c>
    </row>
    <row r="235" spans="11:11">
      <c r="K235" s="345">
        <v>231</v>
      </c>
    </row>
    <row r="236" spans="11:11">
      <c r="K236" s="345">
        <v>232</v>
      </c>
    </row>
    <row r="237" spans="11:11">
      <c r="K237" s="345">
        <v>233</v>
      </c>
    </row>
    <row r="238" spans="11:11">
      <c r="K238" s="345">
        <v>234</v>
      </c>
    </row>
    <row r="239" spans="11:11">
      <c r="K239" s="345">
        <v>235</v>
      </c>
    </row>
    <row r="240" spans="11:11">
      <c r="K240" s="345">
        <v>236</v>
      </c>
    </row>
    <row r="241" spans="11:11">
      <c r="K241" s="345">
        <v>237</v>
      </c>
    </row>
    <row r="242" spans="11:11">
      <c r="K242" s="345">
        <v>238</v>
      </c>
    </row>
    <row r="243" spans="11:11">
      <c r="K243" s="345">
        <v>239</v>
      </c>
    </row>
    <row r="244" spans="11:11">
      <c r="K244" s="345">
        <v>240</v>
      </c>
    </row>
    <row r="245" spans="11:11">
      <c r="K245" s="345">
        <v>241</v>
      </c>
    </row>
    <row r="246" spans="11:11">
      <c r="K246" s="345">
        <v>242</v>
      </c>
    </row>
    <row r="247" spans="11:11">
      <c r="K247" s="345">
        <v>243</v>
      </c>
    </row>
    <row r="248" spans="11:11">
      <c r="K248" s="345">
        <v>244</v>
      </c>
    </row>
    <row r="249" spans="11:11">
      <c r="K249" s="345">
        <v>245</v>
      </c>
    </row>
    <row r="250" spans="11:11">
      <c r="K250" s="345">
        <v>246</v>
      </c>
    </row>
    <row r="251" spans="11:11">
      <c r="K251" s="345">
        <v>247</v>
      </c>
    </row>
    <row r="252" spans="11:11">
      <c r="K252" s="345">
        <v>248</v>
      </c>
    </row>
    <row r="253" spans="11:11">
      <c r="K253" s="345">
        <v>249</v>
      </c>
    </row>
    <row r="254" spans="11:11">
      <c r="K254" s="345">
        <v>250</v>
      </c>
    </row>
    <row r="255" spans="11:11">
      <c r="K255" s="345">
        <v>251</v>
      </c>
    </row>
    <row r="256" spans="11:11">
      <c r="K256" s="345">
        <v>252</v>
      </c>
    </row>
    <row r="257" spans="11:11">
      <c r="K257" s="345">
        <v>253</v>
      </c>
    </row>
    <row r="258" spans="11:11">
      <c r="K258" s="345">
        <v>254</v>
      </c>
    </row>
    <row r="259" spans="11:11">
      <c r="K259" s="345">
        <v>255</v>
      </c>
    </row>
    <row r="260" spans="11:11">
      <c r="K260" s="345">
        <v>256</v>
      </c>
    </row>
    <row r="261" spans="11:11">
      <c r="K261" s="345">
        <v>257</v>
      </c>
    </row>
    <row r="262" spans="11:11">
      <c r="K262" s="345">
        <v>258</v>
      </c>
    </row>
    <row r="263" spans="11:11">
      <c r="K263" s="345">
        <v>259</v>
      </c>
    </row>
    <row r="264" spans="11:11">
      <c r="K264" s="345">
        <v>260</v>
      </c>
    </row>
    <row r="265" spans="11:11">
      <c r="K265" s="345">
        <v>261</v>
      </c>
    </row>
    <row r="266" spans="11:11">
      <c r="K266" s="345">
        <v>262</v>
      </c>
    </row>
    <row r="267" spans="11:11">
      <c r="K267" s="345">
        <v>263</v>
      </c>
    </row>
    <row r="268" spans="11:11">
      <c r="K268" s="345">
        <v>264</v>
      </c>
    </row>
    <row r="269" spans="11:11">
      <c r="K269" s="345">
        <v>265</v>
      </c>
    </row>
    <row r="270" spans="11:11">
      <c r="K270" s="345">
        <v>266</v>
      </c>
    </row>
    <row r="271" spans="11:11">
      <c r="K271" s="345">
        <v>267</v>
      </c>
    </row>
    <row r="272" spans="11:11">
      <c r="K272" s="345">
        <v>268</v>
      </c>
    </row>
    <row r="273" spans="11:11">
      <c r="K273" s="345">
        <v>269</v>
      </c>
    </row>
    <row r="274" spans="11:11">
      <c r="K274" s="345">
        <v>270</v>
      </c>
    </row>
    <row r="275" spans="11:11">
      <c r="K275" s="345">
        <v>271</v>
      </c>
    </row>
    <row r="276" spans="11:11">
      <c r="K276" s="345">
        <v>272</v>
      </c>
    </row>
    <row r="277" spans="11:11">
      <c r="K277" s="345">
        <v>273</v>
      </c>
    </row>
    <row r="278" spans="11:11">
      <c r="K278" s="345">
        <v>274</v>
      </c>
    </row>
    <row r="279" spans="11:11">
      <c r="K279" s="345">
        <v>275</v>
      </c>
    </row>
    <row r="280" spans="11:11">
      <c r="K280" s="345">
        <v>276</v>
      </c>
    </row>
    <row r="281" spans="11:11">
      <c r="K281" s="345">
        <v>277</v>
      </c>
    </row>
    <row r="282" spans="11:11">
      <c r="K282" s="345">
        <v>278</v>
      </c>
    </row>
    <row r="283" spans="11:11">
      <c r="K283" s="345">
        <v>279</v>
      </c>
    </row>
    <row r="284" spans="11:11">
      <c r="K284" s="345">
        <v>280</v>
      </c>
    </row>
    <row r="285" spans="11:11">
      <c r="K285" s="345">
        <v>281</v>
      </c>
    </row>
    <row r="286" spans="11:11">
      <c r="K286" s="345">
        <v>282</v>
      </c>
    </row>
    <row r="287" spans="11:11">
      <c r="K287" s="345">
        <v>283</v>
      </c>
    </row>
    <row r="288" spans="11:11">
      <c r="K288" s="345">
        <v>284</v>
      </c>
    </row>
    <row r="289" spans="11:11">
      <c r="K289" s="345">
        <v>285</v>
      </c>
    </row>
    <row r="290" spans="11:11">
      <c r="K290" s="345">
        <v>286</v>
      </c>
    </row>
    <row r="291" spans="11:11">
      <c r="K291" s="345">
        <v>287</v>
      </c>
    </row>
    <row r="292" spans="11:11">
      <c r="K292" s="345">
        <v>288</v>
      </c>
    </row>
    <row r="293" spans="11:11">
      <c r="K293" s="345">
        <v>289</v>
      </c>
    </row>
    <row r="294" spans="11:11">
      <c r="K294" s="345">
        <v>290</v>
      </c>
    </row>
    <row r="295" spans="11:11">
      <c r="K295" s="345">
        <v>291</v>
      </c>
    </row>
    <row r="296" spans="11:11">
      <c r="K296" s="345">
        <v>292</v>
      </c>
    </row>
    <row r="297" spans="11:11">
      <c r="K297" s="345">
        <v>293</v>
      </c>
    </row>
    <row r="298" spans="11:11">
      <c r="K298" s="345">
        <v>294</v>
      </c>
    </row>
    <row r="299" spans="11:11">
      <c r="K299" s="345">
        <v>295</v>
      </c>
    </row>
    <row r="300" spans="11:11">
      <c r="K300" s="345">
        <v>296</v>
      </c>
    </row>
    <row r="301" spans="11:11">
      <c r="K301" s="345">
        <v>297</v>
      </c>
    </row>
    <row r="302" spans="11:11">
      <c r="K302" s="345">
        <v>298</v>
      </c>
    </row>
    <row r="303" spans="11:11">
      <c r="K303" s="345">
        <v>299</v>
      </c>
    </row>
    <row r="304" spans="11:11">
      <c r="K304" s="345">
        <v>300</v>
      </c>
    </row>
    <row r="305" spans="11:11">
      <c r="K305" s="345">
        <v>301</v>
      </c>
    </row>
    <row r="306" spans="11:11">
      <c r="K306" s="345">
        <v>302</v>
      </c>
    </row>
    <row r="307" spans="11:11">
      <c r="K307" s="345">
        <v>303</v>
      </c>
    </row>
    <row r="308" spans="11:11">
      <c r="K308" s="345">
        <v>304</v>
      </c>
    </row>
    <row r="309" spans="11:11">
      <c r="K309" s="345">
        <v>305</v>
      </c>
    </row>
    <row r="310" spans="11:11">
      <c r="K310" s="345">
        <v>306</v>
      </c>
    </row>
    <row r="311" spans="11:11">
      <c r="K311" s="345">
        <v>307</v>
      </c>
    </row>
    <row r="312" spans="11:11">
      <c r="K312" s="345">
        <v>308</v>
      </c>
    </row>
    <row r="313" spans="11:11">
      <c r="K313" s="345">
        <v>309</v>
      </c>
    </row>
    <row r="314" spans="11:11">
      <c r="K314" s="345">
        <v>310</v>
      </c>
    </row>
    <row r="315" spans="11:11">
      <c r="K315" s="345">
        <v>311</v>
      </c>
    </row>
    <row r="316" spans="11:11">
      <c r="K316" s="345">
        <v>312</v>
      </c>
    </row>
    <row r="317" spans="11:11">
      <c r="K317" s="345">
        <v>313</v>
      </c>
    </row>
    <row r="318" spans="11:11">
      <c r="K318" s="345">
        <v>314</v>
      </c>
    </row>
    <row r="319" spans="11:11">
      <c r="K319" s="345">
        <v>315</v>
      </c>
    </row>
    <row r="320" spans="11:11">
      <c r="K320" s="345">
        <v>316</v>
      </c>
    </row>
    <row r="321" spans="11:11">
      <c r="K321" s="345">
        <v>317</v>
      </c>
    </row>
    <row r="322" spans="11:11">
      <c r="K322" s="345">
        <v>318</v>
      </c>
    </row>
    <row r="323" spans="11:11">
      <c r="K323" s="345">
        <v>319</v>
      </c>
    </row>
    <row r="324" spans="11:11">
      <c r="K324" s="345">
        <v>320</v>
      </c>
    </row>
    <row r="325" spans="11:11">
      <c r="K325" s="345">
        <v>321</v>
      </c>
    </row>
    <row r="326" spans="11:11">
      <c r="K326" s="345">
        <v>322</v>
      </c>
    </row>
    <row r="327" spans="11:11">
      <c r="K327" s="345">
        <v>323</v>
      </c>
    </row>
    <row r="328" spans="11:11">
      <c r="K328" s="345">
        <v>324</v>
      </c>
    </row>
    <row r="329" spans="11:11">
      <c r="K329" s="345">
        <v>325</v>
      </c>
    </row>
    <row r="330" spans="11:11">
      <c r="K330" s="345">
        <v>326</v>
      </c>
    </row>
    <row r="331" spans="11:11">
      <c r="K331" s="345">
        <v>327</v>
      </c>
    </row>
    <row r="332" spans="11:11">
      <c r="K332" s="345">
        <v>328</v>
      </c>
    </row>
    <row r="333" spans="11:11">
      <c r="K333" s="345">
        <v>329</v>
      </c>
    </row>
    <row r="334" spans="11:11">
      <c r="K334" s="345">
        <v>330</v>
      </c>
    </row>
    <row r="335" spans="11:11">
      <c r="K335" s="345">
        <v>331</v>
      </c>
    </row>
    <row r="336" spans="11:11">
      <c r="K336" s="345">
        <v>332</v>
      </c>
    </row>
    <row r="337" spans="11:11">
      <c r="K337" s="345">
        <v>333</v>
      </c>
    </row>
    <row r="338" spans="11:11">
      <c r="K338" s="345">
        <v>334</v>
      </c>
    </row>
    <row r="339" spans="11:11">
      <c r="K339" s="345">
        <v>335</v>
      </c>
    </row>
    <row r="340" spans="11:11">
      <c r="K340" s="345">
        <v>336</v>
      </c>
    </row>
    <row r="341" spans="11:11">
      <c r="K341" s="345">
        <v>337</v>
      </c>
    </row>
    <row r="342" spans="11:11">
      <c r="K342" s="345">
        <v>338</v>
      </c>
    </row>
    <row r="343" spans="11:11">
      <c r="K343" s="345">
        <v>339</v>
      </c>
    </row>
    <row r="344" spans="11:11">
      <c r="K344" s="345">
        <v>340</v>
      </c>
    </row>
    <row r="345" spans="11:11">
      <c r="K345" s="345">
        <v>341</v>
      </c>
    </row>
    <row r="346" spans="11:11">
      <c r="K346" s="345">
        <v>342</v>
      </c>
    </row>
    <row r="347" spans="11:11">
      <c r="K347" s="345">
        <v>343</v>
      </c>
    </row>
    <row r="348" spans="11:11">
      <c r="K348" s="345">
        <v>344</v>
      </c>
    </row>
    <row r="349" spans="11:11">
      <c r="K349" s="345">
        <v>345</v>
      </c>
    </row>
    <row r="350" spans="11:11">
      <c r="K350" s="345">
        <v>346</v>
      </c>
    </row>
    <row r="351" spans="11:11">
      <c r="K351" s="345">
        <v>347</v>
      </c>
    </row>
    <row r="352" spans="11:11">
      <c r="K352" s="345">
        <v>348</v>
      </c>
    </row>
    <row r="353" spans="11:11">
      <c r="K353" s="345">
        <v>349</v>
      </c>
    </row>
    <row r="354" spans="11:11">
      <c r="K354" s="345">
        <v>350</v>
      </c>
    </row>
    <row r="355" spans="11:11">
      <c r="K355" s="345">
        <v>351</v>
      </c>
    </row>
    <row r="356" spans="11:11">
      <c r="K356" s="345">
        <v>352</v>
      </c>
    </row>
    <row r="357" spans="11:11">
      <c r="K357" s="345">
        <v>353</v>
      </c>
    </row>
    <row r="358" spans="11:11">
      <c r="K358" s="345">
        <v>354</v>
      </c>
    </row>
    <row r="359" spans="11:11">
      <c r="K359" s="345">
        <v>355</v>
      </c>
    </row>
    <row r="360" spans="11:11">
      <c r="K360" s="345">
        <v>356</v>
      </c>
    </row>
    <row r="361" spans="11:11">
      <c r="K361" s="345">
        <v>357</v>
      </c>
    </row>
    <row r="362" spans="11:11">
      <c r="K362" s="345">
        <v>358</v>
      </c>
    </row>
    <row r="363" spans="11:11">
      <c r="K363" s="345">
        <v>359</v>
      </c>
    </row>
    <row r="364" spans="11:11">
      <c r="K364" s="345">
        <v>360</v>
      </c>
    </row>
    <row r="365" spans="11:11">
      <c r="K365" s="345">
        <v>361</v>
      </c>
    </row>
    <row r="366" spans="11:11">
      <c r="K366" s="345">
        <v>362</v>
      </c>
    </row>
    <row r="367" spans="11:11">
      <c r="K367" s="345">
        <v>363</v>
      </c>
    </row>
    <row r="368" spans="11:11">
      <c r="K368" s="345">
        <v>364</v>
      </c>
    </row>
    <row r="369" spans="11:11">
      <c r="K369" s="345">
        <v>365</v>
      </c>
    </row>
    <row r="370" spans="11:11">
      <c r="K370" s="345">
        <v>366</v>
      </c>
    </row>
    <row r="371" spans="11:11">
      <c r="K371" s="345">
        <v>367</v>
      </c>
    </row>
    <row r="372" spans="11:11">
      <c r="K372" s="345">
        <v>368</v>
      </c>
    </row>
    <row r="373" spans="11:11">
      <c r="K373" s="345">
        <v>369</v>
      </c>
    </row>
    <row r="374" spans="11:11">
      <c r="K374" s="345">
        <v>370</v>
      </c>
    </row>
    <row r="375" spans="11:11">
      <c r="K375" s="345">
        <v>371</v>
      </c>
    </row>
    <row r="376" spans="11:11">
      <c r="K376" s="345">
        <v>372</v>
      </c>
    </row>
    <row r="377" spans="11:11">
      <c r="K377" s="345">
        <v>373</v>
      </c>
    </row>
    <row r="378" spans="11:11">
      <c r="K378" s="345">
        <v>374</v>
      </c>
    </row>
    <row r="379" spans="11:11">
      <c r="K379" s="345">
        <v>375</v>
      </c>
    </row>
    <row r="380" spans="11:11">
      <c r="K380" s="345">
        <v>376</v>
      </c>
    </row>
    <row r="381" spans="11:11">
      <c r="K381" s="345">
        <v>377</v>
      </c>
    </row>
    <row r="382" spans="11:11">
      <c r="K382" s="345">
        <v>378</v>
      </c>
    </row>
    <row r="383" spans="11:11">
      <c r="K383" s="345">
        <v>379</v>
      </c>
    </row>
    <row r="384" spans="11:11">
      <c r="K384" s="345">
        <v>380</v>
      </c>
    </row>
    <row r="385" spans="11:11">
      <c r="K385" s="345">
        <v>381</v>
      </c>
    </row>
    <row r="386" spans="11:11">
      <c r="K386" s="345">
        <v>382</v>
      </c>
    </row>
    <row r="387" spans="11:11">
      <c r="K387" s="345">
        <v>383</v>
      </c>
    </row>
    <row r="388" spans="11:11">
      <c r="K388" s="345">
        <v>384</v>
      </c>
    </row>
    <row r="389" spans="11:11">
      <c r="K389" s="345">
        <v>385</v>
      </c>
    </row>
    <row r="390" spans="11:11">
      <c r="K390" s="345">
        <v>386</v>
      </c>
    </row>
    <row r="391" spans="11:11">
      <c r="K391" s="345">
        <v>387</v>
      </c>
    </row>
    <row r="392" spans="11:11">
      <c r="K392" s="345">
        <v>388</v>
      </c>
    </row>
    <row r="393" spans="11:11">
      <c r="K393" s="345">
        <v>389</v>
      </c>
    </row>
    <row r="394" spans="11:11">
      <c r="K394" s="345">
        <v>390</v>
      </c>
    </row>
    <row r="395" spans="11:11">
      <c r="K395" s="345">
        <v>391</v>
      </c>
    </row>
    <row r="396" spans="11:11">
      <c r="K396" s="345">
        <v>392</v>
      </c>
    </row>
    <row r="397" spans="11:11">
      <c r="K397" s="345">
        <v>393</v>
      </c>
    </row>
    <row r="398" spans="11:11">
      <c r="K398" s="345">
        <v>394</v>
      </c>
    </row>
    <row r="399" spans="11:11">
      <c r="K399" s="345">
        <v>395</v>
      </c>
    </row>
    <row r="400" spans="11:11">
      <c r="K400" s="345">
        <v>396</v>
      </c>
    </row>
    <row r="401" spans="11:11">
      <c r="K401" s="345">
        <v>397</v>
      </c>
    </row>
    <row r="402" spans="11:11">
      <c r="K402" s="345">
        <v>398</v>
      </c>
    </row>
    <row r="403" spans="11:11">
      <c r="K403" s="345">
        <v>399</v>
      </c>
    </row>
    <row r="404" spans="11:11">
      <c r="K404" s="345">
        <v>400</v>
      </c>
    </row>
    <row r="405" spans="11:11">
      <c r="K405" s="345">
        <v>401</v>
      </c>
    </row>
    <row r="406" spans="11:11">
      <c r="K406" s="345">
        <v>402</v>
      </c>
    </row>
    <row r="407" spans="11:11">
      <c r="K407" s="345">
        <v>403</v>
      </c>
    </row>
    <row r="408" spans="11:11">
      <c r="K408" s="345">
        <v>404</v>
      </c>
    </row>
    <row r="409" spans="11:11">
      <c r="K409" s="345">
        <v>405</v>
      </c>
    </row>
    <row r="410" spans="11:11">
      <c r="K410" s="345">
        <v>406</v>
      </c>
    </row>
    <row r="411" spans="11:11">
      <c r="K411" s="345">
        <v>407</v>
      </c>
    </row>
    <row r="412" spans="11:11">
      <c r="K412" s="345">
        <v>408</v>
      </c>
    </row>
    <row r="413" spans="11:11">
      <c r="K413" s="345">
        <v>409</v>
      </c>
    </row>
    <row r="414" spans="11:11">
      <c r="K414" s="345">
        <v>410</v>
      </c>
    </row>
    <row r="415" spans="11:11">
      <c r="K415" s="345">
        <v>411</v>
      </c>
    </row>
    <row r="416" spans="11:11">
      <c r="K416" s="345">
        <v>412</v>
      </c>
    </row>
    <row r="417" spans="11:11">
      <c r="K417" s="345">
        <v>413</v>
      </c>
    </row>
    <row r="418" spans="11:11">
      <c r="K418" s="345">
        <v>414</v>
      </c>
    </row>
    <row r="419" spans="11:11">
      <c r="K419" s="345">
        <v>415</v>
      </c>
    </row>
    <row r="420" spans="11:11">
      <c r="K420" s="345">
        <v>416</v>
      </c>
    </row>
    <row r="421" spans="11:11">
      <c r="K421" s="345">
        <v>417</v>
      </c>
    </row>
    <row r="422" spans="11:11">
      <c r="K422" s="345">
        <v>418</v>
      </c>
    </row>
    <row r="423" spans="11:11">
      <c r="K423" s="345">
        <v>419</v>
      </c>
    </row>
    <row r="424" spans="11:11">
      <c r="K424" s="345">
        <v>420</v>
      </c>
    </row>
    <row r="425" spans="11:11">
      <c r="K425" s="345">
        <v>421</v>
      </c>
    </row>
    <row r="426" spans="11:11">
      <c r="K426" s="345">
        <v>422</v>
      </c>
    </row>
    <row r="427" spans="11:11">
      <c r="K427" s="345">
        <v>423</v>
      </c>
    </row>
    <row r="428" spans="11:11">
      <c r="K428" s="345">
        <v>424</v>
      </c>
    </row>
    <row r="429" spans="11:11">
      <c r="K429" s="345">
        <v>425</v>
      </c>
    </row>
    <row r="430" spans="11:11">
      <c r="K430" s="345">
        <v>426</v>
      </c>
    </row>
    <row r="431" spans="11:11">
      <c r="K431" s="345">
        <v>427</v>
      </c>
    </row>
    <row r="432" spans="11:11">
      <c r="K432" s="345">
        <v>428</v>
      </c>
    </row>
    <row r="433" spans="11:11">
      <c r="K433" s="345">
        <v>429</v>
      </c>
    </row>
    <row r="434" spans="11:11">
      <c r="K434" s="345">
        <v>430</v>
      </c>
    </row>
    <row r="435" spans="11:11">
      <c r="K435" s="345">
        <v>431</v>
      </c>
    </row>
    <row r="436" spans="11:11">
      <c r="K436" s="345">
        <v>432</v>
      </c>
    </row>
    <row r="437" spans="11:11">
      <c r="K437" s="345">
        <v>433</v>
      </c>
    </row>
    <row r="438" spans="11:11">
      <c r="K438" s="345">
        <v>434</v>
      </c>
    </row>
    <row r="439" spans="11:11">
      <c r="K439" s="345">
        <v>435</v>
      </c>
    </row>
    <row r="440" spans="11:11">
      <c r="K440" s="345">
        <v>436</v>
      </c>
    </row>
    <row r="441" spans="11:11">
      <c r="K441" s="345">
        <v>437</v>
      </c>
    </row>
    <row r="442" spans="11:11">
      <c r="K442" s="345">
        <v>438</v>
      </c>
    </row>
    <row r="443" spans="11:11">
      <c r="K443" s="345">
        <v>439</v>
      </c>
    </row>
    <row r="444" spans="11:11">
      <c r="K444" s="345">
        <v>440</v>
      </c>
    </row>
    <row r="445" spans="11:11">
      <c r="K445" s="345">
        <v>441</v>
      </c>
    </row>
    <row r="446" spans="11:11">
      <c r="K446" s="345">
        <v>442</v>
      </c>
    </row>
    <row r="447" spans="11:11">
      <c r="K447" s="345">
        <v>443</v>
      </c>
    </row>
    <row r="448" spans="11:11">
      <c r="K448" s="345">
        <v>444</v>
      </c>
    </row>
    <row r="449" spans="11:11">
      <c r="K449" s="345">
        <v>445</v>
      </c>
    </row>
    <row r="450" spans="11:11">
      <c r="K450" s="345">
        <v>446</v>
      </c>
    </row>
    <row r="451" spans="11:11">
      <c r="K451" s="345">
        <v>447</v>
      </c>
    </row>
    <row r="452" spans="11:11">
      <c r="K452" s="345">
        <v>448</v>
      </c>
    </row>
    <row r="453" spans="11:11">
      <c r="K453" s="345">
        <v>449</v>
      </c>
    </row>
    <row r="454" spans="11:11">
      <c r="K454" s="345">
        <v>450</v>
      </c>
    </row>
    <row r="455" spans="11:11">
      <c r="K455" s="345">
        <v>451</v>
      </c>
    </row>
    <row r="456" spans="11:11">
      <c r="K456" s="345">
        <v>452</v>
      </c>
    </row>
    <row r="457" spans="11:11">
      <c r="K457" s="345">
        <v>453</v>
      </c>
    </row>
    <row r="458" spans="11:11">
      <c r="K458" s="345">
        <v>454</v>
      </c>
    </row>
  </sheetData>
  <mergeCells count="27">
    <mergeCell ref="A7:A9"/>
    <mergeCell ref="B7:B9"/>
    <mergeCell ref="C1:C3"/>
    <mergeCell ref="D1:H3"/>
    <mergeCell ref="D51:D52"/>
    <mergeCell ref="C5:K5"/>
    <mergeCell ref="C6:K6"/>
    <mergeCell ref="I1:K1"/>
    <mergeCell ref="I2:K2"/>
    <mergeCell ref="I3:K3"/>
    <mergeCell ref="K7:K9"/>
    <mergeCell ref="C18:C21"/>
    <mergeCell ref="C58:G58"/>
    <mergeCell ref="I8:I9"/>
    <mergeCell ref="C7:C9"/>
    <mergeCell ref="D7:D9"/>
    <mergeCell ref="E7:E9"/>
    <mergeCell ref="F7:F9"/>
    <mergeCell ref="G7:G9"/>
    <mergeCell ref="I7:J7"/>
    <mergeCell ref="J8:J9"/>
    <mergeCell ref="H7:H9"/>
    <mergeCell ref="C33:C45"/>
    <mergeCell ref="D33:D34"/>
    <mergeCell ref="D36:D40"/>
    <mergeCell ref="D44:D45"/>
    <mergeCell ref="C49:C52"/>
  </mergeCells>
  <pageMargins left="0.7" right="0.7" top="0.75" bottom="0.75" header="0.3" footer="0.3"/>
  <pageSetup orientation="portrait" verticalDpi="597"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7" tint="0.59999389629810485"/>
  </sheetPr>
  <dimension ref="A1:U31"/>
  <sheetViews>
    <sheetView workbookViewId="0"/>
  </sheetViews>
  <sheetFormatPr baseColWidth="10" defaultRowHeight="15"/>
  <cols>
    <col min="1" max="1" width="8.42578125" customWidth="1"/>
    <col min="2" max="2" width="45.42578125" customWidth="1"/>
    <col min="3" max="3" width="11.7109375" customWidth="1"/>
    <col min="5" max="5" width="17.28515625" customWidth="1"/>
    <col min="6" max="6" width="17" customWidth="1"/>
    <col min="7" max="7" width="16.85546875" customWidth="1"/>
    <col min="8" max="8" width="15.140625" customWidth="1"/>
  </cols>
  <sheetData>
    <row r="1" spans="1:21" ht="15" customHeight="1" thickBot="1">
      <c r="B1" s="2405"/>
      <c r="C1" s="2453" t="s">
        <v>542</v>
      </c>
      <c r="D1" s="2453"/>
      <c r="E1" s="2453"/>
      <c r="F1" s="2453"/>
      <c r="G1" s="2414" t="s">
        <v>539</v>
      </c>
      <c r="H1" s="2414"/>
    </row>
    <row r="2" spans="1:21" ht="15.75" thickBot="1">
      <c r="B2" s="2406"/>
      <c r="C2" s="2453"/>
      <c r="D2" s="2453"/>
      <c r="E2" s="2453"/>
      <c r="F2" s="2453"/>
      <c r="G2" s="2414" t="s">
        <v>540</v>
      </c>
      <c r="H2" s="2414"/>
    </row>
    <row r="3" spans="1:21" ht="26.25" customHeight="1" thickBot="1">
      <c r="B3" s="2407"/>
      <c r="C3" s="2453"/>
      <c r="D3" s="2453"/>
      <c r="E3" s="2453"/>
      <c r="F3" s="2453"/>
      <c r="G3" s="2414" t="s">
        <v>541</v>
      </c>
      <c r="H3" s="2414"/>
    </row>
    <row r="4" spans="1:21" ht="8.25" customHeight="1" thickBot="1">
      <c r="B4" s="1"/>
      <c r="C4" s="1"/>
      <c r="D4" s="180"/>
      <c r="E4" s="1"/>
      <c r="F4" s="180"/>
    </row>
    <row r="5" spans="1:21" ht="15.75" thickBot="1">
      <c r="B5" s="2440" t="s">
        <v>405</v>
      </c>
      <c r="C5" s="2440"/>
      <c r="D5" s="2440"/>
      <c r="E5" s="2440"/>
      <c r="F5" s="2440"/>
      <c r="G5" s="2440"/>
      <c r="H5" s="2440"/>
    </row>
    <row r="6" spans="1:21" ht="15.75" thickBot="1">
      <c r="B6" s="2440" t="s">
        <v>179</v>
      </c>
      <c r="C6" s="2440"/>
      <c r="D6" s="2440"/>
      <c r="E6" s="2440"/>
      <c r="F6" s="2440"/>
      <c r="G6" s="2440"/>
      <c r="H6" s="2440"/>
    </row>
    <row r="7" spans="1:21" ht="15" customHeight="1" thickBot="1">
      <c r="A7" s="2397" t="s">
        <v>383</v>
      </c>
      <c r="B7" s="2459" t="s">
        <v>197</v>
      </c>
      <c r="C7" s="2455">
        <v>2023</v>
      </c>
      <c r="D7" s="2455"/>
      <c r="E7" s="2455"/>
      <c r="F7" s="2455"/>
      <c r="G7" s="2455"/>
      <c r="H7" s="2455"/>
    </row>
    <row r="8" spans="1:21" ht="21" customHeight="1" thickBot="1">
      <c r="A8" s="2397"/>
      <c r="B8" s="2455"/>
      <c r="C8" s="2414" t="s">
        <v>199</v>
      </c>
      <c r="D8" s="2414" t="s">
        <v>200</v>
      </c>
      <c r="E8" s="1590" t="s">
        <v>198</v>
      </c>
      <c r="F8" s="2454" t="s">
        <v>204</v>
      </c>
      <c r="G8" s="2454" t="s">
        <v>505</v>
      </c>
      <c r="H8" s="2454" t="s">
        <v>204</v>
      </c>
    </row>
    <row r="9" spans="1:21" ht="15.75" thickBot="1">
      <c r="A9" s="2397"/>
      <c r="B9" s="2455"/>
      <c r="C9" s="2414"/>
      <c r="D9" s="2414"/>
      <c r="E9" s="1590" t="s">
        <v>231</v>
      </c>
      <c r="F9" s="2454"/>
      <c r="G9" s="2454"/>
      <c r="H9" s="2454"/>
    </row>
    <row r="10" spans="1:21" ht="26.25" thickBot="1">
      <c r="A10" s="399">
        <v>3201003</v>
      </c>
      <c r="B10" s="803" t="s">
        <v>233</v>
      </c>
      <c r="C10" s="804" t="s">
        <v>214</v>
      </c>
      <c r="D10" s="804">
        <v>100</v>
      </c>
      <c r="E10" s="1625">
        <f>+SUM(E11:E15)</f>
        <v>500465329</v>
      </c>
      <c r="F10" s="1635">
        <f>+SUM(F11:F15)</f>
        <v>500465329</v>
      </c>
      <c r="G10" s="1636">
        <f>+SUM(G11:G15)</f>
        <v>943255739.22000003</v>
      </c>
      <c r="H10" s="1635">
        <f>+SUM(H11:H15)</f>
        <v>1443721068.22</v>
      </c>
      <c r="I10" s="1623"/>
    </row>
    <row r="11" spans="1:21" ht="33" customHeight="1">
      <c r="B11" s="542" t="s">
        <v>234</v>
      </c>
      <c r="C11" s="537" t="s">
        <v>209</v>
      </c>
      <c r="D11" s="537">
        <v>1</v>
      </c>
      <c r="E11" s="123">
        <f>+'ACCIONES 320102'!I11</f>
        <v>197964200</v>
      </c>
      <c r="F11" s="1629">
        <f>+'ACCIONES 320102'!J11</f>
        <v>197964200</v>
      </c>
      <c r="G11" s="1637">
        <f>+'ACCIONES 320102'!K11</f>
        <v>0</v>
      </c>
      <c r="H11" s="1629">
        <f>+F11+G11</f>
        <v>197964200</v>
      </c>
    </row>
    <row r="12" spans="1:21" ht="33" customHeight="1">
      <c r="B12" s="567" t="s">
        <v>236</v>
      </c>
      <c r="C12" s="810" t="s">
        <v>209</v>
      </c>
      <c r="D12" s="810">
        <v>0</v>
      </c>
      <c r="E12" s="1626">
        <f>+'ACCIONES 320102'!I16</f>
        <v>10040000</v>
      </c>
      <c r="F12" s="1630">
        <f>+'ACCIONES 320102'!J16</f>
        <v>10040000</v>
      </c>
      <c r="G12" s="1630">
        <f>+'ACCIONES 320102'!K16</f>
        <v>0</v>
      </c>
      <c r="H12" s="1630">
        <f>+F12+G12</f>
        <v>10040000</v>
      </c>
    </row>
    <row r="13" spans="1:21" ht="33" customHeight="1">
      <c r="B13" s="567" t="s">
        <v>237</v>
      </c>
      <c r="C13" s="810" t="s">
        <v>209</v>
      </c>
      <c r="D13" s="810">
        <v>1</v>
      </c>
      <c r="E13" s="1626">
        <f>+'ACCIONES 320102'!I18</f>
        <v>190251708</v>
      </c>
      <c r="F13" s="1630">
        <f>+'ACCIONES 320102'!J18</f>
        <v>190251708</v>
      </c>
      <c r="G13" s="1630">
        <f>+'ACCIONES 320102'!K18</f>
        <v>0</v>
      </c>
      <c r="H13" s="1630">
        <f>+F13+G13</f>
        <v>190251708</v>
      </c>
    </row>
    <row r="14" spans="1:21" ht="33" customHeight="1">
      <c r="B14" s="567" t="s">
        <v>238</v>
      </c>
      <c r="C14" s="810" t="s">
        <v>209</v>
      </c>
      <c r="D14" s="810">
        <v>1</v>
      </c>
      <c r="E14" s="1626">
        <f>+'ACCIONES 320102'!I21</f>
        <v>66545421</v>
      </c>
      <c r="F14" s="1630">
        <f>+'ACCIONES 320102'!J21</f>
        <v>66545421</v>
      </c>
      <c r="G14" s="1630">
        <f>+'ACCIONES 320102'!K21</f>
        <v>0</v>
      </c>
      <c r="H14" s="1630">
        <f>+F14+G14</f>
        <v>66545421</v>
      </c>
    </row>
    <row r="15" spans="1:21" s="813" customFormat="1" ht="33" customHeight="1" thickBot="1">
      <c r="B15" s="52" t="s">
        <v>507</v>
      </c>
      <c r="C15" s="810" t="s">
        <v>209</v>
      </c>
      <c r="D15" s="19">
        <v>1</v>
      </c>
      <c r="E15" s="1627">
        <f>+'ACCIONES 320102'!I24</f>
        <v>35664000</v>
      </c>
      <c r="F15" s="1631">
        <f>+'ACCIONES 320102'!J24</f>
        <v>35664000</v>
      </c>
      <c r="G15" s="1638">
        <f>+'ACCIONES 320102'!K24</f>
        <v>943255739.22000003</v>
      </c>
      <c r="H15" s="1638">
        <f>+F15+G15</f>
        <v>978919739.22000003</v>
      </c>
      <c r="Q15"/>
      <c r="R15"/>
      <c r="S15"/>
      <c r="T15"/>
      <c r="U15"/>
    </row>
    <row r="16" spans="1:21" ht="26.25" thickBot="1">
      <c r="A16" s="400">
        <v>3201003</v>
      </c>
      <c r="B16" s="401" t="s">
        <v>239</v>
      </c>
      <c r="C16" s="371" t="s">
        <v>209</v>
      </c>
      <c r="D16" s="371">
        <v>1</v>
      </c>
      <c r="E16" s="373">
        <f>SUM(E17:E18)</f>
        <v>135220743</v>
      </c>
      <c r="F16" s="1632">
        <f>+SUM(F17:F18)</f>
        <v>135220743</v>
      </c>
      <c r="G16" s="1632">
        <f>+'ACCIONES 320102'!K53</f>
        <v>0</v>
      </c>
      <c r="H16" s="1632">
        <f>+SUM(H17:H18)</f>
        <v>135220743</v>
      </c>
    </row>
    <row r="17" spans="2:8" ht="38.25">
      <c r="B17" s="366" t="s">
        <v>5</v>
      </c>
      <c r="C17" s="810" t="s">
        <v>209</v>
      </c>
      <c r="D17" s="367">
        <v>1</v>
      </c>
      <c r="E17" s="1628">
        <f>+'ACCIONES 320102'!I54</f>
        <v>36426480</v>
      </c>
      <c r="F17" s="1633">
        <f>+'ACCIONES 320102'!J54</f>
        <v>36426480</v>
      </c>
      <c r="G17" s="1633">
        <f>+'ACCIONES 320102'!K54</f>
        <v>0</v>
      </c>
      <c r="H17" s="1633">
        <f>+G17+F17</f>
        <v>36426480</v>
      </c>
    </row>
    <row r="18" spans="2:8" ht="15.75" thickBot="1">
      <c r="B18" s="1303" t="s">
        <v>660</v>
      </c>
      <c r="C18" s="810" t="s">
        <v>209</v>
      </c>
      <c r="D18" s="367">
        <v>1</v>
      </c>
      <c r="E18" s="1628">
        <f>+'ACCIONES 320102'!I57</f>
        <v>98794263</v>
      </c>
      <c r="F18" s="1633">
        <f>+'ACCIONES 320102'!J57</f>
        <v>98794263</v>
      </c>
      <c r="G18" s="1639">
        <f>+'ACCIONES 320102'!K57</f>
        <v>0</v>
      </c>
      <c r="H18" s="1639">
        <f>+G18+F18</f>
        <v>98794263</v>
      </c>
    </row>
    <row r="19" spans="2:8" ht="15.75" thickBot="1">
      <c r="B19" s="2456" t="s">
        <v>228</v>
      </c>
      <c r="C19" s="2457"/>
      <c r="D19" s="2458"/>
      <c r="E19" s="1116">
        <f>+E16+E10</f>
        <v>635686072</v>
      </c>
      <c r="F19" s="1634">
        <f>+F10+F16</f>
        <v>635686072</v>
      </c>
      <c r="G19" s="1624">
        <f>+G10+G16</f>
        <v>943255739.22000003</v>
      </c>
      <c r="H19" s="1116">
        <f>+H10+H16</f>
        <v>1578941811.22</v>
      </c>
    </row>
    <row r="20" spans="2:8" ht="15.75" thickBot="1"/>
    <row r="21" spans="2:8" ht="15.75" thickBot="1">
      <c r="E21" s="594">
        <f>444686072+191000000</f>
        <v>635686072</v>
      </c>
      <c r="F21" s="594">
        <f>444686072+191000000</f>
        <v>635686072</v>
      </c>
      <c r="G21" s="595">
        <v>943255740.01999998</v>
      </c>
      <c r="H21" s="595">
        <f>+F21+G21</f>
        <v>1578941812.02</v>
      </c>
    </row>
    <row r="23" spans="2:8">
      <c r="E23" s="47">
        <f>+E21-E19</f>
        <v>0</v>
      </c>
      <c r="F23" s="47">
        <f>+F21-F19</f>
        <v>0</v>
      </c>
      <c r="G23" s="47">
        <f>+G21-G19</f>
        <v>0.79999995231628418</v>
      </c>
      <c r="H23" s="47">
        <f>+H21-H19</f>
        <v>0.79999995231628418</v>
      </c>
    </row>
    <row r="31" spans="2:8">
      <c r="B31" s="813"/>
    </row>
  </sheetData>
  <mergeCells count="16">
    <mergeCell ref="A7:A9"/>
    <mergeCell ref="B19:D19"/>
    <mergeCell ref="B7:B9"/>
    <mergeCell ref="D8:D9"/>
    <mergeCell ref="C8:C9"/>
    <mergeCell ref="G1:H1"/>
    <mergeCell ref="G2:H2"/>
    <mergeCell ref="G3:H3"/>
    <mergeCell ref="C1:F3"/>
    <mergeCell ref="H8:H9"/>
    <mergeCell ref="C7:H7"/>
    <mergeCell ref="B6:H6"/>
    <mergeCell ref="B5:H5"/>
    <mergeCell ref="G8:G9"/>
    <mergeCell ref="F8:F9"/>
    <mergeCell ref="B1:B3"/>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theme="7" tint="0.59999389629810485"/>
  </sheetPr>
  <dimension ref="A1:Q71"/>
  <sheetViews>
    <sheetView workbookViewId="0"/>
  </sheetViews>
  <sheetFormatPr baseColWidth="10" defaultColWidth="11.42578125" defaultRowHeight="12.75"/>
  <cols>
    <col min="1" max="1" width="8.42578125" style="1" customWidth="1"/>
    <col min="2" max="2" width="7.28515625" style="1" customWidth="1"/>
    <col min="3" max="3" width="45.28515625" style="1" customWidth="1"/>
    <col min="4" max="4" width="18.28515625" style="1" customWidth="1"/>
    <col min="5" max="5" width="17.5703125" style="1" customWidth="1"/>
    <col min="6" max="6" width="18.85546875" style="1" customWidth="1"/>
    <col min="7" max="7" width="10.28515625" style="180" customWidth="1"/>
    <col min="8" max="8" width="12.42578125" style="180" customWidth="1"/>
    <col min="9" max="9" width="17.42578125" style="180" bestFit="1" customWidth="1"/>
    <col min="10" max="10" width="16.85546875" style="1" customWidth="1"/>
    <col min="11" max="11" width="16.7109375" style="1" customWidth="1"/>
    <col min="12" max="12" width="15.85546875" style="1" customWidth="1"/>
    <col min="13" max="13" width="14.28515625" style="1" customWidth="1"/>
    <col min="14" max="14" width="16.28515625" style="1" customWidth="1"/>
    <col min="15" max="15" width="11.42578125" style="1"/>
    <col min="16" max="16" width="14.5703125" style="1" customWidth="1"/>
    <col min="17" max="16384" width="11.42578125" style="1"/>
  </cols>
  <sheetData>
    <row r="1" spans="1:17" ht="15" customHeight="1" thickBot="1">
      <c r="C1" s="2405"/>
      <c r="D1" s="2430" t="s">
        <v>542</v>
      </c>
      <c r="E1" s="2431"/>
      <c r="F1" s="2431"/>
      <c r="G1" s="2431"/>
      <c r="H1" s="2432"/>
      <c r="I1" s="2490" t="s">
        <v>539</v>
      </c>
      <c r="J1" s="2490"/>
      <c r="K1" s="2490"/>
    </row>
    <row r="2" spans="1:17" ht="15" customHeight="1" thickBot="1">
      <c r="C2" s="2406"/>
      <c r="D2" s="2433"/>
      <c r="E2" s="2434"/>
      <c r="F2" s="2434"/>
      <c r="G2" s="2434"/>
      <c r="H2" s="2435"/>
      <c r="I2" s="2490" t="s">
        <v>540</v>
      </c>
      <c r="J2" s="2490"/>
      <c r="K2" s="2490"/>
    </row>
    <row r="3" spans="1:17" ht="15.75" customHeight="1" thickBot="1">
      <c r="C3" s="2407"/>
      <c r="D3" s="2436"/>
      <c r="E3" s="2437"/>
      <c r="F3" s="2437"/>
      <c r="G3" s="2437"/>
      <c r="H3" s="2438"/>
      <c r="I3" s="2490" t="s">
        <v>541</v>
      </c>
      <c r="J3" s="2490"/>
      <c r="K3" s="2490"/>
    </row>
    <row r="4" spans="1:17" ht="3" customHeight="1" thickBot="1">
      <c r="I4" s="1"/>
      <c r="J4" s="180"/>
      <c r="K4"/>
      <c r="L4"/>
      <c r="M4"/>
      <c r="N4"/>
      <c r="O4"/>
      <c r="P4"/>
      <c r="Q4"/>
    </row>
    <row r="5" spans="1:17" ht="15.75" thickBot="1">
      <c r="C5" s="2485" t="s">
        <v>405</v>
      </c>
      <c r="D5" s="2486"/>
      <c r="E5" s="2486"/>
      <c r="F5" s="2486"/>
      <c r="G5" s="2486"/>
      <c r="H5" s="2486"/>
      <c r="I5" s="2486"/>
      <c r="J5" s="2486"/>
      <c r="K5" s="2487"/>
      <c r="L5"/>
      <c r="M5"/>
      <c r="N5"/>
      <c r="O5"/>
      <c r="P5"/>
      <c r="Q5"/>
    </row>
    <row r="6" spans="1:17" ht="15.75" customHeight="1" thickBot="1">
      <c r="C6" s="2440" t="s">
        <v>179</v>
      </c>
      <c r="D6" s="2440"/>
      <c r="E6" s="2440"/>
      <c r="F6" s="2440"/>
      <c r="G6" s="2440"/>
      <c r="H6" s="2440"/>
      <c r="I6" s="2440"/>
      <c r="J6" s="2440"/>
      <c r="K6" s="2440"/>
      <c r="L6"/>
      <c r="M6"/>
      <c r="N6"/>
      <c r="O6"/>
      <c r="P6"/>
      <c r="Q6"/>
    </row>
    <row r="7" spans="1:17" ht="12.75" customHeight="1" thickBot="1">
      <c r="A7" s="2466" t="s">
        <v>543</v>
      </c>
      <c r="B7" s="2474" t="s">
        <v>544</v>
      </c>
      <c r="C7" s="2468" t="s">
        <v>435</v>
      </c>
      <c r="D7" s="2482" t="s">
        <v>229</v>
      </c>
      <c r="E7" s="2471" t="s">
        <v>570</v>
      </c>
      <c r="F7" s="2465" t="s">
        <v>437</v>
      </c>
      <c r="G7" s="2473" t="s">
        <v>200</v>
      </c>
      <c r="H7" s="2479" t="s">
        <v>576</v>
      </c>
      <c r="I7" s="1117" t="s">
        <v>198</v>
      </c>
      <c r="J7" s="2489" t="s">
        <v>341</v>
      </c>
      <c r="K7" s="2448" t="s">
        <v>505</v>
      </c>
    </row>
    <row r="8" spans="1:17" ht="12.75" customHeight="1" thickBot="1">
      <c r="A8" s="2466"/>
      <c r="B8" s="2474"/>
      <c r="C8" s="2469"/>
      <c r="D8" s="2483"/>
      <c r="E8" s="2472"/>
      <c r="F8" s="2466"/>
      <c r="G8" s="2474"/>
      <c r="H8" s="2480"/>
      <c r="I8" s="2475" t="s">
        <v>231</v>
      </c>
      <c r="J8" s="2423"/>
      <c r="K8" s="2448"/>
    </row>
    <row r="9" spans="1:17" ht="15.75" customHeight="1" thickBot="1">
      <c r="A9" s="2466"/>
      <c r="B9" s="2474"/>
      <c r="C9" s="2470"/>
      <c r="D9" s="2484"/>
      <c r="E9" s="2472"/>
      <c r="F9" s="2467"/>
      <c r="G9" s="2475"/>
      <c r="H9" s="2481"/>
      <c r="I9" s="2488"/>
      <c r="J9" s="2401"/>
      <c r="K9" s="2449"/>
    </row>
    <row r="10" spans="1:17" ht="26.25" thickBot="1">
      <c r="A10" s="1053">
        <v>103</v>
      </c>
      <c r="B10" s="1419"/>
      <c r="C10" s="633" t="s">
        <v>233</v>
      </c>
      <c r="D10" s="633"/>
      <c r="E10" s="625"/>
      <c r="F10" s="634" t="s">
        <v>214</v>
      </c>
      <c r="G10" s="634">
        <v>100</v>
      </c>
      <c r="H10" s="1078"/>
      <c r="I10" s="937">
        <f>+I11+I16+I18+I21+I24</f>
        <v>500465329</v>
      </c>
      <c r="J10" s="1124">
        <f>+J11+J16+J18+J21+J24</f>
        <v>500465329</v>
      </c>
      <c r="K10" s="1062">
        <f>+K24</f>
        <v>943255739.22000003</v>
      </c>
      <c r="L10" s="816"/>
    </row>
    <row r="11" spans="1:17" ht="25.5">
      <c r="A11" s="1053"/>
      <c r="B11" s="1419" t="s">
        <v>1019</v>
      </c>
      <c r="C11" s="627" t="s">
        <v>234</v>
      </c>
      <c r="D11" s="628"/>
      <c r="E11" s="623"/>
      <c r="F11" s="629" t="s">
        <v>209</v>
      </c>
      <c r="G11" s="629"/>
      <c r="H11" s="702"/>
      <c r="I11" s="630">
        <f>SUM(I12:I15)</f>
        <v>197964200</v>
      </c>
      <c r="J11" s="1125">
        <f>SUM(J12:J15)</f>
        <v>197964200</v>
      </c>
      <c r="K11" s="1066"/>
    </row>
    <row r="12" spans="1:17">
      <c r="B12" s="1420"/>
      <c r="C12" s="567" t="s">
        <v>571</v>
      </c>
      <c r="D12" s="251" t="s">
        <v>235</v>
      </c>
      <c r="E12" s="251">
        <v>83990</v>
      </c>
      <c r="F12" s="251" t="s">
        <v>575</v>
      </c>
      <c r="G12" s="251">
        <v>11</v>
      </c>
      <c r="H12" s="1073">
        <v>5020000</v>
      </c>
      <c r="I12" s="349">
        <f>+G12*H12</f>
        <v>55220000</v>
      </c>
      <c r="J12" s="1126">
        <f>+SUM(I12)</f>
        <v>55220000</v>
      </c>
      <c r="K12" s="1126"/>
      <c r="M12" s="816"/>
      <c r="N12" s="816"/>
    </row>
    <row r="13" spans="1:17">
      <c r="B13" s="1420"/>
      <c r="C13" s="567" t="s">
        <v>572</v>
      </c>
      <c r="D13" s="251" t="s">
        <v>235</v>
      </c>
      <c r="E13" s="251">
        <v>83990</v>
      </c>
      <c r="F13" s="251" t="s">
        <v>575</v>
      </c>
      <c r="G13" s="251">
        <v>10</v>
      </c>
      <c r="H13" s="1073">
        <v>4273000</v>
      </c>
      <c r="I13" s="349">
        <f>+G13*H13</f>
        <v>42730000</v>
      </c>
      <c r="J13" s="1126">
        <f>+SUM(I13)</f>
        <v>42730000</v>
      </c>
      <c r="K13" s="1126"/>
    </row>
    <row r="14" spans="1:17">
      <c r="B14" s="1420"/>
      <c r="C14" s="567" t="s">
        <v>573</v>
      </c>
      <c r="D14" s="251" t="s">
        <v>235</v>
      </c>
      <c r="E14" s="251">
        <v>83990</v>
      </c>
      <c r="F14" s="251" t="s">
        <v>575</v>
      </c>
      <c r="G14" s="251">
        <v>11</v>
      </c>
      <c r="H14" s="1073">
        <v>4273000</v>
      </c>
      <c r="I14" s="349">
        <f>+G14*H14</f>
        <v>47003000</v>
      </c>
      <c r="J14" s="1126">
        <f>+SUM(I14)</f>
        <v>47003000</v>
      </c>
      <c r="K14" s="1126"/>
      <c r="N14" s="816"/>
    </row>
    <row r="15" spans="1:17" ht="25.5">
      <c r="B15" s="1420"/>
      <c r="C15" s="567" t="s">
        <v>574</v>
      </c>
      <c r="D15" s="251" t="s">
        <v>235</v>
      </c>
      <c r="E15" s="251">
        <v>83990</v>
      </c>
      <c r="F15" s="251" t="s">
        <v>575</v>
      </c>
      <c r="G15" s="251">
        <v>11</v>
      </c>
      <c r="H15" s="1073">
        <f>4800000*1.004</f>
        <v>4819200</v>
      </c>
      <c r="I15" s="349">
        <f>+G15*H15</f>
        <v>53011200</v>
      </c>
      <c r="J15" s="1126">
        <f>+SUM(I15)</f>
        <v>53011200</v>
      </c>
      <c r="K15" s="1126"/>
      <c r="N15" s="816"/>
    </row>
    <row r="16" spans="1:17" ht="25.5">
      <c r="A16" s="1053"/>
      <c r="B16" s="1419" t="s">
        <v>1020</v>
      </c>
      <c r="C16" s="169" t="s">
        <v>236</v>
      </c>
      <c r="D16" s="250"/>
      <c r="E16" s="174"/>
      <c r="F16" s="174" t="s">
        <v>209</v>
      </c>
      <c r="G16" s="174"/>
      <c r="H16" s="272"/>
      <c r="I16" s="348">
        <f>+I17</f>
        <v>10040000</v>
      </c>
      <c r="J16" s="1128">
        <f>SUM(J17:J17)</f>
        <v>10040000</v>
      </c>
      <c r="K16" s="1128"/>
    </row>
    <row r="17" spans="1:15" s="252" customFormat="1" ht="25.5">
      <c r="B17" s="1421"/>
      <c r="C17" s="567" t="s">
        <v>577</v>
      </c>
      <c r="D17" s="810" t="s">
        <v>235</v>
      </c>
      <c r="E17" s="811" t="s">
        <v>578</v>
      </c>
      <c r="F17" s="810" t="s">
        <v>209</v>
      </c>
      <c r="G17" s="810">
        <v>1</v>
      </c>
      <c r="H17" s="1084">
        <f>10000000*1.004</f>
        <v>10040000</v>
      </c>
      <c r="I17" s="350">
        <f>+G17*H17</f>
        <v>10040000</v>
      </c>
      <c r="J17" s="1127">
        <f>+I17</f>
        <v>10040000</v>
      </c>
      <c r="K17" s="1127"/>
      <c r="N17" s="1459"/>
    </row>
    <row r="18" spans="1:15" ht="25.5">
      <c r="A18" s="1053"/>
      <c r="B18" s="1419" t="s">
        <v>1022</v>
      </c>
      <c r="C18" s="169" t="s">
        <v>237</v>
      </c>
      <c r="D18" s="250"/>
      <c r="E18" s="174"/>
      <c r="F18" s="174" t="s">
        <v>209</v>
      </c>
      <c r="G18" s="174">
        <v>1</v>
      </c>
      <c r="H18" s="272"/>
      <c r="I18" s="1118">
        <f>SUM(I19:I20)</f>
        <v>190251708</v>
      </c>
      <c r="J18" s="1128">
        <f>SUM(J19:J20)</f>
        <v>190251708</v>
      </c>
      <c r="K18" s="1128"/>
      <c r="L18" s="816"/>
    </row>
    <row r="19" spans="1:15" s="812" customFormat="1" ht="32.25" customHeight="1">
      <c r="B19" s="1423"/>
      <c r="C19" s="567" t="s">
        <v>579</v>
      </c>
      <c r="D19" s="2077" t="s">
        <v>235</v>
      </c>
      <c r="E19" s="2077">
        <v>85962</v>
      </c>
      <c r="F19" s="810" t="s">
        <v>209</v>
      </c>
      <c r="G19" s="810">
        <v>1</v>
      </c>
      <c r="H19" s="1083">
        <f>8434908-292000+1148800</f>
        <v>9291708</v>
      </c>
      <c r="I19" s="1085">
        <f>200291708-36184663-23895200+8774590</f>
        <v>148986435</v>
      </c>
      <c r="J19" s="1129">
        <f>+SUM(I19)</f>
        <v>148986435</v>
      </c>
      <c r="K19" s="1129"/>
    </row>
    <row r="20" spans="1:15" s="812" customFormat="1" ht="19.5" customHeight="1">
      <c r="B20" s="1423"/>
      <c r="C20" s="567" t="s">
        <v>1340</v>
      </c>
      <c r="D20" s="2077" t="s">
        <v>1194</v>
      </c>
      <c r="E20" s="2077">
        <v>73230</v>
      </c>
      <c r="F20" s="810" t="s">
        <v>209</v>
      </c>
      <c r="G20" s="810">
        <v>1</v>
      </c>
      <c r="H20" s="1083">
        <v>36184663</v>
      </c>
      <c r="I20" s="1085">
        <f>+H20+13855200-8774590</f>
        <v>41265273</v>
      </c>
      <c r="J20" s="1129">
        <f>+I20</f>
        <v>41265273</v>
      </c>
      <c r="K20" s="1129"/>
      <c r="M20" s="816"/>
      <c r="N20" s="1"/>
      <c r="O20" s="816"/>
    </row>
    <row r="21" spans="1:15" ht="25.5">
      <c r="A21" s="1053"/>
      <c r="B21" s="1419" t="s">
        <v>1024</v>
      </c>
      <c r="C21" s="169" t="s">
        <v>238</v>
      </c>
      <c r="D21" s="250"/>
      <c r="E21" s="174"/>
      <c r="F21" s="174" t="s">
        <v>209</v>
      </c>
      <c r="G21" s="174">
        <v>1</v>
      </c>
      <c r="H21" s="272"/>
      <c r="I21" s="1118">
        <f>SUM(I22:I23)</f>
        <v>66545421</v>
      </c>
      <c r="J21" s="1128">
        <f>SUM(J22:J23)</f>
        <v>66545421</v>
      </c>
      <c r="K21" s="1128"/>
      <c r="L21" s="2163"/>
    </row>
    <row r="22" spans="1:15" s="812" customFormat="1">
      <c r="B22" s="1423"/>
      <c r="C22" s="52" t="s">
        <v>580</v>
      </c>
      <c r="D22" s="19" t="s">
        <v>235</v>
      </c>
      <c r="E22" s="19">
        <v>83990</v>
      </c>
      <c r="F22" s="19" t="s">
        <v>575</v>
      </c>
      <c r="G22" s="19">
        <v>11</v>
      </c>
      <c r="H22" s="1086">
        <f>+(3300000*12%)+3300000+120</f>
        <v>3696120</v>
      </c>
      <c r="I22" s="1119">
        <f>+G22*H22</f>
        <v>40657320</v>
      </c>
      <c r="J22" s="1130">
        <f>+SUM(I22)</f>
        <v>40657320</v>
      </c>
      <c r="K22" s="1130"/>
    </row>
    <row r="23" spans="1:15" s="507" customFormat="1" ht="17.100000000000001" customHeight="1">
      <c r="B23" s="1418"/>
      <c r="C23" s="567" t="s">
        <v>581</v>
      </c>
      <c r="D23" s="31" t="s">
        <v>235</v>
      </c>
      <c r="E23" s="31">
        <v>83990</v>
      </c>
      <c r="F23" s="31" t="s">
        <v>575</v>
      </c>
      <c r="G23" s="31">
        <v>10</v>
      </c>
      <c r="H23" s="55">
        <v>2588810.1</v>
      </c>
      <c r="I23" s="1120">
        <f>+G23*H23</f>
        <v>25888101</v>
      </c>
      <c r="J23" s="1130">
        <f>+SUM(I23)</f>
        <v>25888101</v>
      </c>
      <c r="K23" s="1130"/>
    </row>
    <row r="24" spans="1:15" s="507" customFormat="1" ht="17.100000000000001" customHeight="1" thickBot="1">
      <c r="A24" s="1053"/>
      <c r="B24" s="1419" t="s">
        <v>1025</v>
      </c>
      <c r="C24" s="169" t="s">
        <v>507</v>
      </c>
      <c r="D24" s="171"/>
      <c r="E24" s="168"/>
      <c r="F24" s="174" t="s">
        <v>209</v>
      </c>
      <c r="G24" s="168">
        <v>1</v>
      </c>
      <c r="H24" s="1079"/>
      <c r="I24" s="1121">
        <f>SUM(I25:I52)</f>
        <v>35664000</v>
      </c>
      <c r="J24" s="1131">
        <f>SUM(J25:J52)</f>
        <v>35664000</v>
      </c>
      <c r="K24" s="1131">
        <f>+SUM(K25:K52)</f>
        <v>943255739.22000003</v>
      </c>
    </row>
    <row r="25" spans="1:15" s="507" customFormat="1" ht="17.100000000000001" customHeight="1">
      <c r="B25" s="1418"/>
      <c r="C25" s="567" t="s">
        <v>582</v>
      </c>
      <c r="D25" s="537" t="s">
        <v>235</v>
      </c>
      <c r="E25" s="810">
        <v>83990</v>
      </c>
      <c r="F25" s="31" t="s">
        <v>575</v>
      </c>
      <c r="G25" s="31">
        <v>10</v>
      </c>
      <c r="H25" s="31">
        <v>3566400</v>
      </c>
      <c r="I25" s="817">
        <v>35664000</v>
      </c>
      <c r="J25" s="1130">
        <f>+SUM(I25)</f>
        <v>35664000</v>
      </c>
      <c r="K25" s="1129"/>
    </row>
    <row r="26" spans="1:15" s="507" customFormat="1" ht="17.100000000000001" customHeight="1">
      <c r="B26" s="1418"/>
      <c r="C26" s="1551" t="s">
        <v>1184</v>
      </c>
      <c r="D26" s="810" t="s">
        <v>235</v>
      </c>
      <c r="E26" s="810">
        <v>83990</v>
      </c>
      <c r="F26" s="31" t="s">
        <v>209</v>
      </c>
      <c r="G26" s="31">
        <v>1</v>
      </c>
      <c r="H26" s="1511"/>
      <c r="I26" s="1511"/>
      <c r="J26" s="1130"/>
      <c r="K26" s="1129">
        <f>682220000-247020000-239158823</f>
        <v>196041177</v>
      </c>
      <c r="L26" s="2089"/>
      <c r="M26" s="1542"/>
    </row>
    <row r="27" spans="1:15" s="507" customFormat="1" ht="25.5" customHeight="1">
      <c r="B27" s="1418"/>
      <c r="C27" s="2428" t="s">
        <v>1185</v>
      </c>
      <c r="D27" s="2429" t="s">
        <v>1191</v>
      </c>
      <c r="E27" s="1545">
        <v>83990</v>
      </c>
      <c r="F27" s="31" t="s">
        <v>209</v>
      </c>
      <c r="G27" s="31">
        <v>1</v>
      </c>
      <c r="H27" s="1511"/>
      <c r="I27" s="1511"/>
      <c r="J27" s="1130"/>
      <c r="K27" s="1129">
        <v>21300000</v>
      </c>
      <c r="M27" s="1542"/>
      <c r="O27" s="1542"/>
    </row>
    <row r="28" spans="1:15" s="507" customFormat="1" ht="15">
      <c r="B28" s="1418"/>
      <c r="C28" s="2428"/>
      <c r="D28" s="2429"/>
      <c r="E28" s="1545">
        <v>81136</v>
      </c>
      <c r="F28" s="31" t="s">
        <v>209</v>
      </c>
      <c r="G28" s="31">
        <v>1</v>
      </c>
      <c r="H28" s="1511"/>
      <c r="I28" s="1511"/>
      <c r="J28" s="1130"/>
      <c r="K28" s="1129">
        <v>12500000</v>
      </c>
      <c r="M28" s="1542"/>
      <c r="O28" s="1542"/>
    </row>
    <row r="29" spans="1:15" s="507" customFormat="1" ht="25.5" customHeight="1">
      <c r="B29" s="1418"/>
      <c r="C29" s="2428"/>
      <c r="D29" s="2429" t="s">
        <v>1197</v>
      </c>
      <c r="E29" s="1545">
        <v>3465401</v>
      </c>
      <c r="F29" s="31" t="s">
        <v>209</v>
      </c>
      <c r="G29" s="31">
        <v>1</v>
      </c>
      <c r="H29" s="1511"/>
      <c r="I29" s="1511"/>
      <c r="J29" s="1130"/>
      <c r="K29" s="1129">
        <v>10950000</v>
      </c>
      <c r="M29" s="1542"/>
      <c r="O29" s="1542"/>
    </row>
    <row r="30" spans="1:15" s="507" customFormat="1" ht="15">
      <c r="B30" s="1418"/>
      <c r="C30" s="2428"/>
      <c r="D30" s="2429"/>
      <c r="E30" s="1545">
        <v>3745001</v>
      </c>
      <c r="F30" s="31" t="s">
        <v>209</v>
      </c>
      <c r="G30" s="31">
        <v>1</v>
      </c>
      <c r="H30" s="1511"/>
      <c r="I30" s="1511"/>
      <c r="J30" s="1130"/>
      <c r="K30" s="1129">
        <v>4818000</v>
      </c>
      <c r="M30" s="1542"/>
      <c r="O30" s="1542"/>
    </row>
    <row r="31" spans="1:15" s="507" customFormat="1" ht="15">
      <c r="B31" s="1418"/>
      <c r="C31" s="2428"/>
      <c r="D31" s="2429"/>
      <c r="E31" s="1545">
        <v>3719199</v>
      </c>
      <c r="F31" s="31" t="s">
        <v>209</v>
      </c>
      <c r="G31" s="31">
        <v>1</v>
      </c>
      <c r="H31" s="1511"/>
      <c r="I31" s="1511"/>
      <c r="J31" s="1130"/>
      <c r="K31" s="1129">
        <v>182000</v>
      </c>
      <c r="M31" s="1542"/>
      <c r="O31" s="1542"/>
    </row>
    <row r="32" spans="1:15" s="507" customFormat="1" ht="15">
      <c r="B32" s="1418"/>
      <c r="C32" s="2428"/>
      <c r="D32" s="2429"/>
      <c r="E32" s="1545">
        <v>3649013</v>
      </c>
      <c r="F32" s="31" t="s">
        <v>209</v>
      </c>
      <c r="G32" s="31">
        <v>1</v>
      </c>
      <c r="H32" s="1511"/>
      <c r="I32" s="1511"/>
      <c r="J32" s="1130"/>
      <c r="K32" s="1129">
        <f>337500-0.4</f>
        <v>337499.6</v>
      </c>
      <c r="M32" s="1542"/>
      <c r="O32" s="1542"/>
    </row>
    <row r="33" spans="2:15" s="507" customFormat="1" ht="25.5" customHeight="1">
      <c r="B33" s="1418"/>
      <c r="C33" s="2428"/>
      <c r="D33" s="2429" t="s">
        <v>1198</v>
      </c>
      <c r="E33" s="1545">
        <v>62199</v>
      </c>
      <c r="F33" s="31" t="s">
        <v>209</v>
      </c>
      <c r="G33" s="31">
        <v>1</v>
      </c>
      <c r="H33" s="1511"/>
      <c r="I33" s="1511"/>
      <c r="J33" s="1130"/>
      <c r="K33" s="1129">
        <v>181500000</v>
      </c>
      <c r="M33" s="1542"/>
      <c r="O33" s="1542"/>
    </row>
    <row r="34" spans="2:15" s="507" customFormat="1" ht="15">
      <c r="B34" s="1418"/>
      <c r="C34" s="2428"/>
      <c r="D34" s="2429"/>
      <c r="E34" s="1545">
        <v>67990</v>
      </c>
      <c r="F34" s="31" t="s">
        <v>209</v>
      </c>
      <c r="G34" s="31">
        <v>1</v>
      </c>
      <c r="H34" s="1511"/>
      <c r="I34" s="1511"/>
      <c r="J34" s="1130"/>
      <c r="K34" s="1129">
        <v>4500000</v>
      </c>
      <c r="M34" s="1542"/>
      <c r="O34" s="1542"/>
    </row>
    <row r="35" spans="2:15" s="507" customFormat="1" ht="15">
      <c r="B35" s="1418"/>
      <c r="C35" s="2428"/>
      <c r="D35" s="2429"/>
      <c r="E35" s="1545">
        <v>62129</v>
      </c>
      <c r="F35" s="31" t="s">
        <v>209</v>
      </c>
      <c r="G35" s="31">
        <v>1</v>
      </c>
      <c r="H35" s="1511"/>
      <c r="I35" s="1511"/>
      <c r="J35" s="1130"/>
      <c r="K35" s="1129">
        <v>12060000</v>
      </c>
      <c r="O35" s="1542"/>
    </row>
    <row r="36" spans="2:15" s="507" customFormat="1" ht="15">
      <c r="B36" s="1418"/>
      <c r="C36" s="2428"/>
      <c r="D36" s="2429"/>
      <c r="E36" s="1545">
        <v>62165</v>
      </c>
      <c r="F36" s="31" t="s">
        <v>209</v>
      </c>
      <c r="G36" s="31">
        <v>1</v>
      </c>
      <c r="H36" s="1511"/>
      <c r="I36" s="1511"/>
      <c r="J36" s="1130"/>
      <c r="K36" s="1129">
        <v>16550000</v>
      </c>
      <c r="O36" s="1542"/>
    </row>
    <row r="37" spans="2:15" s="507" customFormat="1" ht="15">
      <c r="B37" s="1418"/>
      <c r="C37" s="2428"/>
      <c r="D37" s="2429"/>
      <c r="E37" s="1545">
        <v>62133</v>
      </c>
      <c r="F37" s="31" t="s">
        <v>209</v>
      </c>
      <c r="G37" s="31">
        <v>1</v>
      </c>
      <c r="H37" s="1511"/>
      <c r="I37" s="1511"/>
      <c r="J37" s="1130"/>
      <c r="K37" s="1129">
        <v>1016000</v>
      </c>
      <c r="O37" s="1542"/>
    </row>
    <row r="38" spans="2:15" s="507" customFormat="1" ht="15">
      <c r="B38" s="1418"/>
      <c r="C38" s="2428"/>
      <c r="D38" s="2107" t="s">
        <v>1199</v>
      </c>
      <c r="E38" s="1545">
        <v>1611003</v>
      </c>
      <c r="F38" s="31" t="s">
        <v>209</v>
      </c>
      <c r="G38" s="31">
        <v>1</v>
      </c>
      <c r="H38" s="1511"/>
      <c r="I38" s="1511"/>
      <c r="J38" s="1130"/>
      <c r="K38" s="1129">
        <v>9460800</v>
      </c>
      <c r="O38" s="1542"/>
    </row>
    <row r="39" spans="2:15" s="507" customFormat="1" ht="15">
      <c r="B39" s="1418"/>
      <c r="C39" s="2428"/>
      <c r="D39" s="2107" t="s">
        <v>1200</v>
      </c>
      <c r="E39" s="1545">
        <v>2716004</v>
      </c>
      <c r="F39" s="31" t="s">
        <v>209</v>
      </c>
      <c r="G39" s="31">
        <v>1</v>
      </c>
      <c r="H39" s="1511"/>
      <c r="I39" s="1511"/>
      <c r="J39" s="1130"/>
      <c r="K39" s="1129">
        <v>618000</v>
      </c>
      <c r="O39" s="1542"/>
    </row>
    <row r="40" spans="2:15" s="507" customFormat="1" ht="15">
      <c r="B40" s="1418"/>
      <c r="C40" s="2428"/>
      <c r="D40" s="2429" t="s">
        <v>1201</v>
      </c>
      <c r="E40" s="1546">
        <v>44198</v>
      </c>
      <c r="F40" s="31" t="s">
        <v>209</v>
      </c>
      <c r="G40" s="31">
        <v>1</v>
      </c>
      <c r="H40" s="1511"/>
      <c r="I40" s="1511"/>
      <c r="J40" s="1130"/>
      <c r="K40" s="1129">
        <v>17119000</v>
      </c>
      <c r="O40" s="1542"/>
    </row>
    <row r="41" spans="2:15" s="507" customFormat="1" ht="15">
      <c r="B41" s="1418"/>
      <c r="C41" s="2428"/>
      <c r="D41" s="2429"/>
      <c r="E41" s="1546">
        <v>44811</v>
      </c>
      <c r="F41" s="31" t="s">
        <v>209</v>
      </c>
      <c r="G41" s="31">
        <v>1</v>
      </c>
      <c r="H41" s="1511"/>
      <c r="I41" s="1511"/>
      <c r="J41" s="1130"/>
      <c r="K41" s="1129">
        <v>4900000</v>
      </c>
      <c r="O41" s="1542"/>
    </row>
    <row r="42" spans="2:15" s="507" customFormat="1" ht="15">
      <c r="B42" s="1418"/>
      <c r="C42" s="2428"/>
      <c r="D42" s="2429"/>
      <c r="E42" s="1547">
        <v>4826609</v>
      </c>
      <c r="F42" s="31" t="s">
        <v>209</v>
      </c>
      <c r="G42" s="31">
        <v>1</v>
      </c>
      <c r="H42" s="1511"/>
      <c r="I42" s="1511"/>
      <c r="J42" s="1130"/>
      <c r="K42" s="1129">
        <f>47600-0.4</f>
        <v>47599.6</v>
      </c>
      <c r="O42" s="1542"/>
    </row>
    <row r="43" spans="2:15" s="507" customFormat="1" ht="15">
      <c r="B43" s="1418"/>
      <c r="C43" s="2428"/>
      <c r="D43" s="2429"/>
      <c r="E43" s="1546">
        <v>4292199</v>
      </c>
      <c r="F43" s="31" t="s">
        <v>209</v>
      </c>
      <c r="G43" s="31">
        <v>1</v>
      </c>
      <c r="H43" s="1511"/>
      <c r="I43" s="1511"/>
      <c r="J43" s="1130"/>
      <c r="K43" s="1129">
        <v>120000</v>
      </c>
      <c r="L43" s="2109"/>
      <c r="M43" s="2109"/>
      <c r="O43" s="1542"/>
    </row>
    <row r="44" spans="2:15" s="507" customFormat="1" ht="15">
      <c r="B44" s="1418"/>
      <c r="C44" s="2428"/>
      <c r="D44" s="2107" t="s">
        <v>557</v>
      </c>
      <c r="E44" s="1546" t="s">
        <v>1186</v>
      </c>
      <c r="F44" s="31" t="s">
        <v>209</v>
      </c>
      <c r="G44" s="31">
        <v>1</v>
      </c>
      <c r="H44" s="1511"/>
      <c r="I44" s="1511"/>
      <c r="J44" s="1130"/>
      <c r="K44" s="1129">
        <v>31536000</v>
      </c>
      <c r="O44" s="1542"/>
    </row>
    <row r="45" spans="2:15" s="507" customFormat="1">
      <c r="B45" s="1418"/>
      <c r="C45" s="1551" t="s">
        <v>1187</v>
      </c>
      <c r="D45" s="810" t="s">
        <v>1116</v>
      </c>
      <c r="E45" s="810">
        <v>67990</v>
      </c>
      <c r="F45" s="31" t="s">
        <v>209</v>
      </c>
      <c r="G45" s="31">
        <v>1</v>
      </c>
      <c r="H45" s="1511"/>
      <c r="I45" s="1511"/>
      <c r="J45" s="1130"/>
      <c r="K45" s="1129">
        <f>38029901+5833333</f>
        <v>43863234</v>
      </c>
      <c r="L45" s="2089"/>
      <c r="O45" s="1542"/>
    </row>
    <row r="46" spans="2:15" s="507" customFormat="1">
      <c r="B46" s="1418"/>
      <c r="C46" s="1551" t="s">
        <v>1188</v>
      </c>
      <c r="D46" s="810" t="s">
        <v>235</v>
      </c>
      <c r="E46" s="810">
        <v>81136</v>
      </c>
      <c r="F46" s="31" t="s">
        <v>209</v>
      </c>
      <c r="G46" s="31">
        <v>1</v>
      </c>
      <c r="H46" s="1511"/>
      <c r="I46" s="1511"/>
      <c r="J46" s="1130"/>
      <c r="K46" s="1129">
        <v>114300000</v>
      </c>
      <c r="O46" s="1542"/>
    </row>
    <row r="47" spans="2:15" s="507" customFormat="1">
      <c r="B47" s="1418"/>
      <c r="C47" s="1551" t="s">
        <v>1192</v>
      </c>
      <c r="D47" s="810" t="s">
        <v>591</v>
      </c>
      <c r="E47" s="810">
        <v>92913</v>
      </c>
      <c r="F47" s="31" t="s">
        <v>209</v>
      </c>
      <c r="G47" s="31">
        <v>1</v>
      </c>
      <c r="H47" s="1511"/>
      <c r="I47" s="1511"/>
      <c r="J47" s="1130"/>
      <c r="K47" s="1129">
        <v>10000000</v>
      </c>
      <c r="O47" s="1542"/>
    </row>
    <row r="48" spans="2:15" s="507" customFormat="1" ht="25.5" customHeight="1">
      <c r="B48" s="1418"/>
      <c r="C48" s="2428" t="s">
        <v>1190</v>
      </c>
      <c r="D48" s="2107" t="s">
        <v>729</v>
      </c>
      <c r="E48" s="1545">
        <v>3229101</v>
      </c>
      <c r="F48" s="31" t="s">
        <v>209</v>
      </c>
      <c r="G48" s="31">
        <v>1</v>
      </c>
      <c r="H48" s="1511"/>
      <c r="I48" s="1511"/>
      <c r="J48" s="1130"/>
      <c r="K48" s="1129">
        <v>20230000.02</v>
      </c>
      <c r="O48" s="1542"/>
    </row>
    <row r="49" spans="1:16" s="507" customFormat="1" ht="25.5">
      <c r="B49" s="1418"/>
      <c r="C49" s="2428"/>
      <c r="D49" s="2107" t="s">
        <v>1198</v>
      </c>
      <c r="E49" s="1545">
        <v>63391</v>
      </c>
      <c r="F49" s="31" t="s">
        <v>209</v>
      </c>
      <c r="G49" s="31">
        <v>1</v>
      </c>
      <c r="H49" s="1511"/>
      <c r="I49" s="1511"/>
      <c r="J49" s="1130"/>
      <c r="K49" s="1129">
        <v>1506429</v>
      </c>
      <c r="O49" s="1542"/>
    </row>
    <row r="50" spans="1:16" s="507" customFormat="1" ht="15">
      <c r="B50" s="1418"/>
      <c r="C50" s="2476" t="s">
        <v>1193</v>
      </c>
      <c r="D50" s="810" t="s">
        <v>235</v>
      </c>
      <c r="E50" s="1545">
        <v>83990</v>
      </c>
      <c r="F50" s="31" t="s">
        <v>209</v>
      </c>
      <c r="G50" s="31">
        <v>1</v>
      </c>
      <c r="H50" s="1511"/>
      <c r="I50" s="1511"/>
      <c r="J50" s="1130"/>
      <c r="K50" s="1129">
        <v>185300000</v>
      </c>
      <c r="L50" s="2089"/>
      <c r="O50" s="1542"/>
    </row>
    <row r="51" spans="1:16" s="507" customFormat="1" ht="15">
      <c r="B51" s="1418"/>
      <c r="C51" s="2477"/>
      <c r="D51" s="2107" t="s">
        <v>568</v>
      </c>
      <c r="E51" s="1545">
        <v>62283</v>
      </c>
      <c r="F51" s="31" t="s">
        <v>209</v>
      </c>
      <c r="G51" s="31">
        <v>1</v>
      </c>
      <c r="H51" s="1511"/>
      <c r="I51" s="1511"/>
      <c r="J51" s="1130"/>
      <c r="K51" s="1129">
        <f>12000000-3500000</f>
        <v>8500000</v>
      </c>
      <c r="L51" s="2090"/>
      <c r="M51" s="2091"/>
      <c r="O51" s="1542"/>
    </row>
    <row r="52" spans="1:16" s="507" customFormat="1" ht="15.75" thickBot="1">
      <c r="B52" s="1418"/>
      <c r="C52" s="2478"/>
      <c r="D52" s="127" t="s">
        <v>1194</v>
      </c>
      <c r="E52" s="1545">
        <v>72112</v>
      </c>
      <c r="F52" s="31" t="s">
        <v>209</v>
      </c>
      <c r="G52" s="31">
        <v>1</v>
      </c>
      <c r="H52" s="1511"/>
      <c r="I52" s="1511"/>
      <c r="J52" s="1130"/>
      <c r="K52" s="1129">
        <f>48000000-14000000</f>
        <v>34000000</v>
      </c>
      <c r="L52" s="2089"/>
      <c r="M52" s="2091"/>
      <c r="O52" s="1542"/>
    </row>
    <row r="53" spans="1:16" ht="26.25" thickBot="1">
      <c r="A53" s="1053">
        <v>104</v>
      </c>
      <c r="B53" s="1419"/>
      <c r="C53" s="401" t="s">
        <v>239</v>
      </c>
      <c r="D53" s="635"/>
      <c r="E53" s="636"/>
      <c r="F53" s="636" t="s">
        <v>209</v>
      </c>
      <c r="G53" s="636">
        <v>1</v>
      </c>
      <c r="H53" s="1080"/>
      <c r="I53" s="637">
        <f>+I54+I57</f>
        <v>135220743</v>
      </c>
      <c r="J53" s="1132">
        <f>+J54+J57</f>
        <v>135220743</v>
      </c>
      <c r="K53" s="1132"/>
      <c r="M53" s="2092"/>
      <c r="N53" s="816"/>
      <c r="P53" s="255"/>
    </row>
    <row r="54" spans="1:16" ht="31.5" customHeight="1">
      <c r="A54" s="1053"/>
      <c r="B54" s="1419" t="s">
        <v>1026</v>
      </c>
      <c r="C54" s="627" t="s">
        <v>5</v>
      </c>
      <c r="D54" s="631"/>
      <c r="E54" s="632"/>
      <c r="F54" s="632" t="s">
        <v>209</v>
      </c>
      <c r="G54" s="632"/>
      <c r="H54" s="1081"/>
      <c r="I54" s="1122">
        <f>SUM(I55:I56)</f>
        <v>36426480</v>
      </c>
      <c r="J54" s="1133">
        <f>SUM(J55:J56)</f>
        <v>36426480</v>
      </c>
      <c r="K54" s="1133"/>
    </row>
    <row r="55" spans="1:16" ht="38.25">
      <c r="B55" s="1420"/>
      <c r="C55" s="567" t="s">
        <v>583</v>
      </c>
      <c r="D55" s="27" t="s">
        <v>568</v>
      </c>
      <c r="E55" s="27">
        <v>63391</v>
      </c>
      <c r="F55" s="810" t="s">
        <v>209</v>
      </c>
      <c r="G55" s="810">
        <v>1</v>
      </c>
      <c r="H55" s="55">
        <f>3731200+4143280+440000</f>
        <v>8314480</v>
      </c>
      <c r="I55" s="350">
        <f>+H55</f>
        <v>8314480</v>
      </c>
      <c r="J55" s="1134">
        <f>+SUM(I55)</f>
        <v>8314480</v>
      </c>
      <c r="K55" s="1134"/>
      <c r="M55" s="816"/>
    </row>
    <row r="56" spans="1:16" ht="51">
      <c r="B56" s="1420"/>
      <c r="C56" s="567" t="s">
        <v>584</v>
      </c>
      <c r="D56" s="27" t="s">
        <v>568</v>
      </c>
      <c r="E56" s="27" t="s">
        <v>586</v>
      </c>
      <c r="F56" s="810" t="s">
        <v>209</v>
      </c>
      <c r="G56" s="810">
        <v>1</v>
      </c>
      <c r="H56" s="55">
        <v>18072000</v>
      </c>
      <c r="I56" s="350">
        <f>18000000*1.004+10040000</f>
        <v>28112000</v>
      </c>
      <c r="J56" s="1134">
        <f>+SUM(I56)</f>
        <v>28112000</v>
      </c>
      <c r="K56" s="1134"/>
      <c r="L56" s="816"/>
    </row>
    <row r="57" spans="1:16">
      <c r="A57" s="1053"/>
      <c r="B57" s="1424" t="s">
        <v>1027</v>
      </c>
      <c r="C57" s="627" t="s">
        <v>660</v>
      </c>
      <c r="D57" s="631"/>
      <c r="E57" s="632"/>
      <c r="F57" s="632"/>
      <c r="G57" s="632"/>
      <c r="H57" s="1081"/>
      <c r="I57" s="1122">
        <f>+I58</f>
        <v>98794263</v>
      </c>
      <c r="J57" s="1133">
        <f>+J58</f>
        <v>98794263</v>
      </c>
      <c r="K57" s="1133"/>
    </row>
    <row r="58" spans="1:16" ht="13.5" thickBot="1">
      <c r="B58" s="1420"/>
      <c r="C58" s="172" t="s">
        <v>227</v>
      </c>
      <c r="D58" s="504"/>
      <c r="E58" s="173"/>
      <c r="F58" s="177" t="s">
        <v>209</v>
      </c>
      <c r="G58" s="177">
        <v>1</v>
      </c>
      <c r="H58" s="1082"/>
      <c r="I58" s="505">
        <v>98794263</v>
      </c>
      <c r="J58" s="1135">
        <f>+SUM(I58)</f>
        <v>98794263</v>
      </c>
      <c r="K58" s="1135"/>
      <c r="O58" s="1">
        <v>1008781230.02</v>
      </c>
      <c r="P58" s="816">
        <f>+O58-K24</f>
        <v>65525490.799999952</v>
      </c>
    </row>
    <row r="59" spans="1:16" ht="18" customHeight="1" thickBot="1">
      <c r="B59" s="1420"/>
      <c r="C59" s="2462" t="s">
        <v>10</v>
      </c>
      <c r="D59" s="2463"/>
      <c r="E59" s="2463"/>
      <c r="F59" s="2463"/>
      <c r="G59" s="2464"/>
      <c r="H59" s="1047"/>
      <c r="I59" s="1123">
        <f>+I53+I10</f>
        <v>635686072</v>
      </c>
      <c r="J59" s="1136">
        <f>+J53+J10</f>
        <v>635686072</v>
      </c>
      <c r="K59" s="1136">
        <f>+K24</f>
        <v>943255739.22000003</v>
      </c>
    </row>
    <row r="60" spans="1:16" s="62" customFormat="1">
      <c r="A60" s="812"/>
      <c r="B60" s="812"/>
      <c r="C60" s="1"/>
      <c r="D60" s="1"/>
      <c r="E60" s="1"/>
      <c r="F60" s="1"/>
      <c r="G60" s="1"/>
      <c r="H60" s="1"/>
      <c r="I60" s="1"/>
      <c r="J60" s="180"/>
      <c r="K60" s="812"/>
    </row>
    <row r="61" spans="1:16" s="62" customFormat="1" ht="12.75" customHeight="1" thickBot="1">
      <c r="A61" s="812"/>
      <c r="B61" s="812"/>
      <c r="C61" s="1"/>
      <c r="D61" s="1"/>
      <c r="E61" s="1"/>
      <c r="F61" s="1"/>
      <c r="G61" s="1"/>
      <c r="H61" s="1"/>
      <c r="I61" s="1"/>
      <c r="J61" s="506"/>
      <c r="K61" s="812"/>
    </row>
    <row r="62" spans="1:16" s="62" customFormat="1" ht="18" customHeight="1" thickBot="1">
      <c r="A62" s="812"/>
      <c r="B62" s="812"/>
      <c r="C62" s="1"/>
      <c r="D62" s="1"/>
      <c r="E62" s="1"/>
      <c r="F62" s="1"/>
      <c r="G62" s="1"/>
      <c r="H62" s="1"/>
      <c r="I62" s="638">
        <f>444686072+191000000</f>
        <v>635686072</v>
      </c>
      <c r="J62" s="639">
        <f>444686072+191000000</f>
        <v>635686072</v>
      </c>
      <c r="K62" s="639">
        <f>1008781230.02-65525490</f>
        <v>943255740.01999998</v>
      </c>
    </row>
    <row r="64" spans="1:16">
      <c r="I64" s="556">
        <f>+I62-I59</f>
        <v>0</v>
      </c>
      <c r="J64" s="556">
        <f>+J62-J59</f>
        <v>0</v>
      </c>
    </row>
    <row r="65" spans="3:11">
      <c r="K65" s="1514">
        <f>+K59+J59</f>
        <v>1578941811.22</v>
      </c>
    </row>
    <row r="67" spans="3:11" ht="15">
      <c r="F67"/>
      <c r="G67"/>
      <c r="J67" s="816"/>
      <c r="K67" s="816"/>
    </row>
    <row r="68" spans="3:11" ht="15">
      <c r="F68"/>
      <c r="G68"/>
    </row>
    <row r="69" spans="3:11" ht="13.5" thickBot="1">
      <c r="C69" s="812"/>
      <c r="D69" s="812"/>
      <c r="E69" s="812"/>
      <c r="F69" s="812"/>
      <c r="G69" s="812"/>
    </row>
    <row r="70" spans="3:11">
      <c r="C70" s="2143" t="s">
        <v>1380</v>
      </c>
      <c r="D70" s="2460" t="s">
        <v>1381</v>
      </c>
      <c r="E70" s="2460"/>
      <c r="F70" s="2460"/>
      <c r="G70" s="2461"/>
    </row>
    <row r="71" spans="3:11" ht="13.5" thickBot="1">
      <c r="C71" s="2144">
        <v>118</v>
      </c>
      <c r="D71" s="2145" t="s">
        <v>1382</v>
      </c>
      <c r="E71" s="2146"/>
      <c r="F71" s="2146"/>
      <c r="G71" s="2147"/>
    </row>
  </sheetData>
  <mergeCells count="27">
    <mergeCell ref="A7:A9"/>
    <mergeCell ref="B7:B9"/>
    <mergeCell ref="H7:H9"/>
    <mergeCell ref="D7:D9"/>
    <mergeCell ref="D1:H3"/>
    <mergeCell ref="C5:K5"/>
    <mergeCell ref="C6:K6"/>
    <mergeCell ref="K7:K9"/>
    <mergeCell ref="I8:I9"/>
    <mergeCell ref="J7:J9"/>
    <mergeCell ref="C1:C3"/>
    <mergeCell ref="I1:K1"/>
    <mergeCell ref="I2:K2"/>
    <mergeCell ref="I3:K3"/>
    <mergeCell ref="D70:G70"/>
    <mergeCell ref="C59:G59"/>
    <mergeCell ref="F7:F9"/>
    <mergeCell ref="C7:C9"/>
    <mergeCell ref="E7:E9"/>
    <mergeCell ref="G7:G9"/>
    <mergeCell ref="C27:C44"/>
    <mergeCell ref="D27:D28"/>
    <mergeCell ref="D29:D32"/>
    <mergeCell ref="D33:D37"/>
    <mergeCell ref="D40:D43"/>
    <mergeCell ref="C48:C49"/>
    <mergeCell ref="C50:C52"/>
  </mergeCells>
  <pageMargins left="0.7" right="0.7" top="0.75" bottom="0.75" header="0.3" footer="0.3"/>
  <pageSetup paperSize="9" orientation="portrait" verticalDpi="597" r:id="rId1"/>
  <ignoredErrors>
    <ignoredError sqref="J24" 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7" tint="0.59999389629810485"/>
  </sheetPr>
  <dimension ref="A1:S48"/>
  <sheetViews>
    <sheetView workbookViewId="0"/>
  </sheetViews>
  <sheetFormatPr baseColWidth="10" defaultRowHeight="15"/>
  <cols>
    <col min="1" max="1" width="11.140625" customWidth="1"/>
    <col min="2" max="2" width="40.7109375" customWidth="1"/>
    <col min="3" max="3" width="11" customWidth="1"/>
    <col min="4" max="4" width="10.42578125" customWidth="1"/>
    <col min="5" max="5" width="15.140625" customWidth="1"/>
    <col min="6" max="6" width="18" customWidth="1"/>
    <col min="7" max="8" width="17.140625" customWidth="1"/>
    <col min="9" max="9" width="18.85546875" customWidth="1"/>
    <col min="10" max="10" width="14.5703125" customWidth="1"/>
    <col min="11" max="15" width="13.85546875" customWidth="1"/>
    <col min="16" max="16" width="16.28515625" customWidth="1"/>
  </cols>
  <sheetData>
    <row r="1" spans="1:19" s="1" customFormat="1" ht="15" customHeight="1">
      <c r="B1" s="2405"/>
      <c r="C1" s="2430" t="s">
        <v>542</v>
      </c>
      <c r="D1" s="2431"/>
      <c r="E1" s="2431"/>
      <c r="F1" s="2431"/>
      <c r="G1" s="2431"/>
      <c r="H1" s="2431"/>
      <c r="I1" s="2431"/>
      <c r="J1" s="2431"/>
      <c r="K1" s="2431"/>
      <c r="L1" s="2431"/>
      <c r="M1" s="2431"/>
      <c r="N1" s="2432"/>
      <c r="O1" s="2495" t="s">
        <v>539</v>
      </c>
      <c r="P1" s="2496"/>
      <c r="Q1"/>
      <c r="R1"/>
      <c r="S1"/>
    </row>
    <row r="2" spans="1:19" s="1" customFormat="1" ht="15" customHeight="1">
      <c r="B2" s="2406"/>
      <c r="C2" s="2433"/>
      <c r="D2" s="2434"/>
      <c r="E2" s="2434"/>
      <c r="F2" s="2434"/>
      <c r="G2" s="2434"/>
      <c r="H2" s="2434"/>
      <c r="I2" s="2434"/>
      <c r="J2" s="2434"/>
      <c r="K2" s="2434"/>
      <c r="L2" s="2434"/>
      <c r="M2" s="2434"/>
      <c r="N2" s="2435"/>
      <c r="O2" s="2497" t="s">
        <v>540</v>
      </c>
      <c r="P2" s="2498"/>
      <c r="Q2"/>
      <c r="R2"/>
      <c r="S2"/>
    </row>
    <row r="3" spans="1:19" ht="15.75" thickBot="1">
      <c r="B3" s="2407"/>
      <c r="C3" s="2436"/>
      <c r="D3" s="2437"/>
      <c r="E3" s="2437"/>
      <c r="F3" s="2437"/>
      <c r="G3" s="2437"/>
      <c r="H3" s="2437"/>
      <c r="I3" s="2437"/>
      <c r="J3" s="2437"/>
      <c r="K3" s="2437"/>
      <c r="L3" s="2437"/>
      <c r="M3" s="2437"/>
      <c r="N3" s="2438"/>
      <c r="O3" s="2499" t="s">
        <v>541</v>
      </c>
      <c r="P3" s="2500"/>
    </row>
    <row r="4" spans="1:19" ht="6" customHeight="1" thickBot="1"/>
    <row r="5" spans="1:19" ht="14.25" customHeight="1" thickBot="1">
      <c r="B5" s="2493" t="s">
        <v>405</v>
      </c>
      <c r="C5" s="2493"/>
      <c r="D5" s="2493"/>
      <c r="E5" s="2493"/>
      <c r="F5" s="2493"/>
      <c r="G5" s="2493"/>
      <c r="H5" s="2493"/>
      <c r="I5" s="2493"/>
      <c r="J5" s="2493"/>
      <c r="K5" s="2493"/>
      <c r="L5" s="2493"/>
      <c r="M5" s="2493"/>
      <c r="N5" s="2493"/>
      <c r="O5" s="2493"/>
      <c r="P5" s="2493"/>
    </row>
    <row r="6" spans="1:19" ht="14.25" customHeight="1" thickBot="1">
      <c r="B6" s="2493" t="s">
        <v>180</v>
      </c>
      <c r="C6" s="2493"/>
      <c r="D6" s="2493"/>
      <c r="E6" s="2493"/>
      <c r="F6" s="2493"/>
      <c r="G6" s="2493"/>
      <c r="H6" s="2493"/>
      <c r="I6" s="2493"/>
      <c r="J6" s="2493"/>
      <c r="K6" s="2493"/>
      <c r="L6" s="2493"/>
      <c r="M6" s="2493"/>
      <c r="N6" s="2493"/>
      <c r="O6" s="2493"/>
      <c r="P6" s="2493"/>
    </row>
    <row r="7" spans="1:19" ht="15.75" thickBot="1">
      <c r="A7" s="2468" t="s">
        <v>383</v>
      </c>
      <c r="B7" s="2493" t="s">
        <v>197</v>
      </c>
      <c r="C7" s="2494">
        <v>2023</v>
      </c>
      <c r="D7" s="2494"/>
      <c r="E7" s="2494"/>
      <c r="F7" s="2494"/>
      <c r="G7" s="2494"/>
      <c r="H7" s="2494"/>
      <c r="I7" s="2494"/>
      <c r="J7" s="2398" t="s">
        <v>1213</v>
      </c>
      <c r="K7" s="2399"/>
      <c r="L7" s="2399"/>
      <c r="M7" s="2399"/>
      <c r="N7" s="2399"/>
      <c r="O7" s="2400"/>
      <c r="P7" s="2489" t="s">
        <v>453</v>
      </c>
    </row>
    <row r="8" spans="1:19" ht="15.75" thickBot="1">
      <c r="A8" s="2469"/>
      <c r="B8" s="2493"/>
      <c r="C8" s="2414" t="s">
        <v>249</v>
      </c>
      <c r="D8" s="2397" t="s">
        <v>200</v>
      </c>
      <c r="E8" s="2493" t="s">
        <v>248</v>
      </c>
      <c r="F8" s="2493"/>
      <c r="G8" s="2493"/>
      <c r="H8" s="2493"/>
      <c r="I8" s="2397" t="s">
        <v>204</v>
      </c>
      <c r="J8" s="2489" t="s">
        <v>203</v>
      </c>
      <c r="K8" s="2489" t="s">
        <v>201</v>
      </c>
      <c r="L8" s="2489" t="s">
        <v>202</v>
      </c>
      <c r="M8" s="2489" t="s">
        <v>251</v>
      </c>
      <c r="N8" s="2489" t="s">
        <v>1220</v>
      </c>
      <c r="O8" s="2418" t="s">
        <v>341</v>
      </c>
      <c r="P8" s="2423"/>
    </row>
    <row r="9" spans="1:19" ht="27.75" customHeight="1" thickBot="1">
      <c r="A9" s="2470"/>
      <c r="B9" s="2493"/>
      <c r="C9" s="2414"/>
      <c r="D9" s="2397"/>
      <c r="E9" s="936" t="s">
        <v>201</v>
      </c>
      <c r="F9" s="936" t="s">
        <v>203</v>
      </c>
      <c r="G9" s="936" t="s">
        <v>232</v>
      </c>
      <c r="H9" s="936" t="s">
        <v>251</v>
      </c>
      <c r="I9" s="2397"/>
      <c r="J9" s="2401"/>
      <c r="K9" s="2401"/>
      <c r="L9" s="2401"/>
      <c r="M9" s="2401"/>
      <c r="N9" s="2401"/>
      <c r="O9" s="2419"/>
      <c r="P9" s="2401"/>
    </row>
    <row r="10" spans="1:19" ht="39" thickBot="1">
      <c r="A10" s="200">
        <v>3201009</v>
      </c>
      <c r="B10" s="403" t="s">
        <v>46</v>
      </c>
      <c r="C10" s="404" t="s">
        <v>214</v>
      </c>
      <c r="D10" s="404">
        <v>100</v>
      </c>
      <c r="E10" s="405">
        <f>+E11</f>
        <v>0</v>
      </c>
      <c r="F10" s="405">
        <f>+F11</f>
        <v>18699921.1008</v>
      </c>
      <c r="G10" s="405">
        <f>+G11</f>
        <v>0</v>
      </c>
      <c r="H10" s="405">
        <f>+H11</f>
        <v>0</v>
      </c>
      <c r="I10" s="406">
        <f>+SUM(I11)</f>
        <v>18699921.1008</v>
      </c>
      <c r="J10" s="405">
        <f>+SUM(J11)</f>
        <v>0</v>
      </c>
      <c r="K10" s="405">
        <f t="shared" ref="K10:P10" si="0">+SUM(K11)</f>
        <v>5433032</v>
      </c>
      <c r="L10" s="405">
        <f t="shared" si="0"/>
        <v>0</v>
      </c>
      <c r="M10" s="405">
        <f t="shared" si="0"/>
        <v>0</v>
      </c>
      <c r="N10" s="405">
        <f t="shared" si="0"/>
        <v>0</v>
      </c>
      <c r="O10" s="406">
        <f t="shared" si="0"/>
        <v>5433032</v>
      </c>
      <c r="P10" s="1642">
        <f t="shared" si="0"/>
        <v>24132953.1008</v>
      </c>
    </row>
    <row r="11" spans="1:19" ht="39" thickBot="1">
      <c r="B11" s="376" t="s">
        <v>252</v>
      </c>
      <c r="C11" s="407" t="s">
        <v>214</v>
      </c>
      <c r="D11" s="407">
        <v>100</v>
      </c>
      <c r="E11" s="408">
        <f>+'ACCIONES 320103'!I11</f>
        <v>0</v>
      </c>
      <c r="F11" s="408">
        <f>+'ACCIONES 320103'!J11</f>
        <v>18699921.1008</v>
      </c>
      <c r="G11" s="408">
        <f>+'ACCIONES 320103'!K11</f>
        <v>0</v>
      </c>
      <c r="H11" s="408">
        <f>+'ACCIONES 320103'!L11</f>
        <v>0</v>
      </c>
      <c r="I11" s="409">
        <f>+'ACCIONES 320103'!M11</f>
        <v>18699921.1008</v>
      </c>
      <c r="J11" s="408">
        <f>+'ACCIONES 320103'!N11</f>
        <v>0</v>
      </c>
      <c r="K11" s="408">
        <f>+'ACCIONES 320103'!O11</f>
        <v>5433032</v>
      </c>
      <c r="L11" s="408">
        <f>+'ACCIONES 320103'!P11</f>
        <v>0</v>
      </c>
      <c r="M11" s="408">
        <f>+'ACCIONES 320103'!Q11</f>
        <v>0</v>
      </c>
      <c r="N11" s="408">
        <f>+'ACCIONES 320103'!R11</f>
        <v>0</v>
      </c>
      <c r="O11" s="409">
        <f>+'ACCIONES 320103'!S11</f>
        <v>5433032</v>
      </c>
      <c r="P11" s="1643">
        <f>+'ACCIONES 320103'!T11</f>
        <v>24132953.1008</v>
      </c>
    </row>
    <row r="12" spans="1:19" s="183" customFormat="1" ht="39" thickBot="1">
      <c r="A12" s="206">
        <v>3201009</v>
      </c>
      <c r="B12" s="410" t="s">
        <v>48</v>
      </c>
      <c r="C12" s="411" t="s">
        <v>214</v>
      </c>
      <c r="D12" s="411">
        <v>100</v>
      </c>
      <c r="E12" s="412">
        <f>+E13</f>
        <v>0</v>
      </c>
      <c r="F12" s="412">
        <f>+F13</f>
        <v>77614758.143999994</v>
      </c>
      <c r="G12" s="412">
        <f>+G13</f>
        <v>0</v>
      </c>
      <c r="H12" s="412">
        <f>+H13</f>
        <v>0</v>
      </c>
      <c r="I12" s="413">
        <f>+'ACCIONES 320103'!M16</f>
        <v>77614758.143999994</v>
      </c>
      <c r="J12" s="412">
        <f>+J13</f>
        <v>0</v>
      </c>
      <c r="K12" s="412">
        <f t="shared" ref="K12:P12" si="1">+K13</f>
        <v>0</v>
      </c>
      <c r="L12" s="412">
        <f t="shared" si="1"/>
        <v>0</v>
      </c>
      <c r="M12" s="412">
        <f t="shared" si="1"/>
        <v>0</v>
      </c>
      <c r="N12" s="412">
        <f t="shared" si="1"/>
        <v>0</v>
      </c>
      <c r="O12" s="413">
        <f t="shared" si="1"/>
        <v>0</v>
      </c>
      <c r="P12" s="1644">
        <f t="shared" si="1"/>
        <v>77614758.143999994</v>
      </c>
    </row>
    <row r="13" spans="1:19" ht="39" thickBot="1">
      <c r="B13" s="376" t="s">
        <v>253</v>
      </c>
      <c r="C13" s="407" t="s">
        <v>214</v>
      </c>
      <c r="D13" s="407">
        <f>+D12</f>
        <v>100</v>
      </c>
      <c r="E13" s="408">
        <f>+'ACCIONES 320103'!I17</f>
        <v>0</v>
      </c>
      <c r="F13" s="408">
        <f>+'ACCIONES 320103'!J17</f>
        <v>77614758.143999994</v>
      </c>
      <c r="G13" s="408">
        <f>+'ACCIONES 320103'!K17</f>
        <v>0</v>
      </c>
      <c r="H13" s="408">
        <f>+'ACCIONES 320103'!L17</f>
        <v>0</v>
      </c>
      <c r="I13" s="409">
        <f>+'ACCIONES 320103'!M17</f>
        <v>77614758.143999994</v>
      </c>
      <c r="J13" s="408">
        <f>+'ACCIONES 320103'!N17</f>
        <v>0</v>
      </c>
      <c r="K13" s="408">
        <f>+'ACCIONES 320103'!O17</f>
        <v>0</v>
      </c>
      <c r="L13" s="408">
        <f>+'ACCIONES 320103'!P17</f>
        <v>0</v>
      </c>
      <c r="M13" s="408">
        <f>+'ACCIONES 320103'!Q17</f>
        <v>0</v>
      </c>
      <c r="N13" s="408">
        <f>+'ACCIONES 320103'!R17</f>
        <v>0</v>
      </c>
      <c r="O13" s="409">
        <f>+'ACCIONES 320103'!S17</f>
        <v>0</v>
      </c>
      <c r="P13" s="1643">
        <f>+'ACCIONES 320103'!T17</f>
        <v>77614758.143999994</v>
      </c>
    </row>
    <row r="14" spans="1:19" ht="26.25" thickBot="1">
      <c r="A14" s="199">
        <v>3201026</v>
      </c>
      <c r="B14" s="414" t="s">
        <v>49</v>
      </c>
      <c r="C14" s="404" t="s">
        <v>214</v>
      </c>
      <c r="D14" s="404">
        <v>100</v>
      </c>
      <c r="E14" s="405">
        <f>+E15</f>
        <v>184347018.98280007</v>
      </c>
      <c r="F14" s="405">
        <f>+F15</f>
        <v>150152892.49527678</v>
      </c>
      <c r="G14" s="405">
        <f>+G15</f>
        <v>25879623.978368025</v>
      </c>
      <c r="H14" s="405">
        <f>+H15</f>
        <v>12552746.241776001</v>
      </c>
      <c r="I14" s="406">
        <f>+'ACCIONES 320103'!M20</f>
        <v>372932281.69822085</v>
      </c>
      <c r="J14" s="405">
        <f>+J15</f>
        <v>0</v>
      </c>
      <c r="K14" s="405">
        <f t="shared" ref="K14:P14" si="2">+K15</f>
        <v>121803547.02403182</v>
      </c>
      <c r="L14" s="405">
        <f t="shared" si="2"/>
        <v>93137690.280000001</v>
      </c>
      <c r="M14" s="405">
        <f t="shared" si="2"/>
        <v>49849016.129600003</v>
      </c>
      <c r="N14" s="405">
        <f t="shared" si="2"/>
        <v>0</v>
      </c>
      <c r="O14" s="406">
        <f t="shared" si="2"/>
        <v>264790253.43363184</v>
      </c>
      <c r="P14" s="1642">
        <f t="shared" si="2"/>
        <v>637722535.13185263</v>
      </c>
    </row>
    <row r="15" spans="1:19" ht="26.25" thickBot="1">
      <c r="B15" s="376" t="s">
        <v>254</v>
      </c>
      <c r="C15" s="407" t="s">
        <v>214</v>
      </c>
      <c r="D15" s="407">
        <v>100</v>
      </c>
      <c r="E15" s="408">
        <f>+'ACCIONES 320103'!I21</f>
        <v>184347018.98280007</v>
      </c>
      <c r="F15" s="408">
        <f>+'ACCIONES 320103'!J21</f>
        <v>150152892.49527678</v>
      </c>
      <c r="G15" s="408">
        <f>+'ACCIONES 320103'!K21</f>
        <v>25879623.978368025</v>
      </c>
      <c r="H15" s="408">
        <f>+'ACCIONES 320103'!L21</f>
        <v>12552746.241776001</v>
      </c>
      <c r="I15" s="409">
        <f>+'ACCIONES 320103'!M21</f>
        <v>372932281.69822085</v>
      </c>
      <c r="J15" s="408">
        <f>+'ACCIONES 320103'!N21</f>
        <v>0</v>
      </c>
      <c r="K15" s="408">
        <f>+'ACCIONES 320103'!O21</f>
        <v>121803547.02403182</v>
      </c>
      <c r="L15" s="408">
        <f>+'ACCIONES 320103'!P21</f>
        <v>93137690.280000001</v>
      </c>
      <c r="M15" s="408">
        <f>+'ACCIONES 320103'!Q21</f>
        <v>49849016.129600003</v>
      </c>
      <c r="N15" s="408">
        <f>+'ACCIONES 320103'!R21</f>
        <v>0</v>
      </c>
      <c r="O15" s="409">
        <f>+'ACCIONES 320103'!S21</f>
        <v>264790253.43363184</v>
      </c>
      <c r="P15" s="1643">
        <f>+'ACCIONES 320103'!T21</f>
        <v>637722535.13185263</v>
      </c>
    </row>
    <row r="16" spans="1:19" ht="39" thickBot="1">
      <c r="A16" s="207"/>
      <c r="B16" s="415" t="s">
        <v>50</v>
      </c>
      <c r="C16" s="404" t="s">
        <v>255</v>
      </c>
      <c r="D16" s="404">
        <v>60</v>
      </c>
      <c r="E16" s="405">
        <f>+E17</f>
        <v>0</v>
      </c>
      <c r="F16" s="405">
        <f>+F17</f>
        <v>0</v>
      </c>
      <c r="G16" s="405">
        <f>+G17</f>
        <v>0</v>
      </c>
      <c r="H16" s="405">
        <f>+H17</f>
        <v>0</v>
      </c>
      <c r="I16" s="406">
        <f>+'ACCIONES 320103'!M90</f>
        <v>0</v>
      </c>
      <c r="J16" s="405">
        <f>+J17</f>
        <v>0</v>
      </c>
      <c r="K16" s="405">
        <f t="shared" ref="K16:P16" si="3">+K17</f>
        <v>0</v>
      </c>
      <c r="L16" s="405">
        <f t="shared" si="3"/>
        <v>0</v>
      </c>
      <c r="M16" s="405">
        <f t="shared" si="3"/>
        <v>0</v>
      </c>
      <c r="N16" s="405">
        <f t="shared" si="3"/>
        <v>0</v>
      </c>
      <c r="O16" s="406">
        <f t="shared" si="3"/>
        <v>0</v>
      </c>
      <c r="P16" s="1642">
        <f t="shared" si="3"/>
        <v>0</v>
      </c>
    </row>
    <row r="17" spans="1:16" ht="26.25" thickBot="1">
      <c r="B17" s="376" t="s">
        <v>256</v>
      </c>
      <c r="C17" s="407" t="s">
        <v>255</v>
      </c>
      <c r="D17" s="407">
        <f>+D16</f>
        <v>60</v>
      </c>
      <c r="E17" s="408">
        <f>+'ACCIONES 320103'!I91</f>
        <v>0</v>
      </c>
      <c r="F17" s="408">
        <f>+'ACCIONES 320103'!J91</f>
        <v>0</v>
      </c>
      <c r="G17" s="408">
        <f>+'ACCIONES 320103'!K91</f>
        <v>0</v>
      </c>
      <c r="H17" s="408">
        <f>+'ACCIONES 320103'!L91</f>
        <v>0</v>
      </c>
      <c r="I17" s="409">
        <f>+'ACCIONES 320103'!M91</f>
        <v>0</v>
      </c>
      <c r="J17" s="408">
        <f>+'ACCIONES 320103'!N91</f>
        <v>0</v>
      </c>
      <c r="K17" s="408">
        <f>+'ACCIONES 320103'!O91</f>
        <v>0</v>
      </c>
      <c r="L17" s="408">
        <f>+'ACCIONES 320103'!P91</f>
        <v>0</v>
      </c>
      <c r="M17" s="408">
        <f>+'ACCIONES 320103'!Q91</f>
        <v>0</v>
      </c>
      <c r="N17" s="408">
        <f>+'ACCIONES 320103'!R91</f>
        <v>0</v>
      </c>
      <c r="O17" s="409">
        <f>+'ACCIONES 320103'!S91</f>
        <v>0</v>
      </c>
      <c r="P17" s="1643">
        <f>+'ACCIONES 320103'!T91</f>
        <v>0</v>
      </c>
    </row>
    <row r="18" spans="1:16" ht="26.25" thickBot="1">
      <c r="A18" s="202">
        <v>3201025</v>
      </c>
      <c r="B18" s="416" t="s">
        <v>51</v>
      </c>
      <c r="C18" s="411" t="s">
        <v>214</v>
      </c>
      <c r="D18" s="411">
        <v>80</v>
      </c>
      <c r="E18" s="412">
        <f>+E19+E20</f>
        <v>100331185.5</v>
      </c>
      <c r="F18" s="412">
        <f>+F19+F20</f>
        <v>147001518.97773996</v>
      </c>
      <c r="G18" s="412">
        <f>+G19+G20</f>
        <v>54064639.420000002</v>
      </c>
      <c r="H18" s="412">
        <f>+H19+H20</f>
        <v>35202991.188223995</v>
      </c>
      <c r="I18" s="413">
        <f>+'ACCIONES 320103'!M95</f>
        <v>336600335.0859639</v>
      </c>
      <c r="J18" s="412">
        <f>+SUM(J19:J20)</f>
        <v>0</v>
      </c>
      <c r="K18" s="412">
        <f t="shared" ref="K18:P18" si="4">+SUM(K19:K20)</f>
        <v>82623776.995200008</v>
      </c>
      <c r="L18" s="412">
        <f t="shared" si="4"/>
        <v>0</v>
      </c>
      <c r="M18" s="412">
        <f t="shared" si="4"/>
        <v>34352589.017999992</v>
      </c>
      <c r="N18" s="412">
        <f t="shared" si="4"/>
        <v>15765783</v>
      </c>
      <c r="O18" s="413">
        <f t="shared" si="4"/>
        <v>132742149.0132</v>
      </c>
      <c r="P18" s="1644">
        <f t="shared" si="4"/>
        <v>469342484.09916389</v>
      </c>
    </row>
    <row r="19" spans="1:16" ht="25.5">
      <c r="B19" s="402" t="s">
        <v>257</v>
      </c>
      <c r="C19" s="568" t="s">
        <v>214</v>
      </c>
      <c r="D19" s="568">
        <f>+D18</f>
        <v>80</v>
      </c>
      <c r="E19" s="23">
        <f>+'ACCIONES 320103'!I96</f>
        <v>100331185.5</v>
      </c>
      <c r="F19" s="23">
        <f>+'ACCIONES 320103'!J96</f>
        <v>147001518.97773996</v>
      </c>
      <c r="G19" s="23">
        <f>+'ACCIONES 320103'!K96</f>
        <v>32834200.5</v>
      </c>
      <c r="H19" s="23">
        <f>+'ACCIONES 320103'!L96</f>
        <v>35202991.188223995</v>
      </c>
      <c r="I19" s="24">
        <f>+'ACCIONES 320103'!M96</f>
        <v>315369896.16596389</v>
      </c>
      <c r="J19" s="23">
        <f>+'ACCIONES 320103'!N96</f>
        <v>0</v>
      </c>
      <c r="K19" s="23">
        <f>+'ACCIONES 320103'!O96</f>
        <v>82623776.995200008</v>
      </c>
      <c r="L19" s="23">
        <f>+'ACCIONES 320103'!P96</f>
        <v>0</v>
      </c>
      <c r="M19" s="23">
        <f>+'ACCIONES 320103'!Q96</f>
        <v>34352589.017999992</v>
      </c>
      <c r="N19" s="23">
        <f>+'ACCIONES 320103'!R96</f>
        <v>0</v>
      </c>
      <c r="O19" s="24">
        <f>+'ACCIONES 320103'!S96</f>
        <v>116976366.0132</v>
      </c>
      <c r="P19" s="1645">
        <f>+'ACCIONES 320103'!T96</f>
        <v>432346262.17916387</v>
      </c>
    </row>
    <row r="20" spans="1:16" ht="26.25" thickBot="1">
      <c r="B20" s="417" t="s">
        <v>449</v>
      </c>
      <c r="C20" s="407" t="s">
        <v>214</v>
      </c>
      <c r="D20" s="18">
        <v>80</v>
      </c>
      <c r="E20" s="418">
        <f>+'ACCIONES 320103'!I151</f>
        <v>0</v>
      </c>
      <c r="F20" s="418">
        <f>+'ACCIONES 320103'!J151</f>
        <v>0</v>
      </c>
      <c r="G20" s="418">
        <f>+'ACCIONES 320103'!K151</f>
        <v>21230438.919999998</v>
      </c>
      <c r="H20" s="418">
        <f>+'ACCIONES 320103'!L151</f>
        <v>0</v>
      </c>
      <c r="I20" s="606">
        <f>+'ACCIONES 320103'!M151</f>
        <v>21230438.919999998</v>
      </c>
      <c r="J20" s="418">
        <f>+'ACCIONES 320103'!N151</f>
        <v>0</v>
      </c>
      <c r="K20" s="418">
        <f>+'ACCIONES 320103'!O151</f>
        <v>0</v>
      </c>
      <c r="L20" s="418">
        <f>+'ACCIONES 320103'!P151</f>
        <v>0</v>
      </c>
      <c r="M20" s="418">
        <f>+'ACCIONES 320103'!Q151</f>
        <v>0</v>
      </c>
      <c r="N20" s="418">
        <f>+'ACCIONES 320103'!R151</f>
        <v>15765783</v>
      </c>
      <c r="O20" s="606">
        <f>+'ACCIONES 320103'!S151</f>
        <v>15765783</v>
      </c>
      <c r="P20" s="1646">
        <f>+'ACCIONES 320103'!T151</f>
        <v>36996221.920000002</v>
      </c>
    </row>
    <row r="21" spans="1:16" ht="26.25" thickBot="1">
      <c r="A21" s="199">
        <v>3201022</v>
      </c>
      <c r="B21" s="414" t="s">
        <v>52</v>
      </c>
      <c r="C21" s="404" t="s">
        <v>214</v>
      </c>
      <c r="D21" s="404">
        <v>35</v>
      </c>
      <c r="E21" s="405">
        <f>+E22+E23</f>
        <v>2000000.4299999503</v>
      </c>
      <c r="F21" s="405">
        <f>+F22+F23</f>
        <v>507565802.99225748</v>
      </c>
      <c r="G21" s="405">
        <f>+G22+G23</f>
        <v>67542334.16270341</v>
      </c>
      <c r="H21" s="405">
        <f>+H22+H23</f>
        <v>0</v>
      </c>
      <c r="I21" s="406">
        <f>+'ACCIONES 320103'!M161</f>
        <v>577108137.58496094</v>
      </c>
      <c r="J21" s="405">
        <f>+SUM(J22:J23)</f>
        <v>19602728</v>
      </c>
      <c r="K21" s="405">
        <f t="shared" ref="K21:P21" si="5">+SUM(K22:K23)</f>
        <v>40497491.278367899</v>
      </c>
      <c r="L21" s="405">
        <f t="shared" si="5"/>
        <v>0</v>
      </c>
      <c r="M21" s="405">
        <f t="shared" si="5"/>
        <v>0</v>
      </c>
      <c r="N21" s="405">
        <f t="shared" si="5"/>
        <v>15765783</v>
      </c>
      <c r="O21" s="406">
        <f t="shared" si="5"/>
        <v>75866002.278367907</v>
      </c>
      <c r="P21" s="1642">
        <f t="shared" si="5"/>
        <v>652974139.86332881</v>
      </c>
    </row>
    <row r="22" spans="1:16" ht="25.5">
      <c r="B22" s="402" t="s">
        <v>261</v>
      </c>
      <c r="C22" s="568" t="s">
        <v>214</v>
      </c>
      <c r="D22" s="568">
        <v>30</v>
      </c>
      <c r="E22" s="419">
        <f>+'ACCIONES 320103'!I162</f>
        <v>2000000.4299999503</v>
      </c>
      <c r="F22" s="419">
        <f>+'ACCIONES 320103'!J162</f>
        <v>507565802.99225748</v>
      </c>
      <c r="G22" s="419">
        <f>+'ACCIONES 320103'!K162</f>
        <v>46635618.442703411</v>
      </c>
      <c r="H22" s="419">
        <f>+'ACCIONES 320103'!L162</f>
        <v>0</v>
      </c>
      <c r="I22" s="607">
        <f>+'ACCIONES 320103'!M162</f>
        <v>556201421.86496091</v>
      </c>
      <c r="J22" s="419">
        <f>+'ACCIONES 320103'!N162</f>
        <v>19602728</v>
      </c>
      <c r="K22" s="419">
        <f>+'ACCIONES 320103'!O162</f>
        <v>40497491.278367899</v>
      </c>
      <c r="L22" s="419">
        <f>+'ACCIONES 320103'!P162</f>
        <v>0</v>
      </c>
      <c r="M22" s="419">
        <f>+'ACCIONES 320103'!Q162</f>
        <v>0</v>
      </c>
      <c r="N22" s="419">
        <f>+'ACCIONES 320103'!R162</f>
        <v>0</v>
      </c>
      <c r="O22" s="607">
        <f>+'ACCIONES 320103'!S162</f>
        <v>60100219.278367899</v>
      </c>
      <c r="P22" s="1647">
        <f>+'ACCIONES 320103'!T162</f>
        <v>616301641.14332879</v>
      </c>
    </row>
    <row r="23" spans="1:16" ht="26.25" thickBot="1">
      <c r="B23" s="52" t="s">
        <v>450</v>
      </c>
      <c r="C23" s="407" t="s">
        <v>214</v>
      </c>
      <c r="D23" s="18">
        <v>30</v>
      </c>
      <c r="E23" s="420">
        <f>+'ACCIONES 320103'!I198</f>
        <v>0</v>
      </c>
      <c r="F23" s="420">
        <f>+'ACCIONES 320103'!J198</f>
        <v>0</v>
      </c>
      <c r="G23" s="420">
        <f>+'ACCIONES 320103'!K198</f>
        <v>20906715.719999999</v>
      </c>
      <c r="H23" s="420">
        <f>+'ACCIONES 320103'!L198</f>
        <v>0</v>
      </c>
      <c r="I23" s="608">
        <f>+'ACCIONES 320103'!M198</f>
        <v>20906715.719999999</v>
      </c>
      <c r="J23" s="420">
        <f>+'ACCIONES 320103'!N198</f>
        <v>0</v>
      </c>
      <c r="K23" s="420">
        <f>+'ACCIONES 320103'!O198</f>
        <v>0</v>
      </c>
      <c r="L23" s="420">
        <f>+'ACCIONES 320103'!P198</f>
        <v>0</v>
      </c>
      <c r="M23" s="420">
        <f>+'ACCIONES 320103'!Q198</f>
        <v>0</v>
      </c>
      <c r="N23" s="420">
        <f>+'ACCIONES 320103'!R198</f>
        <v>15765783</v>
      </c>
      <c r="O23" s="608">
        <f>+'ACCIONES 320103'!S198</f>
        <v>15765783</v>
      </c>
      <c r="P23" s="1648">
        <f>+O23+I23</f>
        <v>36672498.719999999</v>
      </c>
    </row>
    <row r="24" spans="1:16" ht="51.75" thickBot="1">
      <c r="A24" s="202">
        <v>3201008</v>
      </c>
      <c r="B24" s="416" t="s">
        <v>258</v>
      </c>
      <c r="C24" s="411" t="s">
        <v>210</v>
      </c>
      <c r="D24" s="423">
        <v>120</v>
      </c>
      <c r="E24" s="424">
        <f>+E25+E26</f>
        <v>0</v>
      </c>
      <c r="F24" s="424">
        <f>+F25+F26</f>
        <v>7911917.8104141001</v>
      </c>
      <c r="G24" s="424">
        <f>+G25+G26</f>
        <v>0</v>
      </c>
      <c r="H24" s="424">
        <f>+H25+H26</f>
        <v>0</v>
      </c>
      <c r="I24" s="413">
        <f>+'ACCIONES 320103'!M208</f>
        <v>7911917.8104141001</v>
      </c>
      <c r="J24" s="412">
        <f>+SUM(J25:J26)</f>
        <v>0</v>
      </c>
      <c r="K24" s="412">
        <f t="shared" ref="K24" si="6">+SUM(K25:K26)</f>
        <v>0</v>
      </c>
      <c r="L24" s="412">
        <f t="shared" ref="L24" si="7">+SUM(L25:L26)</f>
        <v>0</v>
      </c>
      <c r="M24" s="412">
        <f t="shared" ref="M24" si="8">+SUM(M25:M26)</f>
        <v>0</v>
      </c>
      <c r="N24" s="412">
        <f t="shared" ref="N24" si="9">+SUM(N25:N26)</f>
        <v>0</v>
      </c>
      <c r="O24" s="413">
        <f t="shared" ref="O24" si="10">+SUM(O25:O26)</f>
        <v>0</v>
      </c>
      <c r="P24" s="1644">
        <f t="shared" ref="P24" si="11">+SUM(P25:P26)</f>
        <v>7911917.8104141001</v>
      </c>
    </row>
    <row r="25" spans="1:16" ht="25.5">
      <c r="B25" s="421" t="s">
        <v>259</v>
      </c>
      <c r="C25" s="568" t="s">
        <v>210</v>
      </c>
      <c r="D25" s="422">
        <v>120</v>
      </c>
      <c r="E25" s="419">
        <f>+'ACCIONES 320103'!I209</f>
        <v>0</v>
      </c>
      <c r="F25" s="419">
        <f>+'ACCIONES 320103'!J209</f>
        <v>7911917.8104141001</v>
      </c>
      <c r="G25" s="419">
        <f>+'ACCIONES 320103'!K209</f>
        <v>0</v>
      </c>
      <c r="H25" s="419">
        <f>+'ACCIONES 320103'!L209</f>
        <v>0</v>
      </c>
      <c r="I25" s="607">
        <f>+'ACCIONES 320103'!M209</f>
        <v>7911917.8104141001</v>
      </c>
      <c r="J25" s="419">
        <f>+'ACCIONES 320103'!N209</f>
        <v>0</v>
      </c>
      <c r="K25" s="419">
        <f>+'ACCIONES 320103'!O209</f>
        <v>0</v>
      </c>
      <c r="L25" s="419">
        <f>+'ACCIONES 320103'!P209</f>
        <v>0</v>
      </c>
      <c r="M25" s="419">
        <f>+'ACCIONES 320103'!Q209</f>
        <v>0</v>
      </c>
      <c r="N25" s="419">
        <f>+'ACCIONES 320103'!R209</f>
        <v>0</v>
      </c>
      <c r="O25" s="607">
        <f>+'ACCIONES 320103'!S209</f>
        <v>0</v>
      </c>
      <c r="P25" s="1647">
        <f>+'ACCIONES 320103'!T209</f>
        <v>7911917.8104141001</v>
      </c>
    </row>
    <row r="26" spans="1:16" ht="26.25" thickBot="1">
      <c r="B26" s="425" t="s">
        <v>260</v>
      </c>
      <c r="C26" s="18" t="s">
        <v>210</v>
      </c>
      <c r="D26" s="426">
        <v>120</v>
      </c>
      <c r="E26" s="420">
        <f>+'ACCIONES 320103'!I211</f>
        <v>0</v>
      </c>
      <c r="F26" s="420">
        <f>+'ACCIONES 320103'!J211</f>
        <v>0</v>
      </c>
      <c r="G26" s="420">
        <f>+'ACCIONES 320103'!K211</f>
        <v>0</v>
      </c>
      <c r="H26" s="420">
        <f>+'ACCIONES 320103'!L211</f>
        <v>0</v>
      </c>
      <c r="I26" s="608">
        <f>+'ACCIONES 320103'!M211</f>
        <v>0</v>
      </c>
      <c r="J26" s="420">
        <f>+'ACCIONES 320103'!N211</f>
        <v>0</v>
      </c>
      <c r="K26" s="420">
        <f>+'ACCIONES 320103'!O211</f>
        <v>0</v>
      </c>
      <c r="L26" s="420">
        <f>+'ACCIONES 320103'!P211</f>
        <v>0</v>
      </c>
      <c r="M26" s="420">
        <f>+'ACCIONES 320103'!Q211</f>
        <v>0</v>
      </c>
      <c r="N26" s="420">
        <f>+'ACCIONES 320103'!R211</f>
        <v>0</v>
      </c>
      <c r="O26" s="608">
        <f>+'ACCIONES 320103'!S211</f>
        <v>0</v>
      </c>
      <c r="P26" s="1648">
        <f>+'ACCIONES 320103'!T211</f>
        <v>0</v>
      </c>
    </row>
    <row r="27" spans="1:16" ht="26.25" thickBot="1">
      <c r="A27" s="202">
        <v>3201008</v>
      </c>
      <c r="B27" s="416" t="s">
        <v>262</v>
      </c>
      <c r="C27" s="411" t="s">
        <v>210</v>
      </c>
      <c r="D27" s="411">
        <v>1</v>
      </c>
      <c r="E27" s="412">
        <f>+E28+E29</f>
        <v>0</v>
      </c>
      <c r="F27" s="412">
        <f>+F28+F29</f>
        <v>0</v>
      </c>
      <c r="G27" s="412">
        <f>+G28+G29</f>
        <v>0</v>
      </c>
      <c r="H27" s="412">
        <f>+H28+H29</f>
        <v>0</v>
      </c>
      <c r="I27" s="413">
        <f>+'ACCIONES 320103'!M215</f>
        <v>0</v>
      </c>
      <c r="J27" s="412">
        <f>+SUM(J28:J29)</f>
        <v>0</v>
      </c>
      <c r="K27" s="412">
        <f t="shared" ref="K27" si="12">+SUM(K28:K29)</f>
        <v>0</v>
      </c>
      <c r="L27" s="412">
        <f t="shared" ref="L27" si="13">+SUM(L28:L29)</f>
        <v>0</v>
      </c>
      <c r="M27" s="412">
        <f t="shared" ref="M27" si="14">+SUM(M28:M29)</f>
        <v>0</v>
      </c>
      <c r="N27" s="413">
        <f t="shared" ref="N27" si="15">+SUM(N28:N29)</f>
        <v>0</v>
      </c>
      <c r="O27" s="413">
        <f t="shared" ref="O27" si="16">+SUM(O28:O29)</f>
        <v>0</v>
      </c>
      <c r="P27" s="1644">
        <f t="shared" ref="P27" si="17">+SUM(P28:P29)</f>
        <v>0</v>
      </c>
    </row>
    <row r="28" spans="1:16" ht="25.5">
      <c r="B28" s="421" t="s">
        <v>263</v>
      </c>
      <c r="C28" s="568" t="s">
        <v>210</v>
      </c>
      <c r="D28" s="568">
        <v>1</v>
      </c>
      <c r="E28" s="23">
        <f>+'ACCIONES 320103'!I216</f>
        <v>0</v>
      </c>
      <c r="F28" s="23">
        <f>+'ACCIONES 320103'!J216</f>
        <v>0</v>
      </c>
      <c r="G28" s="23">
        <f>+'ACCIONES 320103'!K216</f>
        <v>0</v>
      </c>
      <c r="H28" s="23">
        <f>+'ACCIONES 320103'!L216</f>
        <v>0</v>
      </c>
      <c r="I28" s="24">
        <f>+'ACCIONES 320103'!M216</f>
        <v>0</v>
      </c>
      <c r="J28" s="23">
        <f>+'ACCIONES 320103'!N216</f>
        <v>0</v>
      </c>
      <c r="K28" s="23">
        <f>+'ACCIONES 320103'!O216</f>
        <v>0</v>
      </c>
      <c r="L28" s="23">
        <f>+'ACCIONES 320103'!P216</f>
        <v>0</v>
      </c>
      <c r="M28" s="23">
        <f>+'ACCIONES 320103'!Q216</f>
        <v>0</v>
      </c>
      <c r="N28" s="23">
        <f>+'ACCIONES 320103'!R216</f>
        <v>0</v>
      </c>
      <c r="O28" s="24">
        <f>+'ACCIONES 320103'!S216</f>
        <v>0</v>
      </c>
      <c r="P28" s="1645">
        <f>+'ACCIONES 320103'!T216</f>
        <v>0</v>
      </c>
    </row>
    <row r="29" spans="1:16" ht="26.25" thickBot="1">
      <c r="B29" s="425" t="s">
        <v>264</v>
      </c>
      <c r="C29" s="18" t="s">
        <v>209</v>
      </c>
      <c r="D29" s="18">
        <v>1</v>
      </c>
      <c r="E29" s="418">
        <f>+'ACCIONES 320103'!I211</f>
        <v>0</v>
      </c>
      <c r="F29" s="418">
        <f>+'ACCIONES 320103'!J211</f>
        <v>0</v>
      </c>
      <c r="G29" s="418">
        <f>+'ACCIONES 320103'!K211</f>
        <v>0</v>
      </c>
      <c r="H29" s="418">
        <f>+'ACCIONES 320103'!L211</f>
        <v>0</v>
      </c>
      <c r="I29" s="606">
        <f>+'ACCIONES 320103'!M211</f>
        <v>0</v>
      </c>
      <c r="J29" s="418">
        <f>+'ACCIONES 320103'!N218</f>
        <v>0</v>
      </c>
      <c r="K29" s="418">
        <f>+'ACCIONES 320103'!O218</f>
        <v>0</v>
      </c>
      <c r="L29" s="418">
        <f>+'ACCIONES 320103'!P218</f>
        <v>0</v>
      </c>
      <c r="M29" s="418">
        <f>+'ACCIONES 320103'!Q218</f>
        <v>0</v>
      </c>
      <c r="N29" s="418">
        <f>+'ACCIONES 320103'!R218</f>
        <v>0</v>
      </c>
      <c r="O29" s="606">
        <f>+'ACCIONES 320103'!S218</f>
        <v>0</v>
      </c>
      <c r="P29" s="1646">
        <f>+'ACCIONES 320103'!T218</f>
        <v>0</v>
      </c>
    </row>
    <row r="30" spans="1:16" ht="26.25" thickBot="1">
      <c r="A30" s="202">
        <v>3201008</v>
      </c>
      <c r="B30" s="416" t="s">
        <v>265</v>
      </c>
      <c r="C30" s="411" t="s">
        <v>210</v>
      </c>
      <c r="D30" s="411">
        <v>0</v>
      </c>
      <c r="E30" s="412">
        <f>+E31</f>
        <v>0</v>
      </c>
      <c r="F30" s="412">
        <f>+F31</f>
        <v>0</v>
      </c>
      <c r="G30" s="412">
        <f>+G31</f>
        <v>0</v>
      </c>
      <c r="H30" s="412">
        <f>+H31</f>
        <v>0</v>
      </c>
      <c r="I30" s="413">
        <f>+'ACCIONES 320103'!M221</f>
        <v>0</v>
      </c>
      <c r="J30" s="412">
        <f>+J31</f>
        <v>0</v>
      </c>
      <c r="K30" s="412">
        <f t="shared" ref="K30:P30" si="18">+K31</f>
        <v>0</v>
      </c>
      <c r="L30" s="412">
        <f t="shared" si="18"/>
        <v>0</v>
      </c>
      <c r="M30" s="412">
        <f t="shared" si="18"/>
        <v>0</v>
      </c>
      <c r="N30" s="412">
        <f t="shared" si="18"/>
        <v>0</v>
      </c>
      <c r="O30" s="413">
        <f t="shared" si="18"/>
        <v>0</v>
      </c>
      <c r="P30" s="1644">
        <f t="shared" si="18"/>
        <v>0</v>
      </c>
    </row>
    <row r="31" spans="1:16" ht="39" thickBot="1">
      <c r="B31" s="427" t="s">
        <v>375</v>
      </c>
      <c r="C31" s="407" t="s">
        <v>210</v>
      </c>
      <c r="D31" s="407">
        <v>0</v>
      </c>
      <c r="E31" s="408">
        <f>+'ACCIONES 320103'!I222</f>
        <v>0</v>
      </c>
      <c r="F31" s="408">
        <f>+'ACCIONES 320103'!J222</f>
        <v>0</v>
      </c>
      <c r="G31" s="408">
        <f>+'ACCIONES 320103'!K222</f>
        <v>0</v>
      </c>
      <c r="H31" s="408">
        <f>+'ACCIONES 320103'!L222</f>
        <v>0</v>
      </c>
      <c r="I31" s="409">
        <f>+'ACCIONES 320103'!M222</f>
        <v>0</v>
      </c>
      <c r="J31" s="408">
        <f>+'ACCIONES 320103'!N211</f>
        <v>0</v>
      </c>
      <c r="K31" s="408">
        <f>+'ACCIONES 320103'!O211</f>
        <v>0</v>
      </c>
      <c r="L31" s="408">
        <f>+'ACCIONES 320103'!P211</f>
        <v>0</v>
      </c>
      <c r="M31" s="408">
        <f>+'ACCIONES 320103'!Q211</f>
        <v>0</v>
      </c>
      <c r="N31" s="408">
        <f>+'ACCIONES 320103'!R211</f>
        <v>0</v>
      </c>
      <c r="O31" s="409">
        <f>+'ACCIONES 320103'!S211</f>
        <v>0</v>
      </c>
      <c r="P31" s="1643">
        <f>+'ACCIONES 320103'!T211</f>
        <v>0</v>
      </c>
    </row>
    <row r="32" spans="1:16" ht="39" thickBot="1">
      <c r="A32" s="198">
        <v>3201026</v>
      </c>
      <c r="B32" s="428" t="s">
        <v>268</v>
      </c>
      <c r="C32" s="411" t="s">
        <v>214</v>
      </c>
      <c r="D32" s="411">
        <v>100</v>
      </c>
      <c r="E32" s="412">
        <f>+E33</f>
        <v>0</v>
      </c>
      <c r="F32" s="412">
        <f>+F33</f>
        <v>22761475.814400002</v>
      </c>
      <c r="G32" s="412">
        <f>+G33</f>
        <v>0</v>
      </c>
      <c r="H32" s="412">
        <f>+H33</f>
        <v>0</v>
      </c>
      <c r="I32" s="413">
        <f>+'ACCIONES 320103'!M224</f>
        <v>22761475.814400002</v>
      </c>
      <c r="J32" s="412">
        <f>+J33</f>
        <v>0</v>
      </c>
      <c r="K32" s="412">
        <f t="shared" ref="K32:P32" si="19">+K33</f>
        <v>21732127.782400001</v>
      </c>
      <c r="L32" s="412">
        <f t="shared" si="19"/>
        <v>0</v>
      </c>
      <c r="M32" s="412">
        <f t="shared" si="19"/>
        <v>0</v>
      </c>
      <c r="N32" s="412">
        <f t="shared" si="19"/>
        <v>0</v>
      </c>
      <c r="O32" s="413">
        <f t="shared" si="19"/>
        <v>21732127.782400001</v>
      </c>
      <c r="P32" s="1644">
        <f t="shared" si="19"/>
        <v>44493603.596799999</v>
      </c>
    </row>
    <row r="33" spans="1:16" ht="26.25" thickBot="1">
      <c r="B33" s="427" t="s">
        <v>266</v>
      </c>
      <c r="C33" s="407" t="s">
        <v>214</v>
      </c>
      <c r="D33" s="407">
        <v>100</v>
      </c>
      <c r="E33" s="429">
        <f>+'ACCIONES 320103'!I225</f>
        <v>0</v>
      </c>
      <c r="F33" s="429">
        <f>+'ACCIONES 320103'!J225</f>
        <v>22761475.814400002</v>
      </c>
      <c r="G33" s="429">
        <f>+'ACCIONES 320103'!K225</f>
        <v>0</v>
      </c>
      <c r="H33" s="429">
        <f>+'ACCIONES 320103'!L225</f>
        <v>0</v>
      </c>
      <c r="I33" s="409">
        <f>+'ACCIONES 320103'!M225</f>
        <v>22761475.814400002</v>
      </c>
      <c r="J33" s="429">
        <f>+'ACCIONES 320103'!N225</f>
        <v>0</v>
      </c>
      <c r="K33" s="429">
        <f>+'ACCIONES 320103'!O225</f>
        <v>21732127.782400001</v>
      </c>
      <c r="L33" s="429">
        <f>+'ACCIONES 320103'!P225</f>
        <v>0</v>
      </c>
      <c r="M33" s="429">
        <f>+'ACCIONES 320103'!Q225</f>
        <v>0</v>
      </c>
      <c r="N33" s="429">
        <f>+'ACCIONES 320103'!R225</f>
        <v>0</v>
      </c>
      <c r="O33" s="1640">
        <f>+'ACCIONES 320103'!S225</f>
        <v>21732127.782400001</v>
      </c>
      <c r="P33" s="1649">
        <f>+'ACCIONES 320103'!T225</f>
        <v>44493603.596799999</v>
      </c>
    </row>
    <row r="34" spans="1:16" ht="34.5" customHeight="1" thickBot="1">
      <c r="A34" s="198">
        <v>3201026</v>
      </c>
      <c r="B34" s="428" t="s">
        <v>269</v>
      </c>
      <c r="C34" s="411" t="s">
        <v>214</v>
      </c>
      <c r="D34" s="411">
        <v>100</v>
      </c>
      <c r="E34" s="412">
        <f>+E35</f>
        <v>0</v>
      </c>
      <c r="F34" s="412">
        <f>+F35</f>
        <v>7911917.8104141001</v>
      </c>
      <c r="G34" s="412">
        <f>+G35</f>
        <v>0</v>
      </c>
      <c r="H34" s="412">
        <f>+H35</f>
        <v>0</v>
      </c>
      <c r="I34" s="413">
        <f>+'ACCIONES 320103'!M230</f>
        <v>7911917.8104141001</v>
      </c>
      <c r="J34" s="412">
        <f>+J35</f>
        <v>0</v>
      </c>
      <c r="K34" s="412">
        <f t="shared" ref="K34:P34" si="20">+K35</f>
        <v>0</v>
      </c>
      <c r="L34" s="412">
        <f t="shared" si="20"/>
        <v>0</v>
      </c>
      <c r="M34" s="412">
        <f t="shared" si="20"/>
        <v>0</v>
      </c>
      <c r="N34" s="412">
        <f t="shared" si="20"/>
        <v>0</v>
      </c>
      <c r="O34" s="413">
        <f t="shared" si="20"/>
        <v>0</v>
      </c>
      <c r="P34" s="1644">
        <f t="shared" si="20"/>
        <v>7911917.8104141001</v>
      </c>
    </row>
    <row r="35" spans="1:16" ht="26.25" thickBot="1">
      <c r="B35" s="427" t="s">
        <v>267</v>
      </c>
      <c r="C35" s="407" t="s">
        <v>214</v>
      </c>
      <c r="D35" s="407">
        <v>100</v>
      </c>
      <c r="E35" s="429">
        <f>+'ACCIONES 320103'!I231</f>
        <v>0</v>
      </c>
      <c r="F35" s="429">
        <f>+'ACCIONES 320103'!J231</f>
        <v>7911917.8104141001</v>
      </c>
      <c r="G35" s="429">
        <f>+'ACCIONES 320103'!K231</f>
        <v>0</v>
      </c>
      <c r="H35" s="429">
        <f>+'ACCIONES 320103'!L231</f>
        <v>0</v>
      </c>
      <c r="I35" s="409">
        <f>+'ACCIONES 320103'!M231</f>
        <v>7911917.8104141001</v>
      </c>
      <c r="J35" s="429">
        <f>+'ACCIONES 320103'!N231</f>
        <v>0</v>
      </c>
      <c r="K35" s="429">
        <f>+'ACCIONES 320103'!O231</f>
        <v>0</v>
      </c>
      <c r="L35" s="429">
        <f>+'ACCIONES 320103'!P231</f>
        <v>0</v>
      </c>
      <c r="M35" s="429">
        <f>+'ACCIONES 320103'!Q231</f>
        <v>0</v>
      </c>
      <c r="N35" s="429">
        <f>+'ACCIONES 320103'!R231</f>
        <v>0</v>
      </c>
      <c r="O35" s="1640">
        <f>+'ACCIONES 320103'!S231</f>
        <v>0</v>
      </c>
      <c r="P35" s="1649">
        <f>+'ACCIONES 320103'!T231</f>
        <v>7911917.8104141001</v>
      </c>
    </row>
    <row r="36" spans="1:16" ht="26.25" thickBot="1">
      <c r="A36" s="198">
        <v>3201022</v>
      </c>
      <c r="B36" s="416" t="s">
        <v>38</v>
      </c>
      <c r="C36" s="379" t="s">
        <v>209</v>
      </c>
      <c r="D36" s="379">
        <v>1</v>
      </c>
      <c r="E36" s="431">
        <f>+E37+E38</f>
        <v>0</v>
      </c>
      <c r="F36" s="431">
        <f>+F37+F38</f>
        <v>1534142995.2975998</v>
      </c>
      <c r="G36" s="431">
        <f>+G37+G38</f>
        <v>1013701571.2389286</v>
      </c>
      <c r="H36" s="431">
        <f>+H37+H38</f>
        <v>0</v>
      </c>
      <c r="I36" s="432">
        <f>+'ACCIONES 320103'!M233</f>
        <v>2547844566.5365286</v>
      </c>
      <c r="J36" s="431">
        <f t="shared" ref="J36:O36" si="21">+J37+J38</f>
        <v>2129399.7024002075</v>
      </c>
      <c r="K36" s="431">
        <f t="shared" si="21"/>
        <v>0</v>
      </c>
      <c r="L36" s="431">
        <f t="shared" si="21"/>
        <v>0</v>
      </c>
      <c r="M36" s="431">
        <f t="shared" si="21"/>
        <v>0</v>
      </c>
      <c r="N36" s="431">
        <f t="shared" si="21"/>
        <v>115000000</v>
      </c>
      <c r="O36" s="432">
        <f t="shared" si="21"/>
        <v>117129399.70240021</v>
      </c>
      <c r="P36" s="1650">
        <f>+P37+P38</f>
        <v>2664973966.2389288</v>
      </c>
    </row>
    <row r="37" spans="1:16" ht="25.5">
      <c r="B37" s="402" t="s">
        <v>413</v>
      </c>
      <c r="C37" s="122" t="s">
        <v>209</v>
      </c>
      <c r="D37" s="122">
        <v>1</v>
      </c>
      <c r="E37" s="430">
        <f>+'ACCIONES 320103'!I234</f>
        <v>0</v>
      </c>
      <c r="F37" s="430">
        <f>+'ACCIONES 320103'!J234</f>
        <v>5340338.2975997962</v>
      </c>
      <c r="G37" s="430">
        <f>+'ACCIONES 320103'!K234</f>
        <v>43222914.238928601</v>
      </c>
      <c r="H37" s="430">
        <f>+'ACCIONES 320103'!L234</f>
        <v>0</v>
      </c>
      <c r="I37" s="539">
        <f>+'ACCIONES 320103'!M234</f>
        <v>48563252.536528394</v>
      </c>
      <c r="J37" s="1599">
        <f>+'ACCIONES 320103'!N234</f>
        <v>2129399.7024002075</v>
      </c>
      <c r="K37" s="1599">
        <f>+'ACCIONES 320103'!O234</f>
        <v>0</v>
      </c>
      <c r="L37" s="1599">
        <f>+'ACCIONES 320103'!P234</f>
        <v>0</v>
      </c>
      <c r="M37" s="1599">
        <f>+'ACCIONES 320103'!Q234</f>
        <v>0</v>
      </c>
      <c r="N37" s="1599">
        <f>+'ACCIONES 320103'!R234</f>
        <v>115000000</v>
      </c>
      <c r="O37" s="1641">
        <f>+'ACCIONES 320103'!S234</f>
        <v>117129399.70240021</v>
      </c>
      <c r="P37" s="1641">
        <f>+'ACCIONES 320103'!T234</f>
        <v>165692652.23892862</v>
      </c>
    </row>
    <row r="38" spans="1:16" ht="15.75" thickBot="1">
      <c r="B38" s="609" t="s">
        <v>661</v>
      </c>
      <c r="C38" s="167" t="s">
        <v>209</v>
      </c>
      <c r="D38" s="167">
        <v>1</v>
      </c>
      <c r="E38" s="610">
        <f>+'ACCIONES 320103'!I238</f>
        <v>0</v>
      </c>
      <c r="F38" s="610">
        <f>+'ACCIONES 320103'!J238</f>
        <v>1528802657</v>
      </c>
      <c r="G38" s="610">
        <f>+'ACCIONES 320103'!K238</f>
        <v>970478657</v>
      </c>
      <c r="H38" s="610">
        <f>+'ACCIONES 320103'!L238</f>
        <v>0</v>
      </c>
      <c r="I38" s="1603">
        <f>+'ACCIONES 320103'!M238</f>
        <v>2499281314</v>
      </c>
      <c r="J38" s="1602"/>
      <c r="K38" s="610"/>
      <c r="L38" s="610"/>
      <c r="M38" s="610"/>
      <c r="N38" s="1600"/>
      <c r="O38" s="1601"/>
      <c r="P38" s="1651">
        <f>+O38+I38</f>
        <v>2499281314</v>
      </c>
    </row>
    <row r="39" spans="1:16" ht="15.75" thickBot="1">
      <c r="B39" s="2491" t="s">
        <v>270</v>
      </c>
      <c r="C39" s="2492"/>
      <c r="D39" s="2492"/>
      <c r="E39" s="737">
        <f>+E36+E34+E32+E30+E27+E24+E21+E18+E16+E14+E10+E12</f>
        <v>286678204.91280001</v>
      </c>
      <c r="F39" s="737">
        <f>+F36+F34+F32+F30+F27+F24+F21+F18+F16+F14+F10+F12</f>
        <v>2473763200.4429021</v>
      </c>
      <c r="G39" s="737">
        <f>+G36+G34+G32+G30+G27+G24+G21+G18+G16+G14+G10+G12</f>
        <v>1161188168.8000002</v>
      </c>
      <c r="H39" s="737">
        <f>+H36+H34+H32+H30+H27+H24+H21+H18+H16+H14+H10+H12</f>
        <v>47755737.429999992</v>
      </c>
      <c r="I39" s="738">
        <f>+I36+I34+I32+I30+I27+I24+I21+I18+I16+I14+I10+I12</f>
        <v>3969385311.5857029</v>
      </c>
      <c r="J39" s="737">
        <f t="shared" ref="J39:P39" si="22">+J36+J34+J32+J30+J27+J24+J21+J18+J16+J14+J10+J12</f>
        <v>21732127.702400208</v>
      </c>
      <c r="K39" s="737">
        <f t="shared" si="22"/>
        <v>272089975.07999974</v>
      </c>
      <c r="L39" s="737">
        <f t="shared" si="22"/>
        <v>93137690.280000001</v>
      </c>
      <c r="M39" s="737">
        <f t="shared" si="22"/>
        <v>84201605.147599995</v>
      </c>
      <c r="N39" s="738">
        <f t="shared" si="22"/>
        <v>146531566</v>
      </c>
      <c r="O39" s="738">
        <f t="shared" si="22"/>
        <v>617692964.21000004</v>
      </c>
      <c r="P39" s="1652">
        <f t="shared" si="22"/>
        <v>4587078275.7957029</v>
      </c>
    </row>
    <row r="40" spans="1:16" ht="15.75" thickBot="1">
      <c r="E40" s="29"/>
      <c r="F40" s="29"/>
      <c r="G40" s="29"/>
      <c r="H40" s="29"/>
      <c r="J40" s="29"/>
      <c r="K40" s="29"/>
      <c r="L40" s="29"/>
      <c r="M40" s="29"/>
      <c r="N40" s="1598"/>
    </row>
    <row r="41" spans="1:16" ht="15.75" thickBot="1">
      <c r="E41" s="604">
        <v>286678205</v>
      </c>
      <c r="F41" s="604">
        <f>2436353788+37409413</f>
        <v>2473763201</v>
      </c>
      <c r="G41" s="604">
        <v>1161188169</v>
      </c>
      <c r="H41" s="604">
        <v>47755737</v>
      </c>
      <c r="I41" s="605">
        <f>3931975899+37409413</f>
        <v>3969385312</v>
      </c>
      <c r="J41" s="522">
        <v>21732127.782399997</v>
      </c>
      <c r="K41" s="522">
        <v>272089975.46399999</v>
      </c>
      <c r="L41" s="522">
        <v>93137690.280000001</v>
      </c>
      <c r="M41" s="522">
        <v>84201603.980800003</v>
      </c>
      <c r="N41" s="522">
        <v>146531566</v>
      </c>
      <c r="O41" s="522">
        <v>617692963.5072</v>
      </c>
      <c r="P41" s="522">
        <v>4587078275.5072002</v>
      </c>
    </row>
    <row r="43" spans="1:16">
      <c r="E43" s="29">
        <f>+E41-E39</f>
        <v>8.7199985980987549E-2</v>
      </c>
      <c r="F43" s="29">
        <f>+F41-F39</f>
        <v>0.5570979118347168</v>
      </c>
      <c r="G43" s="29">
        <f>+G41-G39</f>
        <v>0.19999980926513672</v>
      </c>
      <c r="H43" s="29">
        <f>+H41-H39</f>
        <v>-0.42999999225139618</v>
      </c>
      <c r="I43" s="29">
        <f>+I41-I39</f>
        <v>0.41429710388183594</v>
      </c>
      <c r="J43" s="29">
        <f t="shared" ref="J43:P43" si="23">+J41-J39</f>
        <v>7.9999789595603943E-2</v>
      </c>
      <c r="K43" s="29">
        <f t="shared" si="23"/>
        <v>0.38400024175643921</v>
      </c>
      <c r="L43" s="29">
        <f t="shared" si="23"/>
        <v>0</v>
      </c>
      <c r="M43" s="29">
        <f t="shared" si="23"/>
        <v>-1.1667999923229218</v>
      </c>
      <c r="N43" s="29">
        <f t="shared" si="23"/>
        <v>0</v>
      </c>
      <c r="O43" s="29">
        <f t="shared" si="23"/>
        <v>-0.70280003547668457</v>
      </c>
      <c r="P43" s="29">
        <f t="shared" si="23"/>
        <v>-0.28850269317626953</v>
      </c>
    </row>
    <row r="48" spans="1:16">
      <c r="I48" s="29"/>
    </row>
  </sheetData>
  <mergeCells count="23">
    <mergeCell ref="B1:B3"/>
    <mergeCell ref="O1:P1"/>
    <mergeCell ref="O2:P2"/>
    <mergeCell ref="O3:P3"/>
    <mergeCell ref="C1:N3"/>
    <mergeCell ref="A7:A9"/>
    <mergeCell ref="B7:B9"/>
    <mergeCell ref="C7:I7"/>
    <mergeCell ref="B5:P5"/>
    <mergeCell ref="B6:P6"/>
    <mergeCell ref="J7:O7"/>
    <mergeCell ref="P7:P9"/>
    <mergeCell ref="J8:J9"/>
    <mergeCell ref="K8:K9"/>
    <mergeCell ref="L8:L9"/>
    <mergeCell ref="M8:M9"/>
    <mergeCell ref="N8:N9"/>
    <mergeCell ref="O8:O9"/>
    <mergeCell ref="B39:D39"/>
    <mergeCell ref="C8:C9"/>
    <mergeCell ref="D8:D9"/>
    <mergeCell ref="E8:H8"/>
    <mergeCell ref="I8:I9"/>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theme="7" tint="0.59999389629810485"/>
  </sheetPr>
  <dimension ref="A1:AJ258"/>
  <sheetViews>
    <sheetView zoomScale="55" zoomScaleNormal="55" workbookViewId="0">
      <pane ySplit="9" topLeftCell="A240" activePane="bottomLeft" state="frozen"/>
      <selection pane="bottomLeft" activeCell="C31" sqref="C31:Q38"/>
    </sheetView>
  </sheetViews>
  <sheetFormatPr baseColWidth="10" defaultColWidth="11.42578125" defaultRowHeight="12.75"/>
  <cols>
    <col min="1" max="1" width="5.7109375" style="1" customWidth="1"/>
    <col min="2" max="2" width="4.140625" style="1" customWidth="1"/>
    <col min="3" max="3" width="34.28515625" style="1" customWidth="1"/>
    <col min="4" max="4" width="15.7109375" style="1" customWidth="1"/>
    <col min="5" max="5" width="8.42578125" style="1" customWidth="1"/>
    <col min="6" max="8" width="5.140625" style="178" customWidth="1"/>
    <col min="9" max="9" width="14.5703125" style="178" customWidth="1"/>
    <col min="10" max="10" width="17.140625" style="178" customWidth="1"/>
    <col min="11" max="11" width="16.140625" style="178" customWidth="1"/>
    <col min="12" max="12" width="14.7109375" style="178" customWidth="1"/>
    <col min="13" max="13" width="18.5703125" style="180" customWidth="1"/>
    <col min="14" max="14" width="14.5703125" style="1" customWidth="1"/>
    <col min="15" max="15" width="17.42578125" style="1" customWidth="1"/>
    <col min="16" max="16" width="8.28515625" style="1" customWidth="1"/>
    <col min="17" max="17" width="14.140625" style="1" customWidth="1"/>
    <col min="18" max="18" width="15.42578125" style="1" customWidth="1"/>
    <col min="19" max="19" width="18.5703125" style="1" customWidth="1"/>
    <col min="20" max="20" width="23.28515625" style="1" customWidth="1"/>
    <col min="21" max="23" width="18" style="1" bestFit="1" customWidth="1"/>
    <col min="24" max="24" width="18.85546875" style="1" customWidth="1"/>
    <col min="25" max="25" width="23.140625" style="1" customWidth="1"/>
    <col min="26" max="26" width="18" style="1" customWidth="1"/>
    <col min="27" max="28" width="11.42578125" style="1"/>
    <col min="29" max="29" width="20.42578125" style="1" customWidth="1"/>
    <col min="30" max="30" width="18" style="1" customWidth="1"/>
    <col min="31" max="31" width="13.28515625" style="1" bestFit="1" customWidth="1"/>
    <col min="32" max="16384" width="11.42578125" style="1"/>
  </cols>
  <sheetData>
    <row r="1" spans="1:20" ht="11.25" customHeight="1" thickBot="1">
      <c r="C1" s="2405"/>
      <c r="D1" s="2453" t="s">
        <v>542</v>
      </c>
      <c r="E1" s="2453"/>
      <c r="F1" s="2453"/>
      <c r="G1" s="2453"/>
      <c r="H1" s="2453"/>
      <c r="I1" s="2453"/>
      <c r="J1" s="2453"/>
      <c r="K1" s="2453"/>
      <c r="L1" s="2453"/>
      <c r="M1" s="2453"/>
      <c r="N1" s="2453"/>
      <c r="O1" s="2453"/>
      <c r="P1" s="2453"/>
      <c r="Q1" s="2453"/>
      <c r="R1" s="2453"/>
      <c r="S1" s="2495" t="s">
        <v>539</v>
      </c>
      <c r="T1" s="2496"/>
    </row>
    <row r="2" spans="1:20" ht="11.25" customHeight="1" thickBot="1">
      <c r="C2" s="2406"/>
      <c r="D2" s="2453"/>
      <c r="E2" s="2453"/>
      <c r="F2" s="2453"/>
      <c r="G2" s="2453"/>
      <c r="H2" s="2453"/>
      <c r="I2" s="2453"/>
      <c r="J2" s="2453"/>
      <c r="K2" s="2453"/>
      <c r="L2" s="2453"/>
      <c r="M2" s="2453"/>
      <c r="N2" s="2453"/>
      <c r="O2" s="2453"/>
      <c r="P2" s="2453"/>
      <c r="Q2" s="2453"/>
      <c r="R2" s="2453"/>
      <c r="S2" s="2497" t="s">
        <v>540</v>
      </c>
      <c r="T2" s="2498"/>
    </row>
    <row r="3" spans="1:20" ht="11.25" customHeight="1" thickBot="1">
      <c r="C3" s="2407"/>
      <c r="D3" s="2453"/>
      <c r="E3" s="2453"/>
      <c r="F3" s="2453"/>
      <c r="G3" s="2453"/>
      <c r="H3" s="2453"/>
      <c r="I3" s="2453"/>
      <c r="J3" s="2453"/>
      <c r="K3" s="2453"/>
      <c r="L3" s="2453"/>
      <c r="M3" s="2453"/>
      <c r="N3" s="2453"/>
      <c r="O3" s="2453"/>
      <c r="P3" s="2453"/>
      <c r="Q3" s="2453"/>
      <c r="R3" s="2453"/>
      <c r="S3" s="2499" t="s">
        <v>541</v>
      </c>
      <c r="T3" s="2500"/>
    </row>
    <row r="4" spans="1:20" ht="6" customHeight="1" thickBot="1">
      <c r="L4" s="252"/>
      <c r="M4" s="252"/>
      <c r="N4" s="252"/>
      <c r="O4" s="252"/>
      <c r="P4" s="252"/>
      <c r="Q4" s="252"/>
      <c r="R4" s="252"/>
      <c r="S4" s="252"/>
      <c r="T4" s="252"/>
    </row>
    <row r="5" spans="1:20" ht="15" customHeight="1" thickBot="1">
      <c r="C5" s="2440" t="s">
        <v>405</v>
      </c>
      <c r="D5" s="2440"/>
      <c r="E5" s="2440"/>
      <c r="F5" s="2440"/>
      <c r="G5" s="2440"/>
      <c r="H5" s="2440"/>
      <c r="I5" s="2440"/>
      <c r="J5" s="2440"/>
      <c r="K5" s="2440"/>
      <c r="L5" s="2440"/>
      <c r="M5" s="2440"/>
      <c r="N5" s="2440"/>
      <c r="O5" s="2440"/>
      <c r="P5" s="2440"/>
      <c r="Q5" s="2440"/>
      <c r="R5" s="2440"/>
      <c r="S5" s="2440"/>
      <c r="T5" s="2440"/>
    </row>
    <row r="6" spans="1:20" customFormat="1" ht="15.75" thickBot="1">
      <c r="C6" s="2440" t="s">
        <v>180</v>
      </c>
      <c r="D6" s="2440"/>
      <c r="E6" s="2440"/>
      <c r="F6" s="2440"/>
      <c r="G6" s="2440"/>
      <c r="H6" s="2440"/>
      <c r="I6" s="2440"/>
      <c r="J6" s="2440"/>
      <c r="K6" s="2440"/>
      <c r="L6" s="2440"/>
      <c r="M6" s="2440"/>
      <c r="N6" s="2440"/>
      <c r="O6" s="2440"/>
      <c r="P6" s="2440"/>
      <c r="Q6" s="2440"/>
      <c r="R6" s="2440"/>
      <c r="S6" s="2440"/>
      <c r="T6" s="2440"/>
    </row>
    <row r="7" spans="1:20" ht="30" customHeight="1" thickBot="1">
      <c r="A7" s="2466" t="s">
        <v>543</v>
      </c>
      <c r="B7" s="2474" t="s">
        <v>544</v>
      </c>
      <c r="C7" s="2506" t="s">
        <v>435</v>
      </c>
      <c r="D7" s="2423" t="s">
        <v>436</v>
      </c>
      <c r="E7" s="2423" t="s">
        <v>498</v>
      </c>
      <c r="F7" s="2423" t="s">
        <v>437</v>
      </c>
      <c r="G7" s="2423" t="s">
        <v>200</v>
      </c>
      <c r="H7" s="2423" t="s">
        <v>576</v>
      </c>
      <c r="I7" s="2419" t="s">
        <v>198</v>
      </c>
      <c r="J7" s="2508"/>
      <c r="K7" s="2508"/>
      <c r="L7" s="2509"/>
      <c r="M7" s="2504" t="s">
        <v>341</v>
      </c>
      <c r="N7" s="2398" t="s">
        <v>1213</v>
      </c>
      <c r="O7" s="2399"/>
      <c r="P7" s="2399"/>
      <c r="Q7" s="2399"/>
      <c r="R7" s="2399"/>
      <c r="S7" s="2400"/>
      <c r="T7" s="2489" t="s">
        <v>453</v>
      </c>
    </row>
    <row r="8" spans="1:20" ht="30" customHeight="1">
      <c r="A8" s="2466"/>
      <c r="B8" s="2474"/>
      <c r="C8" s="2506"/>
      <c r="D8" s="2423"/>
      <c r="E8" s="2423"/>
      <c r="F8" s="2423"/>
      <c r="G8" s="2423"/>
      <c r="H8" s="2423"/>
      <c r="I8" s="2489" t="s">
        <v>201</v>
      </c>
      <c r="J8" s="2489" t="s">
        <v>203</v>
      </c>
      <c r="K8" s="2489" t="s">
        <v>232</v>
      </c>
      <c r="L8" s="2489" t="s">
        <v>251</v>
      </c>
      <c r="M8" s="2504"/>
      <c r="N8" s="2489" t="s">
        <v>203</v>
      </c>
      <c r="O8" s="2489" t="s">
        <v>201</v>
      </c>
      <c r="P8" s="2489" t="s">
        <v>202</v>
      </c>
      <c r="Q8" s="2489" t="s">
        <v>251</v>
      </c>
      <c r="R8" s="2489" t="s">
        <v>1220</v>
      </c>
      <c r="S8" s="2418" t="s">
        <v>341</v>
      </c>
      <c r="T8" s="2423"/>
    </row>
    <row r="9" spans="1:20" ht="30" customHeight="1" thickBot="1">
      <c r="A9" s="2466"/>
      <c r="B9" s="2474"/>
      <c r="C9" s="2507"/>
      <c r="D9" s="2401"/>
      <c r="E9" s="2401"/>
      <c r="F9" s="2401"/>
      <c r="G9" s="2401"/>
      <c r="H9" s="2401"/>
      <c r="I9" s="2401"/>
      <c r="J9" s="2401"/>
      <c r="K9" s="2401"/>
      <c r="L9" s="2401"/>
      <c r="M9" s="2505"/>
      <c r="N9" s="2401"/>
      <c r="O9" s="2401"/>
      <c r="P9" s="2401"/>
      <c r="Q9" s="2401"/>
      <c r="R9" s="2401"/>
      <c r="S9" s="2419"/>
      <c r="T9" s="2401"/>
    </row>
    <row r="10" spans="1:20" s="255" customFormat="1" ht="53.25" customHeight="1" thickBot="1">
      <c r="A10" s="1053">
        <v>105</v>
      </c>
      <c r="B10" s="1419"/>
      <c r="C10" s="783" t="s">
        <v>46</v>
      </c>
      <c r="D10" s="644"/>
      <c r="E10" s="644"/>
      <c r="F10" s="645" t="s">
        <v>214</v>
      </c>
      <c r="G10" s="645">
        <v>100</v>
      </c>
      <c r="H10" s="645"/>
      <c r="I10" s="645"/>
      <c r="J10" s="646">
        <f t="shared" ref="J10:S10" si="0">+J11</f>
        <v>18699921.1008</v>
      </c>
      <c r="K10" s="646">
        <f t="shared" si="0"/>
        <v>0</v>
      </c>
      <c r="L10" s="646">
        <f t="shared" si="0"/>
        <v>0</v>
      </c>
      <c r="M10" s="1674">
        <f t="shared" si="0"/>
        <v>18699921.1008</v>
      </c>
      <c r="N10" s="1653">
        <f t="shared" si="0"/>
        <v>0</v>
      </c>
      <c r="O10" s="645">
        <f t="shared" si="0"/>
        <v>5433032</v>
      </c>
      <c r="P10" s="645">
        <f t="shared" si="0"/>
        <v>0</v>
      </c>
      <c r="Q10" s="645">
        <f t="shared" si="0"/>
        <v>0</v>
      </c>
      <c r="R10" s="645">
        <f t="shared" si="0"/>
        <v>0</v>
      </c>
      <c r="S10" s="1690">
        <f t="shared" si="0"/>
        <v>5433032</v>
      </c>
      <c r="T10" s="1704">
        <f>+S10+M10</f>
        <v>24132953.1008</v>
      </c>
    </row>
    <row r="11" spans="1:20" s="255" customFormat="1" ht="38.25" customHeight="1">
      <c r="A11" s="1053"/>
      <c r="B11" s="1419" t="s">
        <v>1028</v>
      </c>
      <c r="C11" s="784" t="s">
        <v>252</v>
      </c>
      <c r="D11" s="641"/>
      <c r="E11" s="641"/>
      <c r="F11" s="642" t="s">
        <v>214</v>
      </c>
      <c r="G11" s="642">
        <v>100</v>
      </c>
      <c r="H11" s="642"/>
      <c r="I11" s="642"/>
      <c r="J11" s="643">
        <f>SUM(J12:J15)</f>
        <v>18699921.1008</v>
      </c>
      <c r="K11" s="643">
        <f t="shared" ref="K11:L11" si="1">SUM(K12:K14)</f>
        <v>0</v>
      </c>
      <c r="L11" s="643">
        <f t="shared" si="1"/>
        <v>0</v>
      </c>
      <c r="M11" s="1675">
        <f>SUM(M12:M15)</f>
        <v>18699921.1008</v>
      </c>
      <c r="N11" s="1654">
        <f>SUM(N12:N15)</f>
        <v>0</v>
      </c>
      <c r="O11" s="1654">
        <f t="shared" ref="O11:R11" si="2">SUM(O12:O15)</f>
        <v>5433032</v>
      </c>
      <c r="P11" s="1654">
        <f t="shared" si="2"/>
        <v>0</v>
      </c>
      <c r="Q11" s="1654">
        <f t="shared" si="2"/>
        <v>0</v>
      </c>
      <c r="R11" s="1654">
        <f t="shared" si="2"/>
        <v>0</v>
      </c>
      <c r="S11" s="1691">
        <f>SUM(S12:S15)</f>
        <v>5433032</v>
      </c>
      <c r="T11" s="1705">
        <f t="shared" ref="T11:T86" si="3">+S11+M11</f>
        <v>24132953.1008</v>
      </c>
    </row>
    <row r="12" spans="1:20" s="812" customFormat="1" ht="45.75" customHeight="1">
      <c r="B12" s="1423"/>
      <c r="C12" s="567" t="s">
        <v>775</v>
      </c>
      <c r="D12" s="568" t="s">
        <v>235</v>
      </c>
      <c r="E12" s="27" t="s">
        <v>776</v>
      </c>
      <c r="F12" s="811"/>
      <c r="G12" s="811">
        <v>5</v>
      </c>
      <c r="H12" s="811"/>
      <c r="I12" s="811"/>
      <c r="J12" s="355">
        <f>19405207.584-4586327-1</f>
        <v>14818879.583999999</v>
      </c>
      <c r="K12" s="811"/>
      <c r="L12" s="811"/>
      <c r="M12" s="1676">
        <f>+SUM(I12:L12)</f>
        <v>14818879.583999999</v>
      </c>
      <c r="N12" s="1655"/>
      <c r="O12" s="1564"/>
      <c r="P12" s="1564"/>
      <c r="Q12" s="1564"/>
      <c r="R12" s="1564"/>
      <c r="S12" s="1692">
        <f>+SUM(N12:R12)</f>
        <v>0</v>
      </c>
      <c r="T12" s="2007">
        <f t="shared" si="3"/>
        <v>14818879.583999999</v>
      </c>
    </row>
    <row r="13" spans="1:20" s="812" customFormat="1" ht="30" customHeight="1">
      <c r="B13" s="1423"/>
      <c r="C13" s="567" t="s">
        <v>777</v>
      </c>
      <c r="D13" s="568" t="s">
        <v>235</v>
      </c>
      <c r="E13" s="27" t="s">
        <v>776</v>
      </c>
      <c r="F13" s="811"/>
      <c r="G13" s="811"/>
      <c r="H13" s="811"/>
      <c r="I13" s="811"/>
      <c r="J13" s="355">
        <v>3881041.5168000003</v>
      </c>
      <c r="K13" s="811"/>
      <c r="L13" s="811"/>
      <c r="M13" s="1677">
        <f>+SUM(I13:L13)</f>
        <v>3881041.5168000003</v>
      </c>
      <c r="N13" s="1655"/>
      <c r="O13" s="1564"/>
      <c r="P13" s="1564"/>
      <c r="Q13" s="1564"/>
      <c r="R13" s="1564"/>
      <c r="S13" s="1692">
        <f t="shared" ref="S13:S15" si="4">+SUM(N13:R13)</f>
        <v>0</v>
      </c>
      <c r="T13" s="2007">
        <f t="shared" si="3"/>
        <v>3881041.5168000003</v>
      </c>
    </row>
    <row r="14" spans="1:20" s="812" customFormat="1" ht="30" customHeight="1">
      <c r="B14" s="1423"/>
      <c r="C14" s="567" t="s">
        <v>778</v>
      </c>
      <c r="D14" s="568" t="s">
        <v>235</v>
      </c>
      <c r="E14" s="27" t="s">
        <v>776</v>
      </c>
      <c r="F14" s="811"/>
      <c r="G14" s="811"/>
      <c r="H14" s="811"/>
      <c r="I14" s="811"/>
      <c r="J14" s="357"/>
      <c r="K14" s="811"/>
      <c r="L14" s="811"/>
      <c r="M14" s="1677">
        <f>+SUM(I14:L14)</f>
        <v>0</v>
      </c>
      <c r="N14" s="1655"/>
      <c r="O14" s="1564"/>
      <c r="P14" s="1564"/>
      <c r="Q14" s="1564"/>
      <c r="R14" s="1564"/>
      <c r="S14" s="1692">
        <f t="shared" si="4"/>
        <v>0</v>
      </c>
      <c r="T14" s="2007">
        <f t="shared" si="3"/>
        <v>0</v>
      </c>
    </row>
    <row r="15" spans="1:20" s="812" customFormat="1" ht="30" customHeight="1" thickBot="1">
      <c r="B15" s="1423"/>
      <c r="C15" s="567" t="s">
        <v>1229</v>
      </c>
      <c r="D15" s="568" t="s">
        <v>235</v>
      </c>
      <c r="E15" s="1951" t="s">
        <v>776</v>
      </c>
      <c r="F15" s="1952"/>
      <c r="G15" s="1952"/>
      <c r="H15" s="1952"/>
      <c r="I15" s="1995"/>
      <c r="J15" s="357">
        <f>5433032-5433032</f>
        <v>0</v>
      </c>
      <c r="K15" s="1995"/>
      <c r="L15" s="1995"/>
      <c r="M15" s="1677">
        <f>+SUM(I15:L15)</f>
        <v>0</v>
      </c>
      <c r="N15" s="1655"/>
      <c r="O15" s="1995">
        <v>5433032</v>
      </c>
      <c r="P15" s="1995"/>
      <c r="Q15" s="1995"/>
      <c r="R15" s="1995"/>
      <c r="S15" s="1692">
        <f t="shared" si="4"/>
        <v>5433032</v>
      </c>
      <c r="T15" s="2007">
        <f t="shared" si="3"/>
        <v>5433032</v>
      </c>
    </row>
    <row r="16" spans="1:20" s="255" customFormat="1" ht="60.75" customHeight="1" thickBot="1">
      <c r="A16" s="1053">
        <v>106</v>
      </c>
      <c r="B16" s="1419"/>
      <c r="C16" s="791" t="s">
        <v>48</v>
      </c>
      <c r="D16" s="653"/>
      <c r="E16" s="653"/>
      <c r="F16" s="654" t="s">
        <v>214</v>
      </c>
      <c r="G16" s="654">
        <v>100</v>
      </c>
      <c r="H16" s="654"/>
      <c r="I16" s="652">
        <f t="shared" ref="I16:S16" si="5">+I17</f>
        <v>0</v>
      </c>
      <c r="J16" s="652">
        <f t="shared" si="5"/>
        <v>77614758.143999994</v>
      </c>
      <c r="K16" s="652">
        <f t="shared" si="5"/>
        <v>0</v>
      </c>
      <c r="L16" s="652">
        <f t="shared" si="5"/>
        <v>0</v>
      </c>
      <c r="M16" s="1678">
        <f t="shared" si="5"/>
        <v>77614758.143999994</v>
      </c>
      <c r="N16" s="1656">
        <f t="shared" si="5"/>
        <v>0</v>
      </c>
      <c r="O16" s="652">
        <f t="shared" si="5"/>
        <v>0</v>
      </c>
      <c r="P16" s="652">
        <f t="shared" si="5"/>
        <v>0</v>
      </c>
      <c r="Q16" s="652">
        <f t="shared" si="5"/>
        <v>0</v>
      </c>
      <c r="R16" s="652">
        <f t="shared" si="5"/>
        <v>0</v>
      </c>
      <c r="S16" s="1693">
        <f t="shared" si="5"/>
        <v>0</v>
      </c>
      <c r="T16" s="1707">
        <f t="shared" si="3"/>
        <v>77614758.143999994</v>
      </c>
    </row>
    <row r="17" spans="1:20" s="255" customFormat="1" ht="51">
      <c r="A17" s="1053"/>
      <c r="B17" s="1419" t="s">
        <v>1029</v>
      </c>
      <c r="C17" s="786" t="s">
        <v>253</v>
      </c>
      <c r="D17" s="352"/>
      <c r="E17" s="352"/>
      <c r="F17" s="353" t="s">
        <v>214</v>
      </c>
      <c r="G17" s="353">
        <f>+G16</f>
        <v>100</v>
      </c>
      <c r="H17" s="353"/>
      <c r="I17" s="354">
        <f t="shared" ref="I17:S17" si="6">SUM(I18:I19)</f>
        <v>0</v>
      </c>
      <c r="J17" s="354">
        <f t="shared" si="6"/>
        <v>77614758.143999994</v>
      </c>
      <c r="K17" s="354">
        <f t="shared" si="6"/>
        <v>0</v>
      </c>
      <c r="L17" s="354">
        <f t="shared" si="6"/>
        <v>0</v>
      </c>
      <c r="M17" s="1679">
        <f t="shared" si="6"/>
        <v>77614758.143999994</v>
      </c>
      <c r="N17" s="1657">
        <f t="shared" si="6"/>
        <v>0</v>
      </c>
      <c r="O17" s="354">
        <f t="shared" si="6"/>
        <v>0</v>
      </c>
      <c r="P17" s="354">
        <f t="shared" si="6"/>
        <v>0</v>
      </c>
      <c r="Q17" s="354">
        <f t="shared" si="6"/>
        <v>0</v>
      </c>
      <c r="R17" s="354">
        <f t="shared" si="6"/>
        <v>0</v>
      </c>
      <c r="S17" s="1694">
        <f t="shared" si="6"/>
        <v>0</v>
      </c>
      <c r="T17" s="1708">
        <f t="shared" si="3"/>
        <v>77614758.143999994</v>
      </c>
    </row>
    <row r="18" spans="1:20" s="812" customFormat="1" ht="31.5" customHeight="1">
      <c r="B18" s="1423"/>
      <c r="C18" s="567" t="s">
        <v>779</v>
      </c>
      <c r="D18" s="568" t="s">
        <v>235</v>
      </c>
      <c r="E18" s="27" t="s">
        <v>776</v>
      </c>
      <c r="F18" s="811"/>
      <c r="G18" s="811">
        <v>11</v>
      </c>
      <c r="H18" s="811"/>
      <c r="I18" s="811"/>
      <c r="J18" s="355">
        <v>38807379.071999997</v>
      </c>
      <c r="K18" s="355"/>
      <c r="L18" s="811"/>
      <c r="M18" s="1677">
        <f>+SUM(I18:L18)</f>
        <v>38807379.071999997</v>
      </c>
      <c r="N18" s="1655"/>
      <c r="O18" s="1564"/>
      <c r="P18" s="1564"/>
      <c r="Q18" s="1564"/>
      <c r="R18" s="1564"/>
      <c r="S18" s="1692">
        <f t="shared" ref="S18:S19" si="7">+SUM(N18:R18)</f>
        <v>0</v>
      </c>
      <c r="T18" s="1706">
        <f t="shared" si="3"/>
        <v>38807379.071999997</v>
      </c>
    </row>
    <row r="19" spans="1:20" s="812" customFormat="1" ht="27.75" customHeight="1" thickBot="1">
      <c r="B19" s="1423"/>
      <c r="C19" s="567" t="s">
        <v>780</v>
      </c>
      <c r="D19" s="568" t="s">
        <v>235</v>
      </c>
      <c r="E19" s="27" t="s">
        <v>776</v>
      </c>
      <c r="F19" s="811"/>
      <c r="G19" s="811">
        <v>11</v>
      </c>
      <c r="H19" s="811"/>
      <c r="I19" s="811"/>
      <c r="J19" s="355">
        <v>38807379.071999997</v>
      </c>
      <c r="K19" s="355"/>
      <c r="L19" s="811"/>
      <c r="M19" s="1677">
        <f>+SUM(I19:L19)</f>
        <v>38807379.071999997</v>
      </c>
      <c r="N19" s="1655"/>
      <c r="O19" s="1564"/>
      <c r="P19" s="1564"/>
      <c r="Q19" s="1564"/>
      <c r="R19" s="1564"/>
      <c r="S19" s="1692">
        <f t="shared" si="7"/>
        <v>0</v>
      </c>
      <c r="T19" s="1706">
        <f t="shared" si="3"/>
        <v>38807379.071999997</v>
      </c>
    </row>
    <row r="20" spans="1:20" s="255" customFormat="1" ht="38.25" customHeight="1" thickBot="1">
      <c r="A20" s="1053">
        <v>107</v>
      </c>
      <c r="B20" s="1419"/>
      <c r="C20" s="788" t="s">
        <v>49</v>
      </c>
      <c r="D20" s="648"/>
      <c r="E20" s="648"/>
      <c r="F20" s="649" t="s">
        <v>214</v>
      </c>
      <c r="G20" s="649">
        <v>100</v>
      </c>
      <c r="H20" s="649"/>
      <c r="I20" s="647">
        <f t="shared" ref="I20:S20" si="8">+I21</f>
        <v>184347018.98280007</v>
      </c>
      <c r="J20" s="647">
        <f t="shared" si="8"/>
        <v>150152892.49527678</v>
      </c>
      <c r="K20" s="647">
        <f t="shared" si="8"/>
        <v>25879623.978368025</v>
      </c>
      <c r="L20" s="647">
        <f t="shared" si="8"/>
        <v>12552746.241776001</v>
      </c>
      <c r="M20" s="1680">
        <f t="shared" si="8"/>
        <v>372932281.69822085</v>
      </c>
      <c r="N20" s="1658">
        <f t="shared" si="8"/>
        <v>0</v>
      </c>
      <c r="O20" s="647">
        <f t="shared" si="8"/>
        <v>121803547.02403182</v>
      </c>
      <c r="P20" s="647">
        <f t="shared" si="8"/>
        <v>93137690.280000001</v>
      </c>
      <c r="Q20" s="647">
        <f t="shared" si="8"/>
        <v>49849016.129600003</v>
      </c>
      <c r="R20" s="647">
        <f t="shared" si="8"/>
        <v>0</v>
      </c>
      <c r="S20" s="1695">
        <f t="shared" si="8"/>
        <v>264790253.43363184</v>
      </c>
      <c r="T20" s="1709">
        <f t="shared" si="3"/>
        <v>637722535.13185263</v>
      </c>
    </row>
    <row r="21" spans="1:20" s="255" customFormat="1" ht="38.25">
      <c r="A21" s="1053"/>
      <c r="B21" s="1419" t="s">
        <v>1030</v>
      </c>
      <c r="C21" s="784" t="s">
        <v>254</v>
      </c>
      <c r="D21" s="641"/>
      <c r="E21" s="641"/>
      <c r="F21" s="642" t="s">
        <v>214</v>
      </c>
      <c r="G21" s="642">
        <v>100</v>
      </c>
      <c r="H21" s="642"/>
      <c r="I21" s="643">
        <f t="shared" ref="I21:S21" si="9">SUM(I22:I89)</f>
        <v>184347018.98280007</v>
      </c>
      <c r="J21" s="643">
        <f t="shared" si="9"/>
        <v>150152892.49527678</v>
      </c>
      <c r="K21" s="643">
        <f t="shared" si="9"/>
        <v>25879623.978368025</v>
      </c>
      <c r="L21" s="643">
        <f t="shared" si="9"/>
        <v>12552746.241776001</v>
      </c>
      <c r="M21" s="1675">
        <f t="shared" si="9"/>
        <v>372932281.69822085</v>
      </c>
      <c r="N21" s="1659">
        <f t="shared" si="9"/>
        <v>0</v>
      </c>
      <c r="O21" s="643">
        <f t="shared" si="9"/>
        <v>121803547.02403182</v>
      </c>
      <c r="P21" s="643">
        <f t="shared" si="9"/>
        <v>93137690.280000001</v>
      </c>
      <c r="Q21" s="643">
        <f t="shared" si="9"/>
        <v>49849016.129600003</v>
      </c>
      <c r="R21" s="643">
        <f t="shared" si="9"/>
        <v>0</v>
      </c>
      <c r="S21" s="1691">
        <f t="shared" si="9"/>
        <v>264790253.43363184</v>
      </c>
      <c r="T21" s="1705">
        <f t="shared" si="3"/>
        <v>637722535.13185263</v>
      </c>
    </row>
    <row r="22" spans="1:20" s="812" customFormat="1" ht="21.75" customHeight="1">
      <c r="B22" s="1423"/>
      <c r="C22" s="1395" t="s">
        <v>781</v>
      </c>
      <c r="D22" s="568"/>
      <c r="E22" s="27"/>
      <c r="F22" s="811"/>
      <c r="G22" s="811"/>
      <c r="H22" s="811"/>
      <c r="I22" s="811"/>
      <c r="J22" s="274"/>
      <c r="K22" s="513"/>
      <c r="L22" s="513"/>
      <c r="M22" s="1677">
        <f t="shared" ref="M22:M89" si="10">+SUM(I22:L22)</f>
        <v>0</v>
      </c>
      <c r="N22" s="1655"/>
      <c r="O22" s="1564"/>
      <c r="P22" s="1564"/>
      <c r="Q22" s="1564"/>
      <c r="R22" s="1564"/>
      <c r="S22" s="1692">
        <f t="shared" ref="S22:S89" si="11">+SUM(N22:R22)</f>
        <v>0</v>
      </c>
      <c r="T22" s="1706">
        <f t="shared" si="3"/>
        <v>0</v>
      </c>
    </row>
    <row r="23" spans="1:20" s="812" customFormat="1" ht="21.75" customHeight="1">
      <c r="B23" s="1423"/>
      <c r="C23" s="567" t="s">
        <v>782</v>
      </c>
      <c r="D23" s="568" t="s">
        <v>235</v>
      </c>
      <c r="E23" s="27" t="s">
        <v>776</v>
      </c>
      <c r="F23" s="811"/>
      <c r="G23" s="811"/>
      <c r="H23" s="811"/>
      <c r="I23" s="811"/>
      <c r="J23" s="274"/>
      <c r="K23" s="513"/>
      <c r="L23" s="513">
        <v>4552746.2417759998</v>
      </c>
      <c r="M23" s="1677">
        <f t="shared" si="10"/>
        <v>4552746.2417759998</v>
      </c>
      <c r="N23" s="1655"/>
      <c r="O23" s="1564"/>
      <c r="P23" s="1564"/>
      <c r="Q23" s="1564"/>
      <c r="R23" s="1564"/>
      <c r="S23" s="1692">
        <f t="shared" si="11"/>
        <v>0</v>
      </c>
      <c r="T23" s="1706">
        <f t="shared" si="3"/>
        <v>4552746.2417759998</v>
      </c>
    </row>
    <row r="24" spans="1:20" s="812" customFormat="1" ht="21.75" customHeight="1">
      <c r="B24" s="1423"/>
      <c r="C24" s="567" t="s">
        <v>783</v>
      </c>
      <c r="D24" s="568" t="s">
        <v>235</v>
      </c>
      <c r="E24" s="1996" t="s">
        <v>776</v>
      </c>
      <c r="F24" s="1995"/>
      <c r="G24" s="1995"/>
      <c r="H24" s="1995"/>
      <c r="I24" s="1995"/>
      <c r="J24" s="274"/>
      <c r="K24" s="513"/>
      <c r="L24" s="513"/>
      <c r="M24" s="1677">
        <f t="shared" si="10"/>
        <v>0</v>
      </c>
      <c r="N24" s="1655"/>
      <c r="O24" s="2107"/>
      <c r="P24" s="2107"/>
      <c r="Q24" s="2107"/>
      <c r="R24" s="2107"/>
      <c r="S24" s="1692">
        <f t="shared" si="11"/>
        <v>0</v>
      </c>
      <c r="T24" s="1706">
        <f t="shared" si="3"/>
        <v>0</v>
      </c>
    </row>
    <row r="25" spans="1:20" s="812" customFormat="1" ht="21.75" customHeight="1">
      <c r="B25" s="1423"/>
      <c r="C25" s="567" t="s">
        <v>784</v>
      </c>
      <c r="D25" s="568" t="s">
        <v>235</v>
      </c>
      <c r="E25" s="1996" t="s">
        <v>776</v>
      </c>
      <c r="F25" s="1995"/>
      <c r="G25" s="1995"/>
      <c r="H25" s="1995"/>
      <c r="I25" s="1995"/>
      <c r="J25" s="274"/>
      <c r="K25" s="513"/>
      <c r="L25" s="513"/>
      <c r="M25" s="1677">
        <f t="shared" si="10"/>
        <v>0</v>
      </c>
      <c r="N25" s="1655"/>
      <c r="O25" s="2107"/>
      <c r="P25" s="2107"/>
      <c r="Q25" s="2107"/>
      <c r="R25" s="2107"/>
      <c r="S25" s="1692">
        <f t="shared" si="11"/>
        <v>0</v>
      </c>
      <c r="T25" s="1706">
        <f t="shared" si="3"/>
        <v>0</v>
      </c>
    </row>
    <row r="26" spans="1:20" s="812" customFormat="1" ht="21.75" customHeight="1">
      <c r="B26" s="1423"/>
      <c r="C26" s="567" t="s">
        <v>785</v>
      </c>
      <c r="D26" s="568" t="s">
        <v>235</v>
      </c>
      <c r="E26" s="1996" t="s">
        <v>776</v>
      </c>
      <c r="F26" s="1995"/>
      <c r="G26" s="1995"/>
      <c r="H26" s="1995"/>
      <c r="I26" s="1995"/>
      <c r="J26" s="274"/>
      <c r="K26" s="513"/>
      <c r="L26" s="513">
        <v>4000000</v>
      </c>
      <c r="M26" s="1677">
        <f t="shared" si="10"/>
        <v>4000000</v>
      </c>
      <c r="N26" s="1655"/>
      <c r="O26" s="2107"/>
      <c r="P26" s="2107"/>
      <c r="Q26" s="2107"/>
      <c r="R26" s="2107"/>
      <c r="S26" s="1692">
        <f t="shared" si="11"/>
        <v>0</v>
      </c>
      <c r="T26" s="1706">
        <f t="shared" si="3"/>
        <v>4000000</v>
      </c>
    </row>
    <row r="27" spans="1:20" s="812" customFormat="1" ht="21.75" customHeight="1">
      <c r="B27" s="1423"/>
      <c r="C27" s="567" t="s">
        <v>786</v>
      </c>
      <c r="D27" s="568" t="s">
        <v>787</v>
      </c>
      <c r="E27" s="1996" t="s">
        <v>776</v>
      </c>
      <c r="F27" s="1995"/>
      <c r="G27" s="1995"/>
      <c r="H27" s="1995"/>
      <c r="I27" s="1995"/>
      <c r="J27" s="274"/>
      <c r="K27" s="513"/>
      <c r="L27" s="513"/>
      <c r="M27" s="1677">
        <f t="shared" si="10"/>
        <v>0</v>
      </c>
      <c r="N27" s="1655"/>
      <c r="O27" s="2107"/>
      <c r="P27" s="2107"/>
      <c r="Q27" s="2107">
        <f>15522948.416-936808.415999999</f>
        <v>14586140</v>
      </c>
      <c r="R27" s="2107"/>
      <c r="S27" s="1692">
        <f t="shared" si="11"/>
        <v>14586140</v>
      </c>
      <c r="T27" s="1706">
        <f t="shared" si="3"/>
        <v>14586140</v>
      </c>
    </row>
    <row r="28" spans="1:20" s="812" customFormat="1" ht="21.75" customHeight="1">
      <c r="B28" s="1423"/>
      <c r="C28" s="567" t="s">
        <v>788</v>
      </c>
      <c r="D28" s="568" t="s">
        <v>235</v>
      </c>
      <c r="E28" s="1996" t="s">
        <v>776</v>
      </c>
      <c r="F28" s="1995"/>
      <c r="G28" s="1995"/>
      <c r="H28" s="1995"/>
      <c r="I28" s="1995"/>
      <c r="J28" s="274"/>
      <c r="K28" s="513"/>
      <c r="L28" s="513"/>
      <c r="M28" s="1677">
        <f t="shared" si="10"/>
        <v>0</v>
      </c>
      <c r="N28" s="1655"/>
      <c r="O28" s="2107"/>
      <c r="P28" s="2107"/>
      <c r="Q28" s="2107"/>
      <c r="R28" s="2107"/>
      <c r="S28" s="1692">
        <f t="shared" si="11"/>
        <v>0</v>
      </c>
      <c r="T28" s="1706">
        <f t="shared" si="3"/>
        <v>0</v>
      </c>
    </row>
    <row r="29" spans="1:20" s="812" customFormat="1" ht="21.75" customHeight="1">
      <c r="B29" s="1423"/>
      <c r="C29" s="567" t="s">
        <v>789</v>
      </c>
      <c r="D29" s="2071" t="s">
        <v>235</v>
      </c>
      <c r="E29" s="2069" t="s">
        <v>776</v>
      </c>
      <c r="F29" s="2070"/>
      <c r="G29" s="2070"/>
      <c r="H29" s="2070"/>
      <c r="I29" s="2070"/>
      <c r="J29" s="274"/>
      <c r="K29" s="513"/>
      <c r="L29" s="513">
        <v>4000000</v>
      </c>
      <c r="M29" s="1677">
        <f t="shared" si="10"/>
        <v>4000000</v>
      </c>
      <c r="N29" s="1655"/>
      <c r="O29" s="357"/>
      <c r="P29" s="2107"/>
      <c r="Q29" s="2107"/>
      <c r="R29" s="2107"/>
      <c r="S29" s="1692">
        <f t="shared" si="11"/>
        <v>0</v>
      </c>
      <c r="T29" s="1706">
        <f t="shared" si="3"/>
        <v>4000000</v>
      </c>
    </row>
    <row r="30" spans="1:20" s="812" customFormat="1" ht="21.75" customHeight="1">
      <c r="B30" s="1423"/>
      <c r="C30" s="567" t="s">
        <v>790</v>
      </c>
      <c r="D30" s="2071" t="s">
        <v>235</v>
      </c>
      <c r="E30" s="2069" t="s">
        <v>776</v>
      </c>
      <c r="F30" s="2070"/>
      <c r="G30" s="2070"/>
      <c r="H30" s="2070"/>
      <c r="I30" s="2070"/>
      <c r="J30" s="274"/>
      <c r="K30" s="513"/>
      <c r="L30" s="513"/>
      <c r="M30" s="1677">
        <f t="shared" si="10"/>
        <v>0</v>
      </c>
      <c r="N30" s="1655"/>
      <c r="O30" s="357">
        <f>12418358.7328-364504</f>
        <v>12053854.732799999</v>
      </c>
      <c r="P30" s="357"/>
      <c r="Q30" s="357">
        <f>15522948.416-12418358.7328</f>
        <v>3104589.6831999999</v>
      </c>
      <c r="R30" s="2107"/>
      <c r="S30" s="1692">
        <f t="shared" si="11"/>
        <v>15158444.415999999</v>
      </c>
      <c r="T30" s="1706">
        <f t="shared" si="3"/>
        <v>15158444.415999999</v>
      </c>
    </row>
    <row r="31" spans="1:20" s="812" customFormat="1" ht="21.75" customHeight="1">
      <c r="B31" s="1423"/>
      <c r="C31" s="567" t="s">
        <v>1210</v>
      </c>
      <c r="D31" s="2245" t="s">
        <v>235</v>
      </c>
      <c r="E31" s="2244" t="s">
        <v>776</v>
      </c>
      <c r="F31" s="2243"/>
      <c r="G31" s="2243"/>
      <c r="H31" s="2243"/>
      <c r="I31" s="2243"/>
      <c r="J31" s="274">
        <f>26294371-11047</f>
        <v>26283324</v>
      </c>
      <c r="K31" s="513"/>
      <c r="L31" s="513"/>
      <c r="M31" s="1677">
        <f t="shared" si="10"/>
        <v>26283324</v>
      </c>
      <c r="N31" s="1655"/>
      <c r="O31" s="2243"/>
      <c r="P31" s="2243"/>
      <c r="Q31" s="2243"/>
      <c r="R31" s="2107"/>
      <c r="S31" s="1692">
        <f t="shared" si="11"/>
        <v>0</v>
      </c>
      <c r="T31" s="1706">
        <f t="shared" si="3"/>
        <v>26283324</v>
      </c>
    </row>
    <row r="32" spans="1:20" s="812" customFormat="1" ht="44.25" customHeight="1">
      <c r="B32" s="1423"/>
      <c r="C32" s="567" t="s">
        <v>1343</v>
      </c>
      <c r="D32" s="2245" t="s">
        <v>235</v>
      </c>
      <c r="E32" s="2244">
        <v>83990</v>
      </c>
      <c r="F32" s="2243"/>
      <c r="G32" s="2243"/>
      <c r="H32" s="2243"/>
      <c r="I32" s="2243"/>
      <c r="J32" s="274"/>
      <c r="K32" s="513"/>
      <c r="L32" s="513"/>
      <c r="M32" s="1677">
        <f t="shared" si="10"/>
        <v>0</v>
      </c>
      <c r="N32" s="1655"/>
      <c r="O32" s="1463">
        <v>8625797.5200000405</v>
      </c>
      <c r="P32" s="2243"/>
      <c r="Q32" s="2243"/>
      <c r="R32" s="2107"/>
      <c r="S32" s="1692">
        <f t="shared" si="11"/>
        <v>8625797.5200000405</v>
      </c>
      <c r="T32" s="1706">
        <f t="shared" si="3"/>
        <v>8625797.5200000405</v>
      </c>
    </row>
    <row r="33" spans="2:25" s="812" customFormat="1" ht="21.75" customHeight="1">
      <c r="B33" s="1423"/>
      <c r="C33" s="567" t="s">
        <v>792</v>
      </c>
      <c r="D33" s="2245" t="s">
        <v>235</v>
      </c>
      <c r="E33" s="2244" t="s">
        <v>776</v>
      </c>
      <c r="F33" s="2243"/>
      <c r="G33" s="2243"/>
      <c r="H33" s="2243"/>
      <c r="I33" s="2243"/>
      <c r="J33" s="274">
        <v>4016000</v>
      </c>
      <c r="K33" s="513"/>
      <c r="L33" s="513"/>
      <c r="M33" s="1677">
        <f t="shared" si="10"/>
        <v>4016000</v>
      </c>
      <c r="N33" s="1655"/>
      <c r="O33" s="2243"/>
      <c r="P33" s="2243"/>
      <c r="Q33" s="2243"/>
      <c r="R33" s="2107"/>
      <c r="S33" s="1692">
        <f t="shared" si="11"/>
        <v>0</v>
      </c>
      <c r="T33" s="1706">
        <f t="shared" si="3"/>
        <v>4016000</v>
      </c>
    </row>
    <row r="34" spans="2:25" s="812" customFormat="1" ht="21.75" customHeight="1">
      <c r="B34" s="1423"/>
      <c r="C34" s="567" t="s">
        <v>793</v>
      </c>
      <c r="D34" s="2245" t="s">
        <v>235</v>
      </c>
      <c r="E34" s="2244" t="s">
        <v>776</v>
      </c>
      <c r="F34" s="2243"/>
      <c r="G34" s="2243"/>
      <c r="H34" s="2243"/>
      <c r="I34" s="2243"/>
      <c r="J34" s="274">
        <v>4016000</v>
      </c>
      <c r="K34" s="513"/>
      <c r="L34" s="513"/>
      <c r="M34" s="1677">
        <f t="shared" si="10"/>
        <v>4016000</v>
      </c>
      <c r="N34" s="1655"/>
      <c r="O34" s="2243"/>
      <c r="P34" s="2243"/>
      <c r="Q34" s="2243"/>
      <c r="R34" s="2107"/>
      <c r="S34" s="1692">
        <f t="shared" si="11"/>
        <v>0</v>
      </c>
      <c r="T34" s="1706">
        <f t="shared" si="3"/>
        <v>4016000</v>
      </c>
    </row>
    <row r="35" spans="2:25" s="812" customFormat="1" ht="21.75" customHeight="1">
      <c r="B35" s="1423"/>
      <c r="C35" s="567" t="s">
        <v>794</v>
      </c>
      <c r="D35" s="2245" t="s">
        <v>235</v>
      </c>
      <c r="E35" s="2244" t="s">
        <v>776</v>
      </c>
      <c r="F35" s="2243"/>
      <c r="G35" s="2243"/>
      <c r="H35" s="2243"/>
      <c r="I35" s="2243"/>
      <c r="J35" s="274"/>
      <c r="K35" s="513"/>
      <c r="L35" s="513"/>
      <c r="M35" s="1677">
        <f t="shared" si="10"/>
        <v>0</v>
      </c>
      <c r="N35" s="1655"/>
      <c r="O35" s="2243"/>
      <c r="P35" s="2243"/>
      <c r="Q35" s="2243">
        <f>12607200-2905357.24</f>
        <v>9701842.7599999998</v>
      </c>
      <c r="R35" s="2107"/>
      <c r="S35" s="1692">
        <f t="shared" si="11"/>
        <v>9701842.7599999998</v>
      </c>
      <c r="T35" s="1706">
        <f t="shared" si="3"/>
        <v>9701842.7599999998</v>
      </c>
    </row>
    <row r="36" spans="2:25" ht="31.5" customHeight="1">
      <c r="B36" s="1420"/>
      <c r="C36" s="567" t="s">
        <v>1437</v>
      </c>
      <c r="D36" s="2245"/>
      <c r="E36" s="2244"/>
      <c r="F36" s="2243"/>
      <c r="G36" s="2243"/>
      <c r="H36" s="2243"/>
      <c r="I36" s="282"/>
      <c r="J36" s="2075"/>
      <c r="K36" s="513"/>
      <c r="L36" s="513"/>
      <c r="M36" s="2239"/>
      <c r="N36" s="1660"/>
      <c r="O36" s="274">
        <v>9802299.2240318656</v>
      </c>
      <c r="P36" s="274"/>
      <c r="Q36" s="274">
        <v>8752281.9536000043</v>
      </c>
      <c r="R36" s="2240"/>
      <c r="S36" s="2085">
        <f>+SUM(N36:R36)</f>
        <v>18554581.17763187</v>
      </c>
      <c r="T36" s="2086">
        <f>+S36+M36</f>
        <v>18554581.17763187</v>
      </c>
    </row>
    <row r="37" spans="2:25" ht="38.25" customHeight="1">
      <c r="B37" s="1420"/>
      <c r="C37" s="567" t="s">
        <v>1438</v>
      </c>
      <c r="D37" s="2245"/>
      <c r="E37" s="2244"/>
      <c r="F37" s="2243"/>
      <c r="G37" s="2243"/>
      <c r="H37" s="2243"/>
      <c r="I37" s="282"/>
      <c r="J37" s="2075"/>
      <c r="K37" s="513"/>
      <c r="L37" s="513"/>
      <c r="M37" s="2239"/>
      <c r="N37" s="1660"/>
      <c r="O37" s="274">
        <v>2008000</v>
      </c>
      <c r="P37" s="274"/>
      <c r="Q37" s="274"/>
      <c r="R37" s="2240"/>
      <c r="S37" s="2085">
        <f>+SUM(N37:R37)</f>
        <v>2008000</v>
      </c>
      <c r="T37" s="2086">
        <f>+S37+M37</f>
        <v>2008000</v>
      </c>
    </row>
    <row r="38" spans="2:25" ht="51" customHeight="1">
      <c r="B38" s="1420"/>
      <c r="C38" s="567" t="s">
        <v>960</v>
      </c>
      <c r="D38" s="2245" t="s">
        <v>787</v>
      </c>
      <c r="E38" s="2244" t="s">
        <v>776</v>
      </c>
      <c r="F38" s="2243"/>
      <c r="G38" s="2243">
        <v>9</v>
      </c>
      <c r="H38" s="2243"/>
      <c r="I38" s="274"/>
      <c r="J38" s="274">
        <v>5477145</v>
      </c>
      <c r="K38" s="513"/>
      <c r="L38" s="513"/>
      <c r="M38" s="1677">
        <f t="shared" si="10"/>
        <v>5477145</v>
      </c>
      <c r="N38" s="1660"/>
      <c r="O38" s="274"/>
      <c r="P38" s="274"/>
      <c r="Q38" s="274"/>
      <c r="R38" s="274"/>
      <c r="S38" s="1692">
        <f t="shared" si="11"/>
        <v>0</v>
      </c>
      <c r="T38" s="1706">
        <f t="shared" si="3"/>
        <v>5477145</v>
      </c>
      <c r="Y38" s="1516"/>
    </row>
    <row r="39" spans="2:25" s="812" customFormat="1" ht="33" customHeight="1">
      <c r="B39" s="1423"/>
      <c r="C39" s="567" t="s">
        <v>795</v>
      </c>
      <c r="D39" s="2071" t="s">
        <v>235</v>
      </c>
      <c r="E39" s="2069" t="s">
        <v>776</v>
      </c>
      <c r="F39" s="2070"/>
      <c r="G39" s="2070"/>
      <c r="H39" s="2070"/>
      <c r="I39" s="2070"/>
      <c r="J39" s="274"/>
      <c r="K39" s="513"/>
      <c r="L39" s="513"/>
      <c r="M39" s="1677">
        <f t="shared" si="10"/>
        <v>0</v>
      </c>
      <c r="N39" s="1655"/>
      <c r="O39" s="2107"/>
      <c r="P39" s="2107"/>
      <c r="Q39" s="2107"/>
      <c r="R39" s="2107"/>
      <c r="S39" s="1692">
        <f t="shared" si="11"/>
        <v>0</v>
      </c>
      <c r="T39" s="1706">
        <f t="shared" si="3"/>
        <v>0</v>
      </c>
    </row>
    <row r="40" spans="2:25" s="812" customFormat="1" ht="29.25" customHeight="1">
      <c r="B40" s="1423"/>
      <c r="C40" s="567" t="s">
        <v>796</v>
      </c>
      <c r="D40" s="2071" t="s">
        <v>235</v>
      </c>
      <c r="E40" s="2069" t="s">
        <v>776</v>
      </c>
      <c r="F40" s="2070"/>
      <c r="G40" s="2070"/>
      <c r="H40" s="2070"/>
      <c r="I40" s="1463">
        <v>7483869.0603947602</v>
      </c>
      <c r="J40" s="274"/>
      <c r="K40" s="513"/>
      <c r="L40" s="513"/>
      <c r="M40" s="1677">
        <f t="shared" si="10"/>
        <v>7483869.0603947602</v>
      </c>
      <c r="N40" s="1661"/>
      <c r="O40" s="1463"/>
      <c r="P40" s="1463"/>
      <c r="Q40" s="1463"/>
      <c r="R40" s="1463"/>
      <c r="S40" s="1692">
        <f t="shared" si="11"/>
        <v>0</v>
      </c>
      <c r="T40" s="1706">
        <f t="shared" si="3"/>
        <v>7483869.0603947602</v>
      </c>
    </row>
    <row r="41" spans="2:25" s="812" customFormat="1" ht="21.75" customHeight="1">
      <c r="B41" s="1423"/>
      <c r="C41" s="567" t="s">
        <v>797</v>
      </c>
      <c r="D41" s="2071" t="s">
        <v>235</v>
      </c>
      <c r="E41" s="2069" t="s">
        <v>776</v>
      </c>
      <c r="F41" s="2070"/>
      <c r="G41" s="2070"/>
      <c r="H41" s="2070"/>
      <c r="I41" s="2070"/>
      <c r="J41" s="274"/>
      <c r="K41" s="513"/>
      <c r="L41" s="513"/>
      <c r="M41" s="1677">
        <f t="shared" si="10"/>
        <v>0</v>
      </c>
      <c r="N41" s="1655"/>
      <c r="O41" s="2070"/>
      <c r="P41" s="1995"/>
      <c r="Q41" s="1995"/>
      <c r="R41" s="1995"/>
      <c r="S41" s="1692">
        <f t="shared" si="11"/>
        <v>0</v>
      </c>
      <c r="T41" s="1706">
        <f t="shared" si="3"/>
        <v>0</v>
      </c>
    </row>
    <row r="42" spans="2:25" s="812" customFormat="1" ht="33.75" customHeight="1">
      <c r="B42" s="1423"/>
      <c r="C42" s="567" t="s">
        <v>1344</v>
      </c>
      <c r="D42" s="2071" t="s">
        <v>235</v>
      </c>
      <c r="E42" s="2069" t="s">
        <v>776</v>
      </c>
      <c r="F42" s="2070"/>
      <c r="G42" s="2070"/>
      <c r="H42" s="2070"/>
      <c r="I42" s="2070"/>
      <c r="J42" s="274"/>
      <c r="K42" s="513"/>
      <c r="L42" s="513"/>
      <c r="M42" s="1677">
        <f t="shared" si="10"/>
        <v>0</v>
      </c>
      <c r="N42" s="1661"/>
      <c r="O42" s="1463">
        <f>29596313.6-4891108</f>
        <v>24705205.600000001</v>
      </c>
      <c r="P42" s="1995"/>
      <c r="Q42" s="1995"/>
      <c r="R42" s="1995"/>
      <c r="S42" s="1692">
        <f t="shared" si="11"/>
        <v>24705205.600000001</v>
      </c>
      <c r="T42" s="1706">
        <f t="shared" si="3"/>
        <v>24705205.600000001</v>
      </c>
    </row>
    <row r="43" spans="2:25" s="812" customFormat="1" ht="21.75" customHeight="1">
      <c r="B43" s="1423"/>
      <c r="C43" s="567" t="s">
        <v>1221</v>
      </c>
      <c r="D43" s="2108" t="s">
        <v>235</v>
      </c>
      <c r="E43" s="2106" t="s">
        <v>776</v>
      </c>
      <c r="F43" s="2107"/>
      <c r="G43" s="2107"/>
      <c r="H43" s="2107"/>
      <c r="I43" s="2107"/>
      <c r="J43" s="274"/>
      <c r="K43" s="513"/>
      <c r="L43" s="513"/>
      <c r="M43" s="1677">
        <f t="shared" si="10"/>
        <v>0</v>
      </c>
      <c r="N43" s="1655"/>
      <c r="O43" s="2107"/>
      <c r="P43" s="2107">
        <v>15522948.415999999</v>
      </c>
      <c r="Q43" s="2107"/>
      <c r="R43" s="1995"/>
      <c r="S43" s="1692">
        <f t="shared" si="11"/>
        <v>15522948.415999999</v>
      </c>
      <c r="T43" s="1706">
        <f t="shared" si="3"/>
        <v>15522948.415999999</v>
      </c>
    </row>
    <row r="44" spans="2:25" s="812" customFormat="1" ht="21.75" customHeight="1">
      <c r="B44" s="1423"/>
      <c r="C44" s="567" t="s">
        <v>1221</v>
      </c>
      <c r="D44" s="2245" t="s">
        <v>235</v>
      </c>
      <c r="E44" s="2244" t="s">
        <v>776</v>
      </c>
      <c r="F44" s="2243"/>
      <c r="G44" s="2243"/>
      <c r="H44" s="2243"/>
      <c r="I44" s="2243"/>
      <c r="J44" s="274"/>
      <c r="K44" s="513"/>
      <c r="L44" s="513"/>
      <c r="M44" s="1677">
        <f t="shared" si="10"/>
        <v>0</v>
      </c>
      <c r="N44" s="1655"/>
      <c r="O44" s="2243"/>
      <c r="P44" s="2243">
        <v>15522948.415999999</v>
      </c>
      <c r="Q44" s="2243"/>
      <c r="R44" s="1995"/>
      <c r="S44" s="1692">
        <f t="shared" si="11"/>
        <v>15522948.415999999</v>
      </c>
      <c r="T44" s="1706">
        <f t="shared" si="3"/>
        <v>15522948.415999999</v>
      </c>
    </row>
    <row r="45" spans="2:25" s="812" customFormat="1" ht="21.75" customHeight="1">
      <c r="B45" s="1423"/>
      <c r="C45" s="567" t="s">
        <v>1221</v>
      </c>
      <c r="D45" s="2245" t="s">
        <v>235</v>
      </c>
      <c r="E45" s="2244" t="s">
        <v>776</v>
      </c>
      <c r="F45" s="2243"/>
      <c r="G45" s="2243"/>
      <c r="H45" s="2243"/>
      <c r="I45" s="2243"/>
      <c r="J45" s="274"/>
      <c r="K45" s="513"/>
      <c r="L45" s="513"/>
      <c r="M45" s="1677">
        <f t="shared" si="10"/>
        <v>0</v>
      </c>
      <c r="N45" s="1655"/>
      <c r="O45" s="2243"/>
      <c r="P45" s="2243">
        <v>15522948</v>
      </c>
      <c r="Q45" s="2243"/>
      <c r="R45" s="1995"/>
      <c r="S45" s="1692">
        <f t="shared" si="11"/>
        <v>15522948</v>
      </c>
      <c r="T45" s="1706">
        <f t="shared" si="3"/>
        <v>15522948</v>
      </c>
    </row>
    <row r="46" spans="2:25" s="812" customFormat="1" ht="21.75" customHeight="1">
      <c r="B46" s="1423"/>
      <c r="C46" s="567" t="s">
        <v>1221</v>
      </c>
      <c r="D46" s="2245" t="s">
        <v>235</v>
      </c>
      <c r="E46" s="2244" t="s">
        <v>776</v>
      </c>
      <c r="F46" s="2243"/>
      <c r="G46" s="2243"/>
      <c r="H46" s="2243"/>
      <c r="I46" s="2243"/>
      <c r="J46" s="274"/>
      <c r="K46" s="513"/>
      <c r="L46" s="513"/>
      <c r="M46" s="1677">
        <f t="shared" si="10"/>
        <v>0</v>
      </c>
      <c r="N46" s="1655"/>
      <c r="O46" s="2243"/>
      <c r="P46" s="2243">
        <v>15522948.415999999</v>
      </c>
      <c r="Q46" s="2243"/>
      <c r="R46" s="1995"/>
      <c r="S46" s="1692">
        <f t="shared" si="11"/>
        <v>15522948.415999999</v>
      </c>
      <c r="T46" s="1706">
        <f t="shared" si="3"/>
        <v>15522948.415999999</v>
      </c>
    </row>
    <row r="47" spans="2:25" s="812" customFormat="1" ht="21.75" customHeight="1">
      <c r="B47" s="1423"/>
      <c r="C47" s="567" t="s">
        <v>1221</v>
      </c>
      <c r="D47" s="2245" t="s">
        <v>235</v>
      </c>
      <c r="E47" s="2244" t="s">
        <v>776</v>
      </c>
      <c r="F47" s="2243"/>
      <c r="G47" s="2243"/>
      <c r="H47" s="2243"/>
      <c r="I47" s="2243"/>
      <c r="J47" s="274"/>
      <c r="K47" s="513"/>
      <c r="L47" s="513"/>
      <c r="M47" s="1677">
        <f t="shared" si="10"/>
        <v>0</v>
      </c>
      <c r="N47" s="1655"/>
      <c r="O47" s="2243"/>
      <c r="P47" s="2243">
        <v>15522948.415999999</v>
      </c>
      <c r="Q47" s="2243"/>
      <c r="R47" s="1995"/>
      <c r="S47" s="1692">
        <f t="shared" si="11"/>
        <v>15522948.415999999</v>
      </c>
      <c r="T47" s="1706">
        <f t="shared" si="3"/>
        <v>15522948.415999999</v>
      </c>
    </row>
    <row r="48" spans="2:25" s="812" customFormat="1" ht="21.75" customHeight="1">
      <c r="B48" s="1423"/>
      <c r="C48" s="567" t="s">
        <v>1221</v>
      </c>
      <c r="D48" s="2245" t="s">
        <v>235</v>
      </c>
      <c r="E48" s="2244" t="s">
        <v>776</v>
      </c>
      <c r="F48" s="2243"/>
      <c r="G48" s="2243"/>
      <c r="H48" s="2243"/>
      <c r="I48" s="2243"/>
      <c r="J48" s="274"/>
      <c r="K48" s="513"/>
      <c r="L48" s="513"/>
      <c r="M48" s="1677">
        <f t="shared" si="10"/>
        <v>0</v>
      </c>
      <c r="N48" s="1655"/>
      <c r="O48" s="2243"/>
      <c r="P48" s="2243">
        <v>15522948.616</v>
      </c>
      <c r="Q48" s="2243"/>
      <c r="R48" s="1995"/>
      <c r="S48" s="1692">
        <f t="shared" si="11"/>
        <v>15522948.616</v>
      </c>
      <c r="T48" s="1706">
        <f t="shared" si="3"/>
        <v>15522948.616</v>
      </c>
    </row>
    <row r="49" spans="2:36" s="812" customFormat="1" ht="45.75" customHeight="1">
      <c r="B49" s="1423"/>
      <c r="C49" s="567" t="s">
        <v>1345</v>
      </c>
      <c r="D49" s="2245" t="s">
        <v>787</v>
      </c>
      <c r="E49" s="2244" t="s">
        <v>776</v>
      </c>
      <c r="F49" s="2243"/>
      <c r="G49" s="2243"/>
      <c r="H49" s="2243"/>
      <c r="I49" s="2243"/>
      <c r="J49" s="274">
        <f>31976381-31976381</f>
        <v>0</v>
      </c>
      <c r="K49" s="513"/>
      <c r="L49" s="513"/>
      <c r="M49" s="1677">
        <f t="shared" si="10"/>
        <v>0</v>
      </c>
      <c r="N49" s="1655"/>
      <c r="O49" s="1463">
        <f>32104286.3232-4939126.6-3269960</f>
        <v>23895199.723200001</v>
      </c>
      <c r="P49" s="2012"/>
      <c r="Q49" s="2243"/>
      <c r="R49" s="1995"/>
      <c r="S49" s="1692">
        <f t="shared" si="11"/>
        <v>23895199.723200001</v>
      </c>
      <c r="T49" s="1706">
        <f t="shared" si="3"/>
        <v>23895199.723200001</v>
      </c>
    </row>
    <row r="50" spans="2:36" ht="21.75" customHeight="1">
      <c r="B50" s="1420"/>
      <c r="C50" s="567" t="s">
        <v>1419</v>
      </c>
      <c r="D50" s="2245" t="s">
        <v>787</v>
      </c>
      <c r="E50" s="2244" t="s">
        <v>776</v>
      </c>
      <c r="F50" s="2243"/>
      <c r="G50" s="2243"/>
      <c r="H50" s="2243"/>
      <c r="I50" s="2243"/>
      <c r="J50" s="274"/>
      <c r="K50" s="513"/>
      <c r="L50" s="513"/>
      <c r="M50" s="1677">
        <f t="shared" si="10"/>
        <v>0</v>
      </c>
      <c r="N50" s="1998"/>
      <c r="O50" s="274">
        <f>3865276*1.004*7-3880737-22406388.48+14059558.072-6403592.32</f>
        <v>8534000</v>
      </c>
      <c r="P50" s="357"/>
      <c r="Q50" s="357"/>
      <c r="R50" s="357"/>
      <c r="S50" s="1985">
        <f t="shared" ref="S50" si="12">+SUM(N50:R50)</f>
        <v>8534000</v>
      </c>
      <c r="T50" s="1986">
        <f t="shared" si="3"/>
        <v>8534000</v>
      </c>
    </row>
    <row r="51" spans="2:36" ht="45.75" customHeight="1">
      <c r="B51" s="1420"/>
      <c r="C51" s="567" t="s">
        <v>1439</v>
      </c>
      <c r="D51" s="2245" t="s">
        <v>787</v>
      </c>
      <c r="E51" s="2244" t="s">
        <v>776</v>
      </c>
      <c r="F51" s="2243"/>
      <c r="G51" s="2243"/>
      <c r="H51" s="2243"/>
      <c r="I51" s="2243"/>
      <c r="J51" s="274">
        <f>1646684-1646684</f>
        <v>0</v>
      </c>
      <c r="K51" s="513"/>
      <c r="L51" s="513"/>
      <c r="M51" s="1677">
        <f t="shared" si="10"/>
        <v>0</v>
      </c>
      <c r="N51" s="1998">
        <f>2129399.33603207-2129399.33603207</f>
        <v>0</v>
      </c>
      <c r="O51" s="274">
        <f>17485064.0703998-14937592+8394917-949501.566367693-5406561.28803211</f>
        <v>4586326.2159999954</v>
      </c>
      <c r="P51" s="357"/>
      <c r="Q51" s="357">
        <f>5846925-5846925</f>
        <v>0</v>
      </c>
      <c r="R51" s="357"/>
      <c r="S51" s="1985">
        <f t="shared" ref="S51" si="13">+SUM(N51:R51)</f>
        <v>4586326.2159999954</v>
      </c>
      <c r="T51" s="1986">
        <f t="shared" si="3"/>
        <v>4586326.2159999954</v>
      </c>
      <c r="U51" s="1" t="s">
        <v>1270</v>
      </c>
    </row>
    <row r="52" spans="2:36" s="812" customFormat="1" ht="21.75" customHeight="1">
      <c r="B52" s="1423"/>
      <c r="C52" s="1395" t="s">
        <v>801</v>
      </c>
      <c r="D52" s="2245"/>
      <c r="E52" s="2244"/>
      <c r="F52" s="2243"/>
      <c r="G52" s="2243"/>
      <c r="H52" s="2243"/>
      <c r="I52" s="2243"/>
      <c r="J52" s="274"/>
      <c r="K52" s="513"/>
      <c r="L52" s="513"/>
      <c r="M52" s="1677">
        <f t="shared" si="10"/>
        <v>0</v>
      </c>
      <c r="N52" s="1655"/>
      <c r="O52" s="357"/>
      <c r="P52" s="357"/>
      <c r="Q52" s="2243"/>
      <c r="R52" s="1995"/>
      <c r="S52" s="1692">
        <f t="shared" si="11"/>
        <v>0</v>
      </c>
      <c r="T52" s="1706">
        <f t="shared" si="3"/>
        <v>0</v>
      </c>
    </row>
    <row r="53" spans="2:36" s="812" customFormat="1" ht="36" customHeight="1">
      <c r="B53" s="1423"/>
      <c r="C53" s="567" t="s">
        <v>802</v>
      </c>
      <c r="D53" s="2245" t="s">
        <v>235</v>
      </c>
      <c r="E53" s="2244" t="s">
        <v>776</v>
      </c>
      <c r="F53" s="2243"/>
      <c r="G53" s="2243">
        <v>11</v>
      </c>
      <c r="H53" s="2243"/>
      <c r="I53" s="1462"/>
      <c r="J53" s="274">
        <v>28581825.173440002</v>
      </c>
      <c r="K53" s="513"/>
      <c r="L53" s="513"/>
      <c r="M53" s="1677">
        <f t="shared" si="10"/>
        <v>28581825.173440002</v>
      </c>
      <c r="N53" s="1662"/>
      <c r="O53" s="2185"/>
      <c r="P53" s="1462"/>
      <c r="Q53" s="1462"/>
      <c r="R53" s="1462"/>
      <c r="S53" s="1692">
        <f t="shared" si="11"/>
        <v>0</v>
      </c>
      <c r="T53" s="2007">
        <f t="shared" si="3"/>
        <v>28581825.173440002</v>
      </c>
    </row>
    <row r="54" spans="2:36" s="812" customFormat="1" ht="21.75" customHeight="1">
      <c r="B54" s="1423"/>
      <c r="C54" s="567" t="s">
        <v>803</v>
      </c>
      <c r="D54" s="2199" t="s">
        <v>235</v>
      </c>
      <c r="E54" s="2196" t="s">
        <v>776</v>
      </c>
      <c r="F54" s="2195"/>
      <c r="G54" s="2195">
        <v>11</v>
      </c>
      <c r="H54" s="2195"/>
      <c r="I54" s="1462">
        <v>40359674.234880008</v>
      </c>
      <c r="J54" s="274">
        <v>10089918.55872</v>
      </c>
      <c r="K54" s="513"/>
      <c r="L54" s="513"/>
      <c r="M54" s="1677">
        <f t="shared" si="10"/>
        <v>50449592.793600008</v>
      </c>
      <c r="N54" s="1662"/>
      <c r="O54" s="1462"/>
      <c r="P54" s="1462"/>
      <c r="Q54" s="1462"/>
      <c r="R54" s="1462"/>
      <c r="S54" s="1692">
        <f t="shared" si="11"/>
        <v>0</v>
      </c>
      <c r="T54" s="2007">
        <f t="shared" si="3"/>
        <v>50449592.793600008</v>
      </c>
    </row>
    <row r="55" spans="2:36" s="812" customFormat="1" ht="21.75" customHeight="1">
      <c r="B55" s="1423"/>
      <c r="C55" s="567" t="s">
        <v>804</v>
      </c>
      <c r="D55" s="2108" t="s">
        <v>235</v>
      </c>
      <c r="E55" s="2106" t="s">
        <v>776</v>
      </c>
      <c r="F55" s="2107"/>
      <c r="G55" s="2107">
        <v>10</v>
      </c>
      <c r="H55" s="2107"/>
      <c r="I55" s="1462">
        <v>33021551.808000002</v>
      </c>
      <c r="J55" s="274"/>
      <c r="K55" s="513">
        <v>12841714.592000004</v>
      </c>
      <c r="L55" s="513"/>
      <c r="M55" s="1677">
        <f t="shared" si="10"/>
        <v>45863266.400000006</v>
      </c>
      <c r="N55" s="1662"/>
      <c r="O55" s="1462"/>
      <c r="P55" s="1462"/>
      <c r="Q55" s="1462"/>
      <c r="R55" s="1462"/>
      <c r="S55" s="1692">
        <f t="shared" si="11"/>
        <v>0</v>
      </c>
      <c r="T55" s="2007">
        <f t="shared" si="3"/>
        <v>45863266.400000006</v>
      </c>
    </row>
    <row r="56" spans="2:36" s="812" customFormat="1" ht="21.75" customHeight="1">
      <c r="B56" s="1453"/>
      <c r="C56" s="567" t="s">
        <v>1119</v>
      </c>
      <c r="D56" s="2108" t="s">
        <v>235</v>
      </c>
      <c r="E56" s="2106" t="s">
        <v>776</v>
      </c>
      <c r="F56" s="2107"/>
      <c r="G56" s="2107">
        <v>11</v>
      </c>
      <c r="H56" s="2107"/>
      <c r="I56" s="1462">
        <v>36323706.811392002</v>
      </c>
      <c r="J56" s="274">
        <v>5801976.5958399801</v>
      </c>
      <c r="K56" s="513">
        <v>8323909.3863680204</v>
      </c>
      <c r="L56" s="513"/>
      <c r="M56" s="1677">
        <f t="shared" si="10"/>
        <v>50449592.7936</v>
      </c>
      <c r="N56" s="1662"/>
      <c r="O56" s="1462"/>
      <c r="P56" s="1462"/>
      <c r="Q56" s="1462"/>
      <c r="R56" s="1462"/>
      <c r="S56" s="1692">
        <f t="shared" si="11"/>
        <v>0</v>
      </c>
      <c r="T56" s="2007">
        <f t="shared" si="3"/>
        <v>50449592.7936</v>
      </c>
    </row>
    <row r="57" spans="2:36" s="812" customFormat="1" ht="21.75" customHeight="1">
      <c r="B57" s="1453"/>
      <c r="C57" s="567" t="s">
        <v>1120</v>
      </c>
      <c r="D57" s="2108" t="s">
        <v>235</v>
      </c>
      <c r="E57" s="2106" t="s">
        <v>776</v>
      </c>
      <c r="F57" s="2107"/>
      <c r="G57" s="2107">
        <v>8</v>
      </c>
      <c r="H57" s="2107"/>
      <c r="I57" s="1462">
        <v>23610409.542720001</v>
      </c>
      <c r="J57" s="274">
        <v>26839183.250879999</v>
      </c>
      <c r="K57" s="513"/>
      <c r="L57" s="513"/>
      <c r="M57" s="1677">
        <f t="shared" si="10"/>
        <v>50449592.7936</v>
      </c>
      <c r="N57" s="1662"/>
      <c r="O57" s="1462"/>
      <c r="P57" s="1462"/>
      <c r="Q57" s="1462"/>
      <c r="R57" s="1462"/>
      <c r="S57" s="1692">
        <f t="shared" si="11"/>
        <v>0</v>
      </c>
      <c r="T57" s="2007">
        <f t="shared" si="3"/>
        <v>50449592.7936</v>
      </c>
      <c r="AB57"/>
      <c r="AC57"/>
      <c r="AD57"/>
      <c r="AE57"/>
      <c r="AF57"/>
      <c r="AG57"/>
      <c r="AH57"/>
      <c r="AI57"/>
      <c r="AJ57"/>
    </row>
    <row r="58" spans="2:36" s="812" customFormat="1" ht="48" customHeight="1">
      <c r="B58" s="1453"/>
      <c r="C58" s="567" t="s">
        <v>1117</v>
      </c>
      <c r="D58" s="2108" t="s">
        <v>787</v>
      </c>
      <c r="E58" s="2106" t="s">
        <v>776</v>
      </c>
      <c r="F58" s="2107" t="s">
        <v>1121</v>
      </c>
      <c r="G58" s="2107">
        <v>11</v>
      </c>
      <c r="H58" s="2107"/>
      <c r="I58" s="1462">
        <v>2000000</v>
      </c>
      <c r="J58" s="274"/>
      <c r="K58" s="513"/>
      <c r="L58" s="513"/>
      <c r="M58" s="1677">
        <f t="shared" si="10"/>
        <v>2000000</v>
      </c>
      <c r="N58" s="1662"/>
      <c r="O58" s="1462"/>
      <c r="P58" s="1462"/>
      <c r="Q58" s="1462"/>
      <c r="R58" s="1462"/>
      <c r="S58" s="1692">
        <f t="shared" si="11"/>
        <v>0</v>
      </c>
      <c r="T58" s="2007">
        <f t="shared" si="3"/>
        <v>2000000</v>
      </c>
      <c r="AB58"/>
      <c r="AC58"/>
      <c r="AD58"/>
      <c r="AE58"/>
      <c r="AF58"/>
      <c r="AG58"/>
      <c r="AH58"/>
      <c r="AI58"/>
      <c r="AJ58"/>
    </row>
    <row r="59" spans="2:36" s="812" customFormat="1" ht="47.25" customHeight="1">
      <c r="B59" s="1453"/>
      <c r="C59" s="567" t="s">
        <v>1118</v>
      </c>
      <c r="D59" s="2108" t="s">
        <v>787</v>
      </c>
      <c r="E59" s="2106" t="s">
        <v>776</v>
      </c>
      <c r="F59" s="2107" t="s">
        <v>1121</v>
      </c>
      <c r="G59" s="2107">
        <v>11</v>
      </c>
      <c r="H59" s="2107"/>
      <c r="I59" s="1462">
        <v>2500000</v>
      </c>
      <c r="J59" s="274"/>
      <c r="K59" s="513"/>
      <c r="L59" s="513"/>
      <c r="M59" s="1677">
        <f t="shared" si="10"/>
        <v>2500000</v>
      </c>
      <c r="N59" s="1662"/>
      <c r="O59" s="1462"/>
      <c r="P59" s="1462"/>
      <c r="Q59" s="1462"/>
      <c r="R59" s="1462"/>
      <c r="S59" s="1692">
        <f t="shared" si="11"/>
        <v>0</v>
      </c>
      <c r="T59" s="2007">
        <f t="shared" si="3"/>
        <v>2500000</v>
      </c>
      <c r="AB59"/>
      <c r="AC59"/>
      <c r="AD59"/>
      <c r="AE59"/>
      <c r="AF59"/>
      <c r="AG59"/>
      <c r="AH59"/>
      <c r="AI59"/>
      <c r="AJ59"/>
    </row>
    <row r="60" spans="2:36" s="812" customFormat="1" ht="47.25" customHeight="1">
      <c r="B60" s="1453"/>
      <c r="C60" s="567" t="s">
        <v>1315</v>
      </c>
      <c r="D60" s="2108" t="s">
        <v>235</v>
      </c>
      <c r="E60" s="2106" t="s">
        <v>776</v>
      </c>
      <c r="F60" s="2107"/>
      <c r="G60" s="2107"/>
      <c r="H60" s="2107"/>
      <c r="I60" s="1462"/>
      <c r="J60" s="274"/>
      <c r="K60" s="513"/>
      <c r="L60" s="513"/>
      <c r="M60" s="1677">
        <f t="shared" si="10"/>
        <v>0</v>
      </c>
      <c r="N60" s="1662"/>
      <c r="O60" s="1462"/>
      <c r="P60" s="1462"/>
      <c r="Q60" s="1462">
        <v>13704161.732799999</v>
      </c>
      <c r="R60" s="1462"/>
      <c r="S60" s="1692">
        <f t="shared" ref="S60" si="14">+SUM(N60:R60)</f>
        <v>13704161.732799999</v>
      </c>
      <c r="T60" s="2007">
        <f t="shared" ref="T60" si="15">+S60+M60</f>
        <v>13704161.732799999</v>
      </c>
      <c r="AB60"/>
      <c r="AC60"/>
      <c r="AD60"/>
      <c r="AE60"/>
      <c r="AF60"/>
      <c r="AG60"/>
      <c r="AH60"/>
      <c r="AI60"/>
      <c r="AJ60"/>
    </row>
    <row r="61" spans="2:36" s="812" customFormat="1" ht="21.75" customHeight="1">
      <c r="B61" s="1423"/>
      <c r="C61" s="567"/>
      <c r="D61" s="2108"/>
      <c r="E61" s="2106"/>
      <c r="F61" s="2107"/>
      <c r="G61" s="2107"/>
      <c r="H61" s="2107"/>
      <c r="I61" s="2107"/>
      <c r="J61" s="274"/>
      <c r="K61" s="513"/>
      <c r="L61" s="513"/>
      <c r="M61" s="1677">
        <f t="shared" si="10"/>
        <v>0</v>
      </c>
      <c r="N61" s="1655"/>
      <c r="O61" s="2107"/>
      <c r="P61" s="2107"/>
      <c r="Q61" s="2107"/>
      <c r="R61" s="1995"/>
      <c r="S61" s="1692">
        <f t="shared" si="11"/>
        <v>0</v>
      </c>
      <c r="T61" s="2007">
        <f t="shared" si="3"/>
        <v>0</v>
      </c>
      <c r="U61"/>
      <c r="V61"/>
      <c r="W61"/>
      <c r="X61"/>
      <c r="Y61"/>
      <c r="Z61"/>
      <c r="AA61"/>
      <c r="AB61"/>
      <c r="AC61"/>
      <c r="AD61"/>
      <c r="AE61"/>
      <c r="AF61"/>
      <c r="AG61"/>
      <c r="AH61"/>
      <c r="AI61"/>
      <c r="AJ61"/>
    </row>
    <row r="62" spans="2:36" s="812" customFormat="1" ht="21.75" customHeight="1">
      <c r="B62" s="1423"/>
      <c r="C62" s="1395" t="s">
        <v>805</v>
      </c>
      <c r="D62" s="2199" t="s">
        <v>235</v>
      </c>
      <c r="E62" s="2196" t="s">
        <v>776</v>
      </c>
      <c r="F62" s="2195"/>
      <c r="G62" s="2195">
        <v>2</v>
      </c>
      <c r="H62" s="2195"/>
      <c r="I62" s="1463">
        <v>8000000</v>
      </c>
      <c r="J62" s="274"/>
      <c r="K62" s="513"/>
      <c r="L62" s="513"/>
      <c r="M62" s="1677">
        <f t="shared" si="10"/>
        <v>8000000</v>
      </c>
      <c r="N62" s="1661"/>
      <c r="O62" s="1463"/>
      <c r="P62" s="1463"/>
      <c r="Q62" s="1463"/>
      <c r="R62" s="1463"/>
      <c r="S62" s="1692">
        <f t="shared" si="11"/>
        <v>0</v>
      </c>
      <c r="T62" s="2007">
        <f t="shared" si="3"/>
        <v>8000000</v>
      </c>
      <c r="U62"/>
      <c r="V62"/>
      <c r="W62"/>
      <c r="X62"/>
      <c r="Y62"/>
      <c r="Z62"/>
      <c r="AA62"/>
      <c r="AB62"/>
      <c r="AC62"/>
      <c r="AD62"/>
      <c r="AE62"/>
      <c r="AF62"/>
      <c r="AG62"/>
      <c r="AH62"/>
      <c r="AI62"/>
      <c r="AJ62"/>
    </row>
    <row r="63" spans="2:36" s="812" customFormat="1" ht="33.75" customHeight="1">
      <c r="B63" s="1423"/>
      <c r="C63" s="567" t="s">
        <v>775</v>
      </c>
      <c r="D63" s="2199" t="s">
        <v>235</v>
      </c>
      <c r="E63" s="2196" t="s">
        <v>776</v>
      </c>
      <c r="F63" s="2195"/>
      <c r="G63" s="2195"/>
      <c r="H63" s="2195"/>
      <c r="I63" s="2195">
        <v>15167069.6182133</v>
      </c>
      <c r="J63" s="274"/>
      <c r="K63" s="513"/>
      <c r="L63" s="513"/>
      <c r="M63" s="1677">
        <f t="shared" si="10"/>
        <v>15167069.6182133</v>
      </c>
      <c r="N63" s="1655"/>
      <c r="O63" s="2195"/>
      <c r="P63" s="2195"/>
      <c r="Q63" s="2195"/>
      <c r="R63" s="1995"/>
      <c r="S63" s="1692">
        <f t="shared" si="11"/>
        <v>0</v>
      </c>
      <c r="T63" s="2007">
        <f t="shared" si="3"/>
        <v>15167069.6182133</v>
      </c>
      <c r="U63"/>
      <c r="V63"/>
      <c r="W63"/>
      <c r="X63"/>
      <c r="Y63"/>
      <c r="Z63"/>
      <c r="AA63"/>
      <c r="AB63"/>
      <c r="AC63"/>
      <c r="AD63"/>
      <c r="AE63"/>
      <c r="AF63"/>
      <c r="AG63"/>
      <c r="AH63"/>
      <c r="AI63"/>
      <c r="AJ63"/>
    </row>
    <row r="64" spans="2:36" s="812" customFormat="1" ht="33" customHeight="1">
      <c r="B64" s="1423"/>
      <c r="C64" s="567" t="s">
        <v>806</v>
      </c>
      <c r="D64" s="2199" t="s">
        <v>235</v>
      </c>
      <c r="E64" s="2196" t="s">
        <v>776</v>
      </c>
      <c r="F64" s="2195"/>
      <c r="G64" s="2195">
        <v>11</v>
      </c>
      <c r="H64" s="2195"/>
      <c r="I64" s="2195">
        <v>12000000</v>
      </c>
      <c r="J64" s="274">
        <v>3000000</v>
      </c>
      <c r="K64" s="513"/>
      <c r="L64" s="513"/>
      <c r="M64" s="1677">
        <f t="shared" si="10"/>
        <v>15000000</v>
      </c>
      <c r="N64" s="1655"/>
      <c r="O64" s="2195"/>
      <c r="P64" s="2195"/>
      <c r="Q64" s="2195"/>
      <c r="R64" s="1995"/>
      <c r="S64" s="1692">
        <f t="shared" si="11"/>
        <v>0</v>
      </c>
      <c r="T64" s="2007">
        <f t="shared" si="3"/>
        <v>15000000</v>
      </c>
      <c r="U64"/>
      <c r="V64"/>
      <c r="W64"/>
      <c r="X64"/>
      <c r="Y64"/>
      <c r="Z64"/>
      <c r="AA64"/>
      <c r="AB64"/>
      <c r="AC64"/>
      <c r="AD64"/>
      <c r="AE64"/>
      <c r="AF64"/>
      <c r="AG64"/>
      <c r="AH64"/>
      <c r="AI64"/>
      <c r="AJ64"/>
    </row>
    <row r="65" spans="2:36" s="812" customFormat="1" ht="34.5" customHeight="1">
      <c r="B65" s="1423"/>
      <c r="C65" s="567" t="s">
        <v>807</v>
      </c>
      <c r="D65" s="2199" t="s">
        <v>235</v>
      </c>
      <c r="E65" s="2196" t="s">
        <v>776</v>
      </c>
      <c r="F65" s="2195"/>
      <c r="G65" s="2195"/>
      <c r="H65" s="2195"/>
      <c r="I65" s="2195"/>
      <c r="J65" s="274"/>
      <c r="K65" s="513"/>
      <c r="L65" s="513"/>
      <c r="M65" s="1677">
        <f t="shared" si="10"/>
        <v>0</v>
      </c>
      <c r="N65" s="1655"/>
      <c r="O65" s="357">
        <v>7468796.1600000001</v>
      </c>
      <c r="P65" s="2195"/>
      <c r="Q65" s="2195"/>
      <c r="R65" s="1995"/>
      <c r="S65" s="1692">
        <f t="shared" si="11"/>
        <v>7468796.1600000001</v>
      </c>
      <c r="T65" s="2007">
        <f t="shared" si="3"/>
        <v>7468796.1600000001</v>
      </c>
      <c r="U65"/>
      <c r="V65"/>
      <c r="W65"/>
      <c r="X65"/>
      <c r="Y65"/>
      <c r="Z65"/>
      <c r="AA65"/>
      <c r="AB65"/>
      <c r="AC65"/>
      <c r="AD65"/>
      <c r="AE65"/>
      <c r="AF65"/>
      <c r="AG65"/>
      <c r="AH65"/>
      <c r="AI65"/>
      <c r="AJ65"/>
    </row>
    <row r="66" spans="2:36" ht="30.75" customHeight="1">
      <c r="B66" s="1420"/>
      <c r="C66" s="567" t="s">
        <v>807</v>
      </c>
      <c r="D66" s="2199" t="s">
        <v>235</v>
      </c>
      <c r="E66" s="2196" t="s">
        <v>776</v>
      </c>
      <c r="F66" s="2195"/>
      <c r="G66" s="2195"/>
      <c r="H66" s="2195"/>
      <c r="I66" s="513"/>
      <c r="J66" s="2075"/>
      <c r="K66" s="513"/>
      <c r="L66" s="513"/>
      <c r="M66" s="1677">
        <f t="shared" si="10"/>
        <v>0</v>
      </c>
      <c r="N66" s="1998"/>
      <c r="O66" s="357">
        <v>7468796.1600000001</v>
      </c>
      <c r="P66" s="357"/>
      <c r="Q66" s="357"/>
      <c r="R66" s="2013"/>
      <c r="S66" s="1985">
        <f t="shared" si="11"/>
        <v>7468796.1600000001</v>
      </c>
      <c r="T66" s="2007">
        <f t="shared" si="3"/>
        <v>7468796.1600000001</v>
      </c>
      <c r="U66"/>
      <c r="V66"/>
      <c r="W66"/>
      <c r="X66"/>
      <c r="Y66"/>
      <c r="Z66"/>
      <c r="AA66"/>
      <c r="AB66"/>
      <c r="AC66"/>
      <c r="AD66"/>
      <c r="AE66"/>
      <c r="AF66"/>
      <c r="AG66"/>
      <c r="AH66"/>
      <c r="AI66"/>
      <c r="AJ66"/>
    </row>
    <row r="67" spans="2:36" ht="35.25" customHeight="1">
      <c r="B67" s="1420"/>
      <c r="C67" s="567" t="s">
        <v>1398</v>
      </c>
      <c r="D67" s="2199" t="s">
        <v>235</v>
      </c>
      <c r="E67" s="2196" t="s">
        <v>776</v>
      </c>
      <c r="F67" s="2195"/>
      <c r="G67" s="2195"/>
      <c r="H67" s="2195"/>
      <c r="I67" s="513"/>
      <c r="J67" s="2075"/>
      <c r="K67" s="513"/>
      <c r="L67" s="513"/>
      <c r="M67" s="1677">
        <f t="shared" si="10"/>
        <v>0</v>
      </c>
      <c r="N67" s="1998"/>
      <c r="O67" s="357">
        <f>7468796.16-818994.928</f>
        <v>6649801.2319999998</v>
      </c>
      <c r="P67" s="357"/>
      <c r="Q67" s="357"/>
      <c r="R67" s="2013"/>
      <c r="S67" s="1985">
        <f t="shared" si="11"/>
        <v>6649801.2319999998</v>
      </c>
      <c r="T67" s="2007">
        <f t="shared" si="3"/>
        <v>6649801.2319999998</v>
      </c>
      <c r="U67"/>
      <c r="V67"/>
      <c r="W67"/>
      <c r="X67"/>
      <c r="Y67"/>
      <c r="Z67"/>
      <c r="AA67"/>
      <c r="AB67"/>
      <c r="AC67"/>
      <c r="AD67"/>
      <c r="AE67"/>
      <c r="AF67"/>
      <c r="AG67"/>
      <c r="AH67"/>
      <c r="AI67"/>
      <c r="AJ67"/>
    </row>
    <row r="68" spans="2:36" ht="35.25" customHeight="1">
      <c r="B68" s="1420"/>
      <c r="C68" s="567" t="s">
        <v>1398</v>
      </c>
      <c r="D68" s="2199" t="s">
        <v>235</v>
      </c>
      <c r="E68" s="2196" t="s">
        <v>776</v>
      </c>
      <c r="F68" s="2195"/>
      <c r="G68" s="2195"/>
      <c r="H68" s="2195"/>
      <c r="I68" s="513"/>
      <c r="J68" s="2075"/>
      <c r="K68" s="513"/>
      <c r="L68" s="513"/>
      <c r="M68" s="1677">
        <f t="shared" si="10"/>
        <v>0</v>
      </c>
      <c r="N68" s="1998"/>
      <c r="O68" s="357">
        <f>7468796.16-7468796.16</f>
        <v>0</v>
      </c>
      <c r="P68" s="357"/>
      <c r="Q68" s="357"/>
      <c r="R68" s="2013"/>
      <c r="S68" s="1985">
        <f t="shared" si="11"/>
        <v>0</v>
      </c>
      <c r="T68" s="2007">
        <f t="shared" si="3"/>
        <v>0</v>
      </c>
      <c r="U68"/>
      <c r="V68"/>
      <c r="W68"/>
      <c r="X68"/>
      <c r="Y68"/>
      <c r="Z68"/>
      <c r="AA68"/>
      <c r="AB68"/>
      <c r="AC68"/>
      <c r="AD68"/>
      <c r="AE68"/>
      <c r="AF68"/>
      <c r="AG68"/>
      <c r="AH68"/>
      <c r="AI68"/>
      <c r="AJ68"/>
    </row>
    <row r="69" spans="2:36" ht="35.25" customHeight="1">
      <c r="B69" s="1420"/>
      <c r="C69" s="567" t="s">
        <v>1398</v>
      </c>
      <c r="D69" s="2199" t="s">
        <v>235</v>
      </c>
      <c r="E69" s="2196" t="s">
        <v>776</v>
      </c>
      <c r="F69" s="2195"/>
      <c r="G69" s="2195"/>
      <c r="H69" s="2195"/>
      <c r="I69" s="513"/>
      <c r="J69" s="2075"/>
      <c r="K69" s="513"/>
      <c r="L69" s="513"/>
      <c r="M69" s="1677">
        <f t="shared" si="10"/>
        <v>0</v>
      </c>
      <c r="N69" s="1998"/>
      <c r="O69" s="357">
        <f>7468796.16-7468796.16</f>
        <v>0</v>
      </c>
      <c r="P69" s="357"/>
      <c r="Q69" s="357"/>
      <c r="R69" s="2013"/>
      <c r="S69" s="1985">
        <f t="shared" si="11"/>
        <v>0</v>
      </c>
      <c r="T69" s="2007">
        <f t="shared" si="3"/>
        <v>0</v>
      </c>
      <c r="U69"/>
      <c r="V69"/>
      <c r="W69"/>
      <c r="X69"/>
      <c r="Y69"/>
      <c r="Z69"/>
      <c r="AA69"/>
      <c r="AB69"/>
      <c r="AC69"/>
      <c r="AD69"/>
      <c r="AE69"/>
      <c r="AF69"/>
      <c r="AG69"/>
      <c r="AH69"/>
      <c r="AI69"/>
      <c r="AJ69"/>
    </row>
    <row r="70" spans="2:36" ht="35.25" customHeight="1">
      <c r="B70" s="1420"/>
      <c r="C70" s="2076" t="s">
        <v>1346</v>
      </c>
      <c r="D70" s="2199" t="s">
        <v>235</v>
      </c>
      <c r="E70" s="2196" t="s">
        <v>776</v>
      </c>
      <c r="F70" s="2195"/>
      <c r="G70" s="2195"/>
      <c r="H70" s="2195"/>
      <c r="I70" s="513"/>
      <c r="J70" s="2075"/>
      <c r="K70" s="513"/>
      <c r="L70" s="513"/>
      <c r="M70" s="1677">
        <f t="shared" si="10"/>
        <v>0</v>
      </c>
      <c r="N70" s="1998"/>
      <c r="O70" s="357">
        <v>3002735.2959999442</v>
      </c>
      <c r="P70" s="357"/>
      <c r="Q70" s="357"/>
      <c r="R70" s="2013"/>
      <c r="S70" s="1985">
        <f t="shared" si="11"/>
        <v>3002735.2959999442</v>
      </c>
      <c r="T70" s="2007">
        <f t="shared" si="3"/>
        <v>3002735.2959999442</v>
      </c>
      <c r="U70"/>
      <c r="V70"/>
      <c r="W70"/>
      <c r="X70"/>
      <c r="Y70"/>
      <c r="Z70"/>
      <c r="AA70"/>
      <c r="AB70"/>
      <c r="AC70"/>
      <c r="AD70"/>
      <c r="AE70"/>
      <c r="AF70"/>
      <c r="AG70"/>
      <c r="AH70"/>
      <c r="AI70"/>
      <c r="AJ70"/>
    </row>
    <row r="71" spans="2:36" s="812" customFormat="1" ht="30.75" customHeight="1">
      <c r="B71" s="1423"/>
      <c r="C71" s="567" t="s">
        <v>1362</v>
      </c>
      <c r="D71" s="2199" t="s">
        <v>235</v>
      </c>
      <c r="E71" s="2196" t="s">
        <v>1271</v>
      </c>
      <c r="F71" s="2195"/>
      <c r="G71" s="2195"/>
      <c r="H71" s="2195"/>
      <c r="I71" s="513"/>
      <c r="J71" s="274"/>
      <c r="K71" s="513"/>
      <c r="L71" s="513"/>
      <c r="M71" s="1677">
        <f t="shared" si="10"/>
        <v>0</v>
      </c>
      <c r="N71" s="1998"/>
      <c r="O71" s="357">
        <f>7468796.16-4466061</f>
        <v>3002735.16</v>
      </c>
      <c r="P71" s="357"/>
      <c r="Q71" s="357"/>
      <c r="R71" s="357"/>
      <c r="S71" s="1985">
        <f t="shared" si="11"/>
        <v>3002735.16</v>
      </c>
      <c r="T71" s="2007">
        <f t="shared" si="3"/>
        <v>3002735.16</v>
      </c>
      <c r="U71"/>
      <c r="V71"/>
      <c r="W71"/>
      <c r="X71"/>
      <c r="Y71"/>
      <c r="Z71"/>
      <c r="AA71"/>
      <c r="AB71"/>
      <c r="AC71"/>
      <c r="AD71"/>
      <c r="AE71"/>
      <c r="AF71"/>
      <c r="AG71"/>
      <c r="AH71"/>
      <c r="AI71"/>
      <c r="AJ71"/>
    </row>
    <row r="72" spans="2:36" s="812" customFormat="1" ht="21.75" customHeight="1">
      <c r="B72" s="1423"/>
      <c r="C72" s="567"/>
      <c r="D72" s="2199"/>
      <c r="E72" s="2196"/>
      <c r="F72" s="2195"/>
      <c r="G72" s="2195"/>
      <c r="H72" s="2195"/>
      <c r="I72" s="2195"/>
      <c r="J72" s="274"/>
      <c r="K72" s="513"/>
      <c r="L72" s="513"/>
      <c r="M72" s="1677">
        <f t="shared" si="10"/>
        <v>0</v>
      </c>
      <c r="N72" s="1655"/>
      <c r="O72" s="2195"/>
      <c r="P72" s="2195"/>
      <c r="Q72" s="2195"/>
      <c r="R72" s="1995"/>
      <c r="S72" s="1985">
        <f t="shared" ref="S72:S73" si="16">+SUM(N72:R72)</f>
        <v>0</v>
      </c>
      <c r="T72" s="2007">
        <f t="shared" ref="T72:T73" si="17">+S72+M72</f>
        <v>0</v>
      </c>
      <c r="U72"/>
      <c r="V72"/>
      <c r="W72"/>
      <c r="X72"/>
      <c r="Y72"/>
      <c r="Z72"/>
      <c r="AA72"/>
      <c r="AB72"/>
      <c r="AC72"/>
      <c r="AD72"/>
      <c r="AE72"/>
      <c r="AF72"/>
      <c r="AG72"/>
      <c r="AH72"/>
      <c r="AI72"/>
      <c r="AJ72"/>
    </row>
    <row r="73" spans="2:36" s="812" customFormat="1" ht="21.75" customHeight="1">
      <c r="B73" s="1423"/>
      <c r="C73" s="567" t="s">
        <v>1166</v>
      </c>
      <c r="D73" s="2199" t="s">
        <v>235</v>
      </c>
      <c r="E73" s="2196"/>
      <c r="F73" s="2195"/>
      <c r="G73" s="2195"/>
      <c r="H73" s="2195"/>
      <c r="I73" s="2195"/>
      <c r="J73" s="274">
        <v>1004000</v>
      </c>
      <c r="K73" s="513"/>
      <c r="L73" s="513"/>
      <c r="M73" s="1677">
        <f t="shared" si="10"/>
        <v>1004000</v>
      </c>
      <c r="N73" s="1655"/>
      <c r="O73" s="2195"/>
      <c r="P73" s="2195"/>
      <c r="Q73" s="2195"/>
      <c r="R73" s="1995"/>
      <c r="S73" s="1985">
        <f t="shared" si="16"/>
        <v>0</v>
      </c>
      <c r="T73" s="1986">
        <f t="shared" si="17"/>
        <v>1004000</v>
      </c>
      <c r="U73"/>
      <c r="V73"/>
      <c r="W73"/>
      <c r="X73"/>
      <c r="Y73"/>
      <c r="Z73"/>
      <c r="AA73"/>
      <c r="AB73"/>
      <c r="AC73"/>
      <c r="AD73"/>
      <c r="AE73"/>
      <c r="AF73"/>
      <c r="AG73"/>
      <c r="AH73"/>
      <c r="AI73"/>
      <c r="AJ73"/>
    </row>
    <row r="74" spans="2:36" s="812" customFormat="1" ht="21.75" customHeight="1">
      <c r="B74" s="1423"/>
      <c r="C74" s="567" t="s">
        <v>1167</v>
      </c>
      <c r="D74" s="2199" t="s">
        <v>235</v>
      </c>
      <c r="E74" s="2196"/>
      <c r="F74" s="2195"/>
      <c r="G74" s="2195"/>
      <c r="H74" s="2195"/>
      <c r="I74" s="2195"/>
      <c r="J74" s="274"/>
      <c r="K74" s="513">
        <v>1004000</v>
      </c>
      <c r="L74" s="513"/>
      <c r="M74" s="1677">
        <f t="shared" si="10"/>
        <v>1004000</v>
      </c>
      <c r="N74" s="1655"/>
      <c r="O74" s="2195"/>
      <c r="P74" s="2195"/>
      <c r="Q74" s="2195"/>
      <c r="R74" s="1995"/>
      <c r="S74" s="1692">
        <f t="shared" si="11"/>
        <v>0</v>
      </c>
      <c r="T74" s="1706">
        <f t="shared" si="3"/>
        <v>1004000</v>
      </c>
      <c r="U74"/>
      <c r="V74"/>
      <c r="W74"/>
      <c r="X74"/>
      <c r="Y74"/>
      <c r="Z74"/>
      <c r="AA74"/>
      <c r="AB74"/>
      <c r="AC74"/>
      <c r="AD74"/>
      <c r="AE74"/>
      <c r="AF74"/>
      <c r="AG74"/>
      <c r="AH74"/>
      <c r="AI74"/>
      <c r="AJ74"/>
    </row>
    <row r="75" spans="2:36" s="812" customFormat="1" ht="21.75" customHeight="1">
      <c r="B75" s="1423"/>
      <c r="C75" s="567" t="s">
        <v>808</v>
      </c>
      <c r="D75" s="2199" t="s">
        <v>235</v>
      </c>
      <c r="E75" s="2196" t="s">
        <v>776</v>
      </c>
      <c r="F75" s="2195"/>
      <c r="G75" s="2195">
        <v>1</v>
      </c>
      <c r="H75" s="2195"/>
      <c r="I75" s="2195">
        <v>3880737.9071999998</v>
      </c>
      <c r="J75" s="274"/>
      <c r="K75" s="513"/>
      <c r="L75" s="513"/>
      <c r="M75" s="1677">
        <f t="shared" si="10"/>
        <v>3880737.9071999998</v>
      </c>
      <c r="N75" s="1655"/>
      <c r="O75" s="2195"/>
      <c r="P75" s="2195"/>
      <c r="Q75" s="2195"/>
      <c r="R75" s="1995"/>
      <c r="S75" s="1692">
        <f t="shared" si="11"/>
        <v>0</v>
      </c>
      <c r="T75" s="1706">
        <f t="shared" si="3"/>
        <v>3880737.9071999998</v>
      </c>
      <c r="U75"/>
      <c r="V75"/>
      <c r="W75"/>
      <c r="X75"/>
      <c r="Y75"/>
      <c r="Z75"/>
      <c r="AA75"/>
      <c r="AB75"/>
      <c r="AC75"/>
      <c r="AD75"/>
      <c r="AE75"/>
      <c r="AF75"/>
      <c r="AG75"/>
      <c r="AH75"/>
      <c r="AI75"/>
      <c r="AJ75"/>
    </row>
    <row r="76" spans="2:36" s="812" customFormat="1" ht="21.75" customHeight="1">
      <c r="B76" s="1423"/>
      <c r="C76" s="567"/>
      <c r="D76" s="2199"/>
      <c r="E76" s="2196"/>
      <c r="F76" s="2195"/>
      <c r="G76" s="2195"/>
      <c r="H76" s="2195"/>
      <c r="I76" s="2195"/>
      <c r="J76" s="274"/>
      <c r="K76" s="513"/>
      <c r="L76" s="513"/>
      <c r="M76" s="1677">
        <f t="shared" si="10"/>
        <v>0</v>
      </c>
      <c r="N76" s="1655"/>
      <c r="O76" s="2195"/>
      <c r="P76" s="2195"/>
      <c r="Q76" s="2195"/>
      <c r="R76" s="1995"/>
      <c r="S76" s="1692">
        <f t="shared" si="11"/>
        <v>0</v>
      </c>
      <c r="T76" s="1706">
        <f t="shared" si="3"/>
        <v>0</v>
      </c>
      <c r="U76"/>
      <c r="V76"/>
      <c r="W76"/>
      <c r="X76"/>
      <c r="Y76"/>
      <c r="Z76"/>
      <c r="AA76"/>
      <c r="AB76"/>
      <c r="AC76"/>
      <c r="AD76"/>
      <c r="AE76"/>
      <c r="AF76"/>
      <c r="AG76"/>
      <c r="AH76"/>
      <c r="AI76"/>
      <c r="AJ76"/>
    </row>
    <row r="77" spans="2:36" s="812" customFormat="1" ht="21.75" customHeight="1">
      <c r="B77" s="1423"/>
      <c r="C77" s="567" t="s">
        <v>809</v>
      </c>
      <c r="D77" s="2199"/>
      <c r="E77" s="2196"/>
      <c r="F77" s="2195"/>
      <c r="G77" s="2195"/>
      <c r="H77" s="2195"/>
      <c r="I77" s="2195"/>
      <c r="J77" s="274"/>
      <c r="K77" s="513"/>
      <c r="L77" s="513"/>
      <c r="M77" s="1677">
        <f t="shared" si="10"/>
        <v>0</v>
      </c>
      <c r="N77" s="1655"/>
      <c r="O77" s="2195"/>
      <c r="P77" s="2195"/>
      <c r="Q77" s="2195"/>
      <c r="R77" s="1564"/>
      <c r="S77" s="1692">
        <f t="shared" si="11"/>
        <v>0</v>
      </c>
      <c r="T77" s="1706">
        <f t="shared" si="3"/>
        <v>0</v>
      </c>
      <c r="U77"/>
      <c r="V77"/>
      <c r="W77"/>
      <c r="X77"/>
      <c r="Y77"/>
      <c r="Z77"/>
      <c r="AA77"/>
      <c r="AB77"/>
      <c r="AC77"/>
      <c r="AD77"/>
      <c r="AE77"/>
      <c r="AF77"/>
      <c r="AG77"/>
      <c r="AH77"/>
      <c r="AI77"/>
      <c r="AJ77"/>
    </row>
    <row r="78" spans="2:36" s="812" customFormat="1" ht="21.75" customHeight="1">
      <c r="B78" s="1423"/>
      <c r="C78" s="567" t="s">
        <v>810</v>
      </c>
      <c r="D78" s="2199" t="s">
        <v>235</v>
      </c>
      <c r="E78" s="2196">
        <v>82120</v>
      </c>
      <c r="F78" s="2195"/>
      <c r="G78" s="2195"/>
      <c r="H78" s="2195"/>
      <c r="I78" s="2195"/>
      <c r="J78" s="274"/>
      <c r="K78" s="513"/>
      <c r="L78" s="513"/>
      <c r="M78" s="1677">
        <f t="shared" si="10"/>
        <v>0</v>
      </c>
      <c r="N78" s="1655"/>
      <c r="O78" s="2195"/>
      <c r="P78" s="2195"/>
      <c r="Q78" s="2195"/>
      <c r="R78" s="1564"/>
      <c r="S78" s="1692">
        <f t="shared" si="11"/>
        <v>0</v>
      </c>
      <c r="T78" s="1706">
        <f t="shared" si="3"/>
        <v>0</v>
      </c>
      <c r="U78"/>
      <c r="V78"/>
      <c r="W78"/>
      <c r="X78"/>
      <c r="Y78"/>
      <c r="Z78"/>
      <c r="AA78"/>
      <c r="AB78"/>
      <c r="AC78"/>
      <c r="AD78"/>
      <c r="AE78"/>
      <c r="AF78"/>
      <c r="AG78"/>
      <c r="AH78"/>
      <c r="AI78"/>
      <c r="AJ78"/>
    </row>
    <row r="79" spans="2:36" s="812" customFormat="1" ht="21.75" customHeight="1">
      <c r="B79" s="1423"/>
      <c r="C79" s="567" t="s">
        <v>811</v>
      </c>
      <c r="D79" s="2199" t="s">
        <v>235</v>
      </c>
      <c r="E79" s="2196">
        <v>82120</v>
      </c>
      <c r="F79" s="2195"/>
      <c r="G79" s="2195"/>
      <c r="H79" s="2195"/>
      <c r="I79" s="2195"/>
      <c r="J79" s="274"/>
      <c r="K79" s="513"/>
      <c r="L79" s="513"/>
      <c r="M79" s="1677">
        <f t="shared" si="10"/>
        <v>0</v>
      </c>
      <c r="N79" s="1655"/>
      <c r="O79" s="2195"/>
      <c r="P79" s="2195"/>
      <c r="Q79" s="2195"/>
      <c r="R79" s="1564"/>
      <c r="S79" s="1692">
        <f t="shared" si="11"/>
        <v>0</v>
      </c>
      <c r="T79" s="1706">
        <f t="shared" si="3"/>
        <v>0</v>
      </c>
      <c r="U79"/>
      <c r="V79"/>
      <c r="W79"/>
      <c r="X79"/>
      <c r="Y79"/>
      <c r="Z79"/>
      <c r="AA79"/>
      <c r="AB79"/>
      <c r="AC79"/>
      <c r="AD79"/>
      <c r="AE79"/>
      <c r="AF79"/>
      <c r="AG79"/>
      <c r="AH79"/>
      <c r="AI79"/>
      <c r="AJ79"/>
    </row>
    <row r="80" spans="2:36" s="812" customFormat="1" ht="21.75" customHeight="1">
      <c r="B80" s="1423"/>
      <c r="C80" s="567" t="s">
        <v>812</v>
      </c>
      <c r="D80" s="2199" t="s">
        <v>235</v>
      </c>
      <c r="E80" s="2196">
        <v>82120</v>
      </c>
      <c r="F80" s="2195"/>
      <c r="G80" s="2195"/>
      <c r="H80" s="2195"/>
      <c r="I80" s="2195"/>
      <c r="J80" s="274">
        <v>4120319.6159999999</v>
      </c>
      <c r="K80" s="513"/>
      <c r="L80" s="513"/>
      <c r="M80" s="1677">
        <f t="shared" si="10"/>
        <v>4120319.6159999999</v>
      </c>
      <c r="N80" s="1655"/>
      <c r="O80" s="2195"/>
      <c r="P80" s="2195"/>
      <c r="Q80" s="2195"/>
      <c r="R80" s="1564"/>
      <c r="S80" s="1692">
        <f t="shared" si="11"/>
        <v>0</v>
      </c>
      <c r="T80" s="1706">
        <f t="shared" si="3"/>
        <v>4120319.6159999999</v>
      </c>
      <c r="U80"/>
      <c r="V80"/>
      <c r="W80"/>
      <c r="X80"/>
      <c r="Y80"/>
      <c r="Z80"/>
      <c r="AA80"/>
      <c r="AB80"/>
      <c r="AC80"/>
      <c r="AD80"/>
      <c r="AE80"/>
      <c r="AF80"/>
      <c r="AG80"/>
      <c r="AH80"/>
      <c r="AI80"/>
      <c r="AJ80"/>
    </row>
    <row r="81" spans="1:36" s="812" customFormat="1" ht="21.75" customHeight="1">
      <c r="B81" s="1423"/>
      <c r="C81" s="567" t="s">
        <v>1413</v>
      </c>
      <c r="D81" s="2199" t="s">
        <v>787</v>
      </c>
      <c r="E81" s="2196" t="s">
        <v>835</v>
      </c>
      <c r="F81" s="2195"/>
      <c r="G81" s="2195"/>
      <c r="H81" s="2195"/>
      <c r="I81" s="2195"/>
      <c r="J81" s="274"/>
      <c r="K81" s="513">
        <v>2510000</v>
      </c>
      <c r="L81" s="513"/>
      <c r="M81" s="1677">
        <f t="shared" si="10"/>
        <v>2510000</v>
      </c>
      <c r="N81" s="1655"/>
      <c r="O81" s="2195"/>
      <c r="P81" s="2195"/>
      <c r="Q81" s="2195"/>
      <c r="R81" s="2184"/>
      <c r="S81" s="1692"/>
      <c r="T81" s="1706">
        <f t="shared" si="3"/>
        <v>2510000</v>
      </c>
      <c r="U81"/>
      <c r="V81"/>
      <c r="W81"/>
      <c r="X81"/>
      <c r="Y81"/>
      <c r="Z81"/>
      <c r="AA81"/>
      <c r="AB81"/>
      <c r="AC81"/>
      <c r="AD81"/>
      <c r="AE81"/>
      <c r="AF81"/>
      <c r="AG81"/>
      <c r="AH81"/>
      <c r="AI81"/>
      <c r="AJ81"/>
    </row>
    <row r="82" spans="1:36" s="812" customFormat="1" ht="21.75" customHeight="1">
      <c r="B82" s="1423"/>
      <c r="C82" s="567" t="s">
        <v>813</v>
      </c>
      <c r="D82" s="568" t="s">
        <v>235</v>
      </c>
      <c r="E82" s="27">
        <v>82120</v>
      </c>
      <c r="F82" s="811"/>
      <c r="G82" s="811"/>
      <c r="H82" s="811"/>
      <c r="I82" s="811"/>
      <c r="J82" s="274"/>
      <c r="K82" s="513"/>
      <c r="L82" s="513"/>
      <c r="M82" s="1677">
        <f t="shared" si="10"/>
        <v>0</v>
      </c>
      <c r="N82" s="1655"/>
      <c r="O82" s="1564"/>
      <c r="P82" s="1564"/>
      <c r="Q82" s="1564"/>
      <c r="R82" s="1564"/>
      <c r="S82" s="1692">
        <f t="shared" si="11"/>
        <v>0</v>
      </c>
      <c r="T82" s="1706">
        <f t="shared" si="3"/>
        <v>0</v>
      </c>
      <c r="U82"/>
      <c r="V82"/>
      <c r="W82"/>
      <c r="X82"/>
      <c r="Y82"/>
      <c r="Z82"/>
      <c r="AA82"/>
      <c r="AB82"/>
      <c r="AC82"/>
      <c r="AD82"/>
      <c r="AE82"/>
      <c r="AF82"/>
      <c r="AG82"/>
      <c r="AH82"/>
      <c r="AI82"/>
      <c r="AJ82"/>
    </row>
    <row r="83" spans="1:36" s="812" customFormat="1" ht="31.5" customHeight="1">
      <c r="B83" s="1423"/>
      <c r="C83" s="567" t="s">
        <v>814</v>
      </c>
      <c r="D83" s="568" t="s">
        <v>235</v>
      </c>
      <c r="E83" s="27">
        <v>82120</v>
      </c>
      <c r="F83" s="811"/>
      <c r="G83" s="811"/>
      <c r="H83" s="811"/>
      <c r="I83" s="811"/>
      <c r="J83" s="274"/>
      <c r="K83" s="513"/>
      <c r="L83" s="513"/>
      <c r="M83" s="1677">
        <f t="shared" si="10"/>
        <v>0</v>
      </c>
      <c r="N83" s="1655"/>
      <c r="O83" s="1564"/>
      <c r="P83" s="1564"/>
      <c r="Q83" s="1564"/>
      <c r="R83" s="1564"/>
      <c r="S83" s="1692">
        <f t="shared" si="11"/>
        <v>0</v>
      </c>
      <c r="T83" s="1706">
        <f t="shared" si="3"/>
        <v>0</v>
      </c>
      <c r="U83"/>
      <c r="V83"/>
      <c r="W83"/>
      <c r="X83"/>
      <c r="Y83"/>
      <c r="Z83"/>
      <c r="AA83"/>
      <c r="AB83"/>
      <c r="AC83"/>
      <c r="AD83"/>
      <c r="AE83"/>
      <c r="AF83"/>
      <c r="AG83"/>
      <c r="AH83"/>
      <c r="AI83"/>
      <c r="AJ83"/>
    </row>
    <row r="84" spans="1:36" s="812" customFormat="1" ht="31.5" customHeight="1">
      <c r="B84" s="1423"/>
      <c r="C84" s="567" t="s">
        <v>815</v>
      </c>
      <c r="D84" s="568" t="s">
        <v>235</v>
      </c>
      <c r="E84" s="27">
        <v>82120</v>
      </c>
      <c r="F84" s="811"/>
      <c r="G84" s="811">
        <v>4</v>
      </c>
      <c r="H84" s="811"/>
      <c r="I84" s="811"/>
      <c r="J84" s="274">
        <v>30923200.3003968</v>
      </c>
      <c r="K84" s="513"/>
      <c r="L84" s="513"/>
      <c r="M84" s="1677">
        <f t="shared" si="10"/>
        <v>30923200.3003968</v>
      </c>
      <c r="N84" s="1655"/>
      <c r="O84" s="1564"/>
      <c r="P84" s="1564"/>
      <c r="Q84" s="1564"/>
      <c r="R84" s="1564"/>
      <c r="S84" s="1692">
        <f t="shared" si="11"/>
        <v>0</v>
      </c>
      <c r="T84" s="1706">
        <f t="shared" si="3"/>
        <v>30923200.3003968</v>
      </c>
      <c r="U84"/>
      <c r="V84"/>
      <c r="W84"/>
      <c r="X84"/>
      <c r="Y84"/>
      <c r="Z84"/>
      <c r="AA84"/>
      <c r="AB84"/>
      <c r="AC84"/>
      <c r="AD84"/>
      <c r="AE84"/>
      <c r="AF84"/>
      <c r="AG84"/>
      <c r="AH84"/>
      <c r="AI84"/>
      <c r="AJ84"/>
    </row>
    <row r="85" spans="1:36" s="812" customFormat="1" ht="31.5" customHeight="1">
      <c r="B85" s="1423"/>
      <c r="C85" s="567" t="s">
        <v>816</v>
      </c>
      <c r="D85" s="568" t="s">
        <v>235</v>
      </c>
      <c r="E85" s="27">
        <v>82120</v>
      </c>
      <c r="F85" s="811"/>
      <c r="G85" s="811"/>
      <c r="H85" s="811"/>
      <c r="I85" s="811"/>
      <c r="J85" s="274"/>
      <c r="K85" s="513"/>
      <c r="L85" s="513"/>
      <c r="M85" s="1677">
        <f t="shared" si="10"/>
        <v>0</v>
      </c>
      <c r="N85" s="1655"/>
      <c r="O85" s="1564"/>
      <c r="P85" s="1564"/>
      <c r="Q85" s="1564"/>
      <c r="R85" s="1564"/>
      <c r="S85" s="1692">
        <f t="shared" si="11"/>
        <v>0</v>
      </c>
      <c r="T85" s="1706">
        <f t="shared" si="3"/>
        <v>0</v>
      </c>
      <c r="U85"/>
      <c r="V85"/>
      <c r="W85"/>
      <c r="X85"/>
      <c r="Y85"/>
      <c r="Z85"/>
      <c r="AA85"/>
      <c r="AB85"/>
      <c r="AC85"/>
      <c r="AD85"/>
      <c r="AE85"/>
      <c r="AF85"/>
      <c r="AG85"/>
      <c r="AH85"/>
      <c r="AI85"/>
      <c r="AJ85"/>
    </row>
    <row r="86" spans="1:36" s="812" customFormat="1" ht="52.5" customHeight="1">
      <c r="B86" s="1423"/>
      <c r="C86" s="567" t="s">
        <v>817</v>
      </c>
      <c r="D86" s="568" t="s">
        <v>235</v>
      </c>
      <c r="E86" s="27" t="s">
        <v>776</v>
      </c>
      <c r="F86" s="811"/>
      <c r="G86" s="811"/>
      <c r="H86" s="811"/>
      <c r="I86" s="811"/>
      <c r="J86" s="274"/>
      <c r="K86" s="513"/>
      <c r="L86" s="513"/>
      <c r="M86" s="1677">
        <f t="shared" si="10"/>
        <v>0</v>
      </c>
      <c r="N86" s="1655"/>
      <c r="O86" s="1564"/>
      <c r="P86" s="1564"/>
      <c r="Q86" s="1564"/>
      <c r="R86" s="1564"/>
      <c r="S86" s="1692">
        <f t="shared" si="11"/>
        <v>0</v>
      </c>
      <c r="T86" s="1706">
        <f t="shared" si="3"/>
        <v>0</v>
      </c>
      <c r="U86"/>
      <c r="V86"/>
      <c r="W86"/>
      <c r="X86"/>
      <c r="Y86"/>
      <c r="Z86"/>
      <c r="AA86"/>
      <c r="AB86"/>
      <c r="AC86"/>
    </row>
    <row r="87" spans="1:36" s="812" customFormat="1" ht="31.5" customHeight="1">
      <c r="B87" s="1423"/>
      <c r="C87" s="567" t="s">
        <v>818</v>
      </c>
      <c r="D87" s="568" t="s">
        <v>235</v>
      </c>
      <c r="E87" s="27" t="s">
        <v>776</v>
      </c>
      <c r="F87" s="811"/>
      <c r="G87" s="811"/>
      <c r="H87" s="811"/>
      <c r="I87" s="811"/>
      <c r="J87" s="274"/>
      <c r="K87" s="513"/>
      <c r="L87" s="513"/>
      <c r="M87" s="1677">
        <f t="shared" si="10"/>
        <v>0</v>
      </c>
      <c r="N87" s="1655"/>
      <c r="O87" s="1564"/>
      <c r="P87" s="1564"/>
      <c r="Q87" s="1564"/>
      <c r="R87" s="1564"/>
      <c r="S87" s="1692">
        <f t="shared" si="11"/>
        <v>0</v>
      </c>
      <c r="T87" s="1706">
        <f t="shared" ref="T87:T158" si="18">+S87+M87</f>
        <v>0</v>
      </c>
      <c r="U87"/>
      <c r="V87"/>
      <c r="W87"/>
      <c r="X87"/>
      <c r="Y87"/>
      <c r="Z87"/>
      <c r="AA87"/>
      <c r="AB87"/>
      <c r="AC87"/>
    </row>
    <row r="88" spans="1:36" s="812" customFormat="1" ht="31.5" customHeight="1">
      <c r="B88" s="1423"/>
      <c r="C88" s="567" t="s">
        <v>819</v>
      </c>
      <c r="D88" s="2245" t="s">
        <v>235</v>
      </c>
      <c r="E88" s="27" t="s">
        <v>776</v>
      </c>
      <c r="F88" s="811"/>
      <c r="G88" s="811"/>
      <c r="H88" s="811"/>
      <c r="I88" s="811"/>
      <c r="J88" s="274"/>
      <c r="K88" s="513"/>
      <c r="L88" s="513"/>
      <c r="M88" s="1677">
        <f t="shared" si="10"/>
        <v>0</v>
      </c>
      <c r="N88" s="1655"/>
      <c r="O88" s="1564"/>
      <c r="P88" s="1564"/>
      <c r="Q88" s="1564"/>
      <c r="R88" s="1564"/>
      <c r="S88" s="1692">
        <f t="shared" si="11"/>
        <v>0</v>
      </c>
      <c r="T88" s="1706">
        <f t="shared" si="18"/>
        <v>0</v>
      </c>
      <c r="U88"/>
      <c r="V88"/>
      <c r="W88"/>
      <c r="X88"/>
      <c r="Y88"/>
      <c r="Z88"/>
      <c r="AA88"/>
      <c r="AB88"/>
      <c r="AC88"/>
    </row>
    <row r="89" spans="1:36" s="812" customFormat="1" ht="21.75" customHeight="1" thickBot="1">
      <c r="B89" s="1423"/>
      <c r="C89" s="2685" t="s">
        <v>1441</v>
      </c>
      <c r="D89" s="2245"/>
      <c r="E89" s="27"/>
      <c r="F89" s="811"/>
      <c r="G89" s="811"/>
      <c r="H89" s="811"/>
      <c r="I89" s="811"/>
      <c r="J89" s="811"/>
      <c r="K89" s="811">
        <v>1200000</v>
      </c>
      <c r="L89" s="811"/>
      <c r="M89" s="1677">
        <f t="shared" si="10"/>
        <v>1200000</v>
      </c>
      <c r="N89" s="1655"/>
      <c r="O89" s="1564"/>
      <c r="P89" s="1564"/>
      <c r="Q89" s="1564"/>
      <c r="R89" s="1564"/>
      <c r="S89" s="1692">
        <f t="shared" si="11"/>
        <v>0</v>
      </c>
      <c r="T89" s="1706">
        <f t="shared" si="18"/>
        <v>1200000</v>
      </c>
      <c r="U89"/>
      <c r="V89"/>
      <c r="W89"/>
      <c r="X89"/>
      <c r="Y89"/>
      <c r="Z89"/>
      <c r="AA89"/>
      <c r="AB89"/>
      <c r="AC89"/>
    </row>
    <row r="90" spans="1:36" s="345" customFormat="1" ht="60.75" customHeight="1" thickBot="1">
      <c r="A90" s="1053">
        <v>108</v>
      </c>
      <c r="B90" s="1419"/>
      <c r="C90" s="789" t="s">
        <v>50</v>
      </c>
      <c r="D90" s="650"/>
      <c r="E90" s="650"/>
      <c r="F90" s="651" t="s">
        <v>255</v>
      </c>
      <c r="G90" s="651">
        <v>60</v>
      </c>
      <c r="H90" s="651"/>
      <c r="I90" s="651">
        <f t="shared" ref="I90:S90" si="19">+I91</f>
        <v>0</v>
      </c>
      <c r="J90" s="651">
        <f t="shared" si="19"/>
        <v>0</v>
      </c>
      <c r="K90" s="651">
        <f t="shared" si="19"/>
        <v>0</v>
      </c>
      <c r="L90" s="651">
        <f t="shared" si="19"/>
        <v>0</v>
      </c>
      <c r="M90" s="1681">
        <f t="shared" si="19"/>
        <v>0</v>
      </c>
      <c r="N90" s="1663">
        <f t="shared" si="19"/>
        <v>0</v>
      </c>
      <c r="O90" s="651">
        <f t="shared" si="19"/>
        <v>0</v>
      </c>
      <c r="P90" s="651">
        <f t="shared" si="19"/>
        <v>0</v>
      </c>
      <c r="Q90" s="651">
        <f t="shared" si="19"/>
        <v>0</v>
      </c>
      <c r="R90" s="651">
        <f t="shared" si="19"/>
        <v>0</v>
      </c>
      <c r="S90" s="1696">
        <f t="shared" si="19"/>
        <v>0</v>
      </c>
      <c r="T90" s="1710">
        <f t="shared" si="18"/>
        <v>0</v>
      </c>
      <c r="U90"/>
      <c r="V90"/>
      <c r="W90"/>
      <c r="X90"/>
      <c r="Y90"/>
      <c r="Z90"/>
      <c r="AA90"/>
      <c r="AB90"/>
      <c r="AC90"/>
      <c r="AD90" s="812"/>
      <c r="AE90" s="812"/>
      <c r="AF90" s="812"/>
    </row>
    <row r="91" spans="1:36" ht="32.25" customHeight="1">
      <c r="A91" s="1053"/>
      <c r="B91" s="1419" t="s">
        <v>1031</v>
      </c>
      <c r="C91" s="790" t="s">
        <v>256</v>
      </c>
      <c r="D91" s="623"/>
      <c r="E91" s="623"/>
      <c r="F91" s="629" t="s">
        <v>255</v>
      </c>
      <c r="G91" s="629">
        <f>+G90</f>
        <v>60</v>
      </c>
      <c r="H91" s="629"/>
      <c r="I91" s="629">
        <f t="shared" ref="I91:S91" si="20">SUM(I92:I94)</f>
        <v>0</v>
      </c>
      <c r="J91" s="629">
        <f t="shared" si="20"/>
        <v>0</v>
      </c>
      <c r="K91" s="629">
        <f t="shared" si="20"/>
        <v>0</v>
      </c>
      <c r="L91" s="629">
        <f t="shared" si="20"/>
        <v>0</v>
      </c>
      <c r="M91" s="701">
        <f t="shared" si="20"/>
        <v>0</v>
      </c>
      <c r="N91" s="1664">
        <f t="shared" si="20"/>
        <v>0</v>
      </c>
      <c r="O91" s="629">
        <f t="shared" si="20"/>
        <v>0</v>
      </c>
      <c r="P91" s="629">
        <f t="shared" si="20"/>
        <v>0</v>
      </c>
      <c r="Q91" s="629">
        <f t="shared" si="20"/>
        <v>0</v>
      </c>
      <c r="R91" s="629">
        <f t="shared" si="20"/>
        <v>0</v>
      </c>
      <c r="S91" s="1697">
        <f t="shared" si="20"/>
        <v>0</v>
      </c>
      <c r="T91" s="1711">
        <f t="shared" si="18"/>
        <v>0</v>
      </c>
      <c r="U91"/>
      <c r="V91"/>
      <c r="W91"/>
      <c r="X91"/>
      <c r="Y91"/>
      <c r="Z91"/>
      <c r="AA91"/>
      <c r="AB91"/>
      <c r="AC91"/>
      <c r="AD91" s="812"/>
      <c r="AE91" s="812"/>
      <c r="AF91" s="812"/>
    </row>
    <row r="92" spans="1:36" ht="21.75" customHeight="1">
      <c r="B92" s="1420"/>
      <c r="C92" s="567"/>
      <c r="D92" s="175"/>
      <c r="E92" s="175"/>
      <c r="F92" s="811"/>
      <c r="G92" s="811"/>
      <c r="H92" s="811"/>
      <c r="I92" s="811"/>
      <c r="J92" s="811"/>
      <c r="K92" s="811"/>
      <c r="L92" s="811"/>
      <c r="M92" s="1677"/>
      <c r="N92" s="1655"/>
      <c r="O92" s="1564"/>
      <c r="P92" s="1564"/>
      <c r="Q92" s="1564"/>
      <c r="R92" s="1564"/>
      <c r="S92" s="1692">
        <f t="shared" ref="S92:S94" si="21">+SUM(N92:R92)</f>
        <v>0</v>
      </c>
      <c r="T92" s="1706">
        <f t="shared" si="18"/>
        <v>0</v>
      </c>
      <c r="U92"/>
      <c r="V92"/>
      <c r="W92"/>
      <c r="X92"/>
      <c r="Y92"/>
      <c r="Z92"/>
      <c r="AA92"/>
      <c r="AB92"/>
      <c r="AC92"/>
      <c r="AD92" s="812"/>
      <c r="AE92" s="812"/>
      <c r="AF92" s="812"/>
    </row>
    <row r="93" spans="1:36" ht="21.75" customHeight="1">
      <c r="B93" s="1420"/>
      <c r="C93" s="567"/>
      <c r="D93" s="175"/>
      <c r="E93" s="175"/>
      <c r="F93" s="811"/>
      <c r="G93" s="811"/>
      <c r="H93" s="811"/>
      <c r="I93" s="811"/>
      <c r="J93" s="811"/>
      <c r="K93" s="811"/>
      <c r="L93" s="811"/>
      <c r="M93" s="1677"/>
      <c r="N93" s="1655"/>
      <c r="O93" s="1564"/>
      <c r="P93" s="1564"/>
      <c r="Q93" s="1564"/>
      <c r="R93" s="1564"/>
      <c r="S93" s="1692">
        <f t="shared" si="21"/>
        <v>0</v>
      </c>
      <c r="T93" s="1706">
        <f t="shared" si="18"/>
        <v>0</v>
      </c>
      <c r="U93"/>
      <c r="V93"/>
      <c r="W93"/>
      <c r="X93"/>
      <c r="Y93"/>
      <c r="Z93"/>
      <c r="AA93"/>
      <c r="AB93"/>
      <c r="AC93"/>
      <c r="AD93" s="812"/>
      <c r="AE93" s="812"/>
      <c r="AF93" s="812"/>
    </row>
    <row r="94" spans="1:36" ht="21.75" customHeight="1" thickBot="1">
      <c r="B94" s="1420"/>
      <c r="C94" s="787"/>
      <c r="D94" s="603"/>
      <c r="E94" s="603"/>
      <c r="F94" s="18"/>
      <c r="G94" s="18"/>
      <c r="H94" s="18"/>
      <c r="I94" s="18"/>
      <c r="J94" s="18"/>
      <c r="K94" s="18"/>
      <c r="L94" s="18"/>
      <c r="M94" s="1682"/>
      <c r="N94" s="1665"/>
      <c r="O94" s="18"/>
      <c r="P94" s="18"/>
      <c r="Q94" s="18"/>
      <c r="R94" s="18"/>
      <c r="S94" s="1692">
        <f t="shared" si="21"/>
        <v>0</v>
      </c>
      <c r="T94" s="1706">
        <f t="shared" si="18"/>
        <v>0</v>
      </c>
      <c r="U94"/>
      <c r="V94"/>
      <c r="W94"/>
      <c r="X94"/>
      <c r="Y94"/>
      <c r="Z94"/>
      <c r="AA94"/>
      <c r="AB94"/>
      <c r="AC94"/>
      <c r="AD94" s="812"/>
      <c r="AE94" s="812"/>
      <c r="AF94" s="812"/>
    </row>
    <row r="95" spans="1:36" s="255" customFormat="1" ht="40.5" customHeight="1" thickBot="1">
      <c r="A95" s="1053">
        <v>109</v>
      </c>
      <c r="B95" s="1419"/>
      <c r="C95" s="791" t="s">
        <v>51</v>
      </c>
      <c r="D95" s="653"/>
      <c r="E95" s="653"/>
      <c r="F95" s="654" t="s">
        <v>214</v>
      </c>
      <c r="G95" s="654">
        <v>80</v>
      </c>
      <c r="H95" s="654"/>
      <c r="I95" s="652">
        <f t="shared" ref="I95:S95" si="22">+I96+I151</f>
        <v>100331185.5</v>
      </c>
      <c r="J95" s="652">
        <f t="shared" si="22"/>
        <v>147001518.97773996</v>
      </c>
      <c r="K95" s="652">
        <f t="shared" si="22"/>
        <v>54064639.420000002</v>
      </c>
      <c r="L95" s="652">
        <f t="shared" si="22"/>
        <v>35202991.188223995</v>
      </c>
      <c r="M95" s="1678">
        <f t="shared" si="22"/>
        <v>336600335.0859639</v>
      </c>
      <c r="N95" s="1656">
        <f t="shared" si="22"/>
        <v>0</v>
      </c>
      <c r="O95" s="652">
        <f t="shared" si="22"/>
        <v>82623776.995200008</v>
      </c>
      <c r="P95" s="652">
        <f t="shared" si="22"/>
        <v>0</v>
      </c>
      <c r="Q95" s="652">
        <f t="shared" si="22"/>
        <v>34352589.017999992</v>
      </c>
      <c r="R95" s="652">
        <f t="shared" si="22"/>
        <v>15765783</v>
      </c>
      <c r="S95" s="1693">
        <f t="shared" si="22"/>
        <v>132742149.0132</v>
      </c>
      <c r="T95" s="1707">
        <f t="shared" si="18"/>
        <v>469342484.09916389</v>
      </c>
      <c r="U95"/>
      <c r="V95" t="s">
        <v>1314</v>
      </c>
      <c r="W95"/>
      <c r="X95"/>
      <c r="Y95"/>
      <c r="Z95"/>
      <c r="AA95"/>
      <c r="AB95"/>
      <c r="AC95"/>
      <c r="AD95" s="812"/>
      <c r="AE95" s="812"/>
      <c r="AF95" s="812"/>
    </row>
    <row r="96" spans="1:36" s="255" customFormat="1" ht="21.75" customHeight="1">
      <c r="A96" s="1053"/>
      <c r="B96" s="1419" t="s">
        <v>1032</v>
      </c>
      <c r="C96" s="784" t="s">
        <v>257</v>
      </c>
      <c r="D96" s="641"/>
      <c r="E96" s="641"/>
      <c r="F96" s="642" t="s">
        <v>214</v>
      </c>
      <c r="G96" s="642">
        <f>+G95</f>
        <v>80</v>
      </c>
      <c r="H96" s="642"/>
      <c r="I96" s="643">
        <f t="shared" ref="I96:S96" si="23">SUM(I97:I150)</f>
        <v>100331185.5</v>
      </c>
      <c r="J96" s="643">
        <f t="shared" si="23"/>
        <v>147001518.97773996</v>
      </c>
      <c r="K96" s="643">
        <f t="shared" si="23"/>
        <v>32834200.5</v>
      </c>
      <c r="L96" s="643">
        <f t="shared" si="23"/>
        <v>35202991.188223995</v>
      </c>
      <c r="M96" s="1675">
        <f t="shared" si="23"/>
        <v>315369896.16596389</v>
      </c>
      <c r="N96" s="1659">
        <f t="shared" si="23"/>
        <v>0</v>
      </c>
      <c r="O96" s="1659">
        <f t="shared" si="23"/>
        <v>82623776.995200008</v>
      </c>
      <c r="P96" s="1659">
        <f t="shared" si="23"/>
        <v>0</v>
      </c>
      <c r="Q96" s="1659">
        <f t="shared" si="23"/>
        <v>34352589.017999992</v>
      </c>
      <c r="R96" s="1659">
        <f t="shared" si="23"/>
        <v>0</v>
      </c>
      <c r="S96" s="1659">
        <f t="shared" si="23"/>
        <v>116976366.0132</v>
      </c>
      <c r="T96" s="1705">
        <f t="shared" si="18"/>
        <v>432346262.17916387</v>
      </c>
      <c r="U96"/>
      <c r="V96"/>
      <c r="W96"/>
      <c r="X96"/>
      <c r="Y96"/>
      <c r="Z96"/>
      <c r="AA96"/>
      <c r="AB96"/>
      <c r="AC96"/>
      <c r="AD96" s="812"/>
      <c r="AE96" s="812"/>
      <c r="AF96" s="812"/>
    </row>
    <row r="97" spans="2:29" s="812" customFormat="1" ht="21.75" customHeight="1">
      <c r="B97" s="1423"/>
      <c r="C97" s="567" t="s">
        <v>820</v>
      </c>
      <c r="D97" s="568" t="s">
        <v>787</v>
      </c>
      <c r="E97" s="27" t="s">
        <v>776</v>
      </c>
      <c r="F97" s="811"/>
      <c r="G97" s="811"/>
      <c r="H97" s="811"/>
      <c r="I97" s="811"/>
      <c r="J97" s="355"/>
      <c r="K97" s="811"/>
      <c r="L97" s="355">
        <v>5000000</v>
      </c>
      <c r="M97" s="1677">
        <f t="shared" ref="M97:M150" si="24">+SUM(I97:L97)</f>
        <v>5000000</v>
      </c>
      <c r="N97" s="1655"/>
      <c r="O97" s="1564"/>
      <c r="P97" s="1564"/>
      <c r="Q97" s="1564"/>
      <c r="R97" s="1564"/>
      <c r="S97" s="1692">
        <f t="shared" ref="S97:S160" si="25">+SUM(N97:R97)</f>
        <v>0</v>
      </c>
      <c r="T97" s="1706">
        <f t="shared" si="18"/>
        <v>5000000</v>
      </c>
      <c r="U97"/>
      <c r="V97"/>
      <c r="W97"/>
      <c r="X97"/>
      <c r="Y97"/>
      <c r="Z97"/>
      <c r="AA97"/>
      <c r="AB97"/>
      <c r="AC97"/>
    </row>
    <row r="98" spans="2:29" s="812" customFormat="1" ht="21.75" customHeight="1">
      <c r="B98" s="1423"/>
      <c r="C98" s="567" t="s">
        <v>821</v>
      </c>
      <c r="D98" s="568" t="s">
        <v>787</v>
      </c>
      <c r="E98" s="27" t="s">
        <v>776</v>
      </c>
      <c r="F98" s="811"/>
      <c r="G98" s="811"/>
      <c r="H98" s="811"/>
      <c r="I98" s="811"/>
      <c r="J98" s="355"/>
      <c r="K98" s="811"/>
      <c r="L98" s="355">
        <v>6962041.826431999</v>
      </c>
      <c r="M98" s="1677">
        <f t="shared" si="24"/>
        <v>6962041.826431999</v>
      </c>
      <c r="N98" s="1655"/>
      <c r="O98" s="1564"/>
      <c r="P98" s="1564"/>
      <c r="Q98" s="1564"/>
      <c r="R98" s="1564"/>
      <c r="S98" s="1692">
        <f t="shared" si="25"/>
        <v>0</v>
      </c>
      <c r="T98" s="1706">
        <f t="shared" si="18"/>
        <v>6962041.826431999</v>
      </c>
      <c r="U98"/>
      <c r="V98"/>
      <c r="W98"/>
      <c r="X98"/>
      <c r="Y98"/>
      <c r="Z98"/>
      <c r="AA98"/>
      <c r="AB98"/>
      <c r="AC98"/>
    </row>
    <row r="99" spans="2:29" s="812" customFormat="1" ht="21.75" customHeight="1">
      <c r="B99" s="1423"/>
      <c r="C99" s="567" t="s">
        <v>821</v>
      </c>
      <c r="D99" s="568" t="s">
        <v>787</v>
      </c>
      <c r="E99" s="27" t="s">
        <v>776</v>
      </c>
      <c r="F99" s="811"/>
      <c r="G99" s="811"/>
      <c r="H99" s="811"/>
      <c r="I99" s="811"/>
      <c r="J99" s="355"/>
      <c r="K99" s="811"/>
      <c r="L99" s="355">
        <v>6962041.826431999</v>
      </c>
      <c r="M99" s="1677">
        <f t="shared" si="24"/>
        <v>6962041.826431999</v>
      </c>
      <c r="N99" s="1655"/>
      <c r="O99" s="2017"/>
      <c r="P99" s="2017"/>
      <c r="Q99" s="2017"/>
      <c r="R99" s="1564"/>
      <c r="S99" s="1692">
        <f t="shared" si="25"/>
        <v>0</v>
      </c>
      <c r="T99" s="1706">
        <f t="shared" si="18"/>
        <v>6962041.826431999</v>
      </c>
      <c r="U99"/>
      <c r="V99"/>
      <c r="W99"/>
      <c r="X99"/>
      <c r="Y99"/>
      <c r="Z99"/>
      <c r="AA99"/>
      <c r="AB99"/>
      <c r="AC99"/>
    </row>
    <row r="100" spans="2:29" s="812" customFormat="1" ht="21.75" customHeight="1">
      <c r="B100" s="1423"/>
      <c r="C100" s="567" t="s">
        <v>822</v>
      </c>
      <c r="D100" s="568" t="s">
        <v>787</v>
      </c>
      <c r="E100" s="27" t="s">
        <v>776</v>
      </c>
      <c r="F100" s="811"/>
      <c r="G100" s="811"/>
      <c r="H100" s="811"/>
      <c r="I100" s="811"/>
      <c r="J100" s="355"/>
      <c r="K100" s="811"/>
      <c r="L100" s="355">
        <v>4000000</v>
      </c>
      <c r="M100" s="1677">
        <f t="shared" si="24"/>
        <v>4000000</v>
      </c>
      <c r="N100" s="1655"/>
      <c r="O100" s="2017"/>
      <c r="P100" s="2017"/>
      <c r="Q100" s="2107"/>
      <c r="R100" s="1564"/>
      <c r="S100" s="1692">
        <f t="shared" si="25"/>
        <v>0</v>
      </c>
      <c r="T100" s="1706">
        <f t="shared" si="18"/>
        <v>4000000</v>
      </c>
      <c r="U100"/>
      <c r="V100" s="2014">
        <v>0.66666666666666663</v>
      </c>
      <c r="W100"/>
      <c r="X100"/>
      <c r="Y100"/>
      <c r="Z100"/>
      <c r="AA100"/>
      <c r="AB100"/>
      <c r="AC100"/>
    </row>
    <row r="101" spans="2:29" s="812" customFormat="1" ht="21.75" customHeight="1">
      <c r="B101" s="1423"/>
      <c r="C101" s="567" t="s">
        <v>786</v>
      </c>
      <c r="D101" s="568" t="s">
        <v>787</v>
      </c>
      <c r="E101" s="27" t="s">
        <v>776</v>
      </c>
      <c r="F101" s="811"/>
      <c r="G101" s="811"/>
      <c r="H101" s="811"/>
      <c r="I101" s="811"/>
      <c r="J101" s="355"/>
      <c r="K101" s="811"/>
      <c r="L101" s="355"/>
      <c r="M101" s="1677">
        <f t="shared" si="24"/>
        <v>0</v>
      </c>
      <c r="N101" s="1655"/>
      <c r="O101" s="1463">
        <v>4939126.5952000022</v>
      </c>
      <c r="P101" s="1463"/>
      <c r="Q101" s="1463">
        <f>15522948.416-13704161.73</f>
        <v>1818786.6859999988</v>
      </c>
      <c r="R101" s="1564"/>
      <c r="S101" s="1692">
        <f t="shared" si="25"/>
        <v>6757913.281200001</v>
      </c>
      <c r="T101" s="1706">
        <f t="shared" si="18"/>
        <v>6757913.281200001</v>
      </c>
      <c r="U101"/>
      <c r="V101"/>
      <c r="W101"/>
      <c r="X101"/>
      <c r="Y101"/>
      <c r="Z101"/>
      <c r="AA101"/>
      <c r="AB101"/>
      <c r="AC101"/>
    </row>
    <row r="102" spans="2:29" s="812" customFormat="1" ht="21.75" customHeight="1">
      <c r="B102" s="1423"/>
      <c r="C102" s="567"/>
      <c r="D102" s="568"/>
      <c r="E102" s="27"/>
      <c r="F102" s="811"/>
      <c r="G102" s="811"/>
      <c r="H102" s="811"/>
      <c r="I102" s="811"/>
      <c r="J102" s="355"/>
      <c r="K102" s="811"/>
      <c r="L102" s="355"/>
      <c r="M102" s="1677">
        <f t="shared" si="24"/>
        <v>0</v>
      </c>
      <c r="N102" s="1655"/>
      <c r="O102" s="2017"/>
      <c r="P102" s="2017"/>
      <c r="Q102" s="2107"/>
      <c r="R102" s="1564"/>
      <c r="S102" s="1692">
        <f t="shared" si="25"/>
        <v>0</v>
      </c>
      <c r="T102" s="1706">
        <f t="shared" si="18"/>
        <v>0</v>
      </c>
      <c r="U102"/>
      <c r="V102"/>
      <c r="W102"/>
      <c r="X102"/>
      <c r="Y102"/>
      <c r="Z102"/>
      <c r="AA102"/>
      <c r="AB102"/>
      <c r="AC102"/>
    </row>
    <row r="103" spans="2:29" s="812" customFormat="1" ht="21.75" customHeight="1">
      <c r="B103" s="1423"/>
      <c r="C103" s="567" t="s">
        <v>789</v>
      </c>
      <c r="D103" s="568" t="s">
        <v>787</v>
      </c>
      <c r="E103" s="27" t="s">
        <v>776</v>
      </c>
      <c r="F103" s="811"/>
      <c r="G103" s="811"/>
      <c r="H103" s="811"/>
      <c r="I103" s="811"/>
      <c r="J103" s="355"/>
      <c r="K103" s="811"/>
      <c r="L103" s="355">
        <v>4000000</v>
      </c>
      <c r="M103" s="1677">
        <f t="shared" si="24"/>
        <v>4000000</v>
      </c>
      <c r="N103" s="1655"/>
      <c r="O103" s="2017"/>
      <c r="P103" s="2017"/>
      <c r="Q103" s="2107"/>
      <c r="R103" s="1564"/>
      <c r="S103" s="1692">
        <f t="shared" si="25"/>
        <v>0</v>
      </c>
      <c r="T103" s="1706">
        <f t="shared" si="18"/>
        <v>4000000</v>
      </c>
      <c r="U103"/>
      <c r="V103"/>
      <c r="W103"/>
      <c r="X103"/>
      <c r="Y103"/>
      <c r="Z103"/>
      <c r="AA103"/>
      <c r="AB103"/>
      <c r="AC103"/>
    </row>
    <row r="104" spans="2:29" s="812" customFormat="1" ht="21.75" customHeight="1">
      <c r="B104" s="1423"/>
      <c r="C104" s="567" t="s">
        <v>790</v>
      </c>
      <c r="D104" s="2245" t="s">
        <v>787</v>
      </c>
      <c r="E104" s="2244" t="s">
        <v>776</v>
      </c>
      <c r="F104" s="2243"/>
      <c r="G104" s="2243"/>
      <c r="H104" s="2243"/>
      <c r="I104" s="2243"/>
      <c r="J104" s="355"/>
      <c r="K104" s="1462">
        <f>2530080-2530080</f>
        <v>0</v>
      </c>
      <c r="L104" s="355"/>
      <c r="M104" s="1677">
        <f t="shared" si="24"/>
        <v>0</v>
      </c>
      <c r="N104" s="1655"/>
      <c r="O104" s="2243"/>
      <c r="P104" s="2243"/>
      <c r="Q104" s="1463">
        <f>12418358.7328-411642.732799999</f>
        <v>12006716</v>
      </c>
      <c r="R104" s="1987"/>
      <c r="S104" s="1692">
        <f t="shared" si="25"/>
        <v>12006716</v>
      </c>
      <c r="T104" s="1706">
        <f t="shared" si="18"/>
        <v>12006716</v>
      </c>
      <c r="U104"/>
      <c r="V104"/>
      <c r="W104"/>
      <c r="X104"/>
      <c r="Y104"/>
      <c r="Z104"/>
      <c r="AA104"/>
      <c r="AB104"/>
      <c r="AC104"/>
    </row>
    <row r="105" spans="2:29" s="812" customFormat="1" ht="21.75" customHeight="1">
      <c r="B105" s="1423"/>
      <c r="C105" s="567" t="s">
        <v>792</v>
      </c>
      <c r="D105" s="2245" t="s">
        <v>787</v>
      </c>
      <c r="E105" s="2244" t="s">
        <v>776</v>
      </c>
      <c r="F105" s="2243"/>
      <c r="G105" s="2243"/>
      <c r="H105" s="2243"/>
      <c r="I105" s="2243"/>
      <c r="J105" s="355">
        <v>4016000</v>
      </c>
      <c r="K105" s="2243"/>
      <c r="L105" s="355"/>
      <c r="M105" s="1677">
        <f t="shared" si="24"/>
        <v>4016000</v>
      </c>
      <c r="N105" s="1655"/>
      <c r="O105" s="2243"/>
      <c r="P105" s="2243"/>
      <c r="Q105" s="2243"/>
      <c r="R105" s="2243"/>
      <c r="S105" s="1692">
        <f t="shared" si="25"/>
        <v>0</v>
      </c>
      <c r="T105" s="1706">
        <f t="shared" si="18"/>
        <v>4016000</v>
      </c>
      <c r="U105"/>
      <c r="V105"/>
      <c r="W105"/>
      <c r="X105"/>
      <c r="Y105"/>
      <c r="Z105"/>
      <c r="AA105"/>
      <c r="AB105"/>
      <c r="AC105"/>
    </row>
    <row r="106" spans="2:29" s="812" customFormat="1" ht="21.75" customHeight="1">
      <c r="B106" s="1423"/>
      <c r="C106" s="567" t="s">
        <v>793</v>
      </c>
      <c r="D106" s="2245" t="s">
        <v>787</v>
      </c>
      <c r="E106" s="2244" t="s">
        <v>776</v>
      </c>
      <c r="F106" s="2243"/>
      <c r="G106" s="2243"/>
      <c r="H106" s="2243"/>
      <c r="I106" s="2243"/>
      <c r="J106" s="355">
        <v>4016000</v>
      </c>
      <c r="K106" s="2243"/>
      <c r="L106" s="355"/>
      <c r="M106" s="1677">
        <f t="shared" si="24"/>
        <v>4016000</v>
      </c>
      <c r="N106" s="1655"/>
      <c r="O106" s="2243"/>
      <c r="P106" s="2243"/>
      <c r="Q106" s="2243"/>
      <c r="R106" s="2243"/>
      <c r="S106" s="1692">
        <f t="shared" si="25"/>
        <v>0</v>
      </c>
      <c r="T106" s="1706">
        <f t="shared" si="18"/>
        <v>4016000</v>
      </c>
      <c r="U106"/>
      <c r="V106"/>
      <c r="W106"/>
      <c r="X106"/>
      <c r="Y106"/>
      <c r="Z106"/>
      <c r="AA106"/>
      <c r="AB106"/>
      <c r="AC106"/>
    </row>
    <row r="107" spans="2:29" s="812" customFormat="1" ht="21.75" customHeight="1">
      <c r="B107" s="1423"/>
      <c r="C107" s="567" t="s">
        <v>794</v>
      </c>
      <c r="D107" s="2245" t="s">
        <v>787</v>
      </c>
      <c r="E107" s="2244" t="s">
        <v>776</v>
      </c>
      <c r="F107" s="2243"/>
      <c r="G107" s="2243"/>
      <c r="H107" s="2243"/>
      <c r="I107" s="2243"/>
      <c r="J107" s="355"/>
      <c r="K107" s="2243"/>
      <c r="L107" s="355"/>
      <c r="M107" s="1677">
        <f t="shared" si="24"/>
        <v>0</v>
      </c>
      <c r="N107" s="1655"/>
      <c r="O107" s="2243"/>
      <c r="P107" s="2243"/>
      <c r="Q107" s="1567">
        <f>12607200-2905357.24</f>
        <v>9701842.7599999998</v>
      </c>
      <c r="R107" s="2243"/>
      <c r="S107" s="1692">
        <f t="shared" si="25"/>
        <v>9701842.7599999998</v>
      </c>
      <c r="T107" s="1706">
        <f t="shared" si="18"/>
        <v>9701842.7599999998</v>
      </c>
      <c r="U107"/>
      <c r="V107"/>
      <c r="W107"/>
      <c r="X107"/>
      <c r="Y107"/>
      <c r="Z107"/>
      <c r="AA107"/>
      <c r="AB107"/>
      <c r="AC107"/>
    </row>
    <row r="108" spans="2:29" ht="21.75" customHeight="1">
      <c r="B108" s="1420"/>
      <c r="C108" s="567" t="s">
        <v>1440</v>
      </c>
      <c r="D108" s="2245"/>
      <c r="E108" s="2244"/>
      <c r="F108" s="2243"/>
      <c r="G108" s="2243"/>
      <c r="H108" s="2243"/>
      <c r="I108" s="357"/>
      <c r="J108" s="2204"/>
      <c r="K108" s="2204"/>
      <c r="L108" s="2204"/>
      <c r="M108" s="2187"/>
      <c r="N108" s="2205"/>
      <c r="O108" s="2204"/>
      <c r="P108" s="2204"/>
      <c r="Q108" s="274">
        <v>2905357.24</v>
      </c>
      <c r="R108" s="2204"/>
      <c r="S108" s="2188">
        <f t="shared" ref="S108" si="26">+SUM(N108:R108)</f>
        <v>2905357.24</v>
      </c>
      <c r="T108" s="2189">
        <f t="shared" si="18"/>
        <v>2905357.24</v>
      </c>
      <c r="U108"/>
      <c r="V108"/>
      <c r="W108"/>
      <c r="X108"/>
      <c r="Y108"/>
      <c r="Z108"/>
      <c r="AA108"/>
      <c r="AB108"/>
      <c r="AC108"/>
    </row>
    <row r="109" spans="2:29" s="812" customFormat="1" ht="21.75" customHeight="1">
      <c r="B109" s="1423"/>
      <c r="C109" s="567" t="s">
        <v>823</v>
      </c>
      <c r="D109" s="2245" t="s">
        <v>787</v>
      </c>
      <c r="E109" s="2244" t="s">
        <v>776</v>
      </c>
      <c r="F109" s="2243"/>
      <c r="G109" s="2243"/>
      <c r="H109" s="2243"/>
      <c r="I109" s="2243"/>
      <c r="J109" s="355"/>
      <c r="K109" s="2243"/>
      <c r="L109" s="355">
        <v>8278907.5353600001</v>
      </c>
      <c r="M109" s="1677">
        <f t="shared" si="24"/>
        <v>8278907.5353600001</v>
      </c>
      <c r="N109" s="1655"/>
      <c r="O109" s="2243"/>
      <c r="P109" s="2243"/>
      <c r="Q109" s="2243"/>
      <c r="R109" s="2243"/>
      <c r="S109" s="1692">
        <f t="shared" si="25"/>
        <v>0</v>
      </c>
      <c r="T109" s="1706">
        <f t="shared" si="18"/>
        <v>8278907.5353600001</v>
      </c>
      <c r="U109"/>
      <c r="V109"/>
      <c r="W109"/>
      <c r="X109"/>
      <c r="Y109"/>
      <c r="Z109"/>
      <c r="AA109"/>
      <c r="AB109"/>
      <c r="AC109"/>
    </row>
    <row r="110" spans="2:29" s="812" customFormat="1" ht="40.5" customHeight="1">
      <c r="B110" s="1423"/>
      <c r="C110" s="567" t="s">
        <v>1222</v>
      </c>
      <c r="D110" s="2245" t="s">
        <v>787</v>
      </c>
      <c r="E110" s="2244" t="s">
        <v>776</v>
      </c>
      <c r="F110" s="2243"/>
      <c r="G110" s="2243"/>
      <c r="H110" s="2243"/>
      <c r="I110" s="2243"/>
      <c r="J110" s="355"/>
      <c r="K110" s="2243"/>
      <c r="L110" s="355"/>
      <c r="M110" s="1677">
        <f t="shared" si="24"/>
        <v>0</v>
      </c>
      <c r="N110" s="1655"/>
      <c r="O110" s="2243">
        <f>12684134.4-5285056</f>
        <v>7399078.4000000004</v>
      </c>
      <c r="P110" s="2243"/>
      <c r="Q110" s="2243"/>
      <c r="R110" s="2243"/>
      <c r="S110" s="1692">
        <f t="shared" si="25"/>
        <v>7399078.4000000004</v>
      </c>
      <c r="T110" s="1706">
        <f t="shared" si="18"/>
        <v>7399078.4000000004</v>
      </c>
      <c r="U110"/>
      <c r="V110"/>
      <c r="W110"/>
      <c r="X110"/>
      <c r="Y110"/>
      <c r="Z110"/>
      <c r="AA110"/>
      <c r="AB110"/>
      <c r="AC110"/>
    </row>
    <row r="111" spans="2:29" s="812" customFormat="1" ht="34.5" customHeight="1">
      <c r="B111" s="1423"/>
      <c r="C111" s="567" t="s">
        <v>824</v>
      </c>
      <c r="D111" s="2245" t="s">
        <v>787</v>
      </c>
      <c r="E111" s="2244" t="s">
        <v>776</v>
      </c>
      <c r="F111" s="2243"/>
      <c r="G111" s="2243">
        <v>11</v>
      </c>
      <c r="H111" s="2243"/>
      <c r="I111" s="1567">
        <v>10389592.699999999</v>
      </c>
      <c r="J111" s="355"/>
      <c r="K111" s="2243"/>
      <c r="L111" s="355"/>
      <c r="M111" s="1677">
        <f t="shared" si="24"/>
        <v>10389592.699999999</v>
      </c>
      <c r="N111" s="1655"/>
      <c r="O111" s="2243"/>
      <c r="P111" s="2243"/>
      <c r="Q111" s="2243"/>
      <c r="R111" s="2243"/>
      <c r="S111" s="1692">
        <f t="shared" si="25"/>
        <v>0</v>
      </c>
      <c r="T111" s="1706">
        <f t="shared" si="18"/>
        <v>10389592.699999999</v>
      </c>
      <c r="U111"/>
      <c r="V111"/>
      <c r="W111"/>
      <c r="X111"/>
      <c r="Y111"/>
      <c r="Z111"/>
      <c r="AA111"/>
      <c r="AB111"/>
      <c r="AC111"/>
    </row>
    <row r="112" spans="2:29" s="812" customFormat="1" ht="34.5" customHeight="1">
      <c r="B112" s="1423"/>
      <c r="C112" s="567" t="s">
        <v>825</v>
      </c>
      <c r="D112" s="2245" t="s">
        <v>787</v>
      </c>
      <c r="E112" s="2244" t="s">
        <v>776</v>
      </c>
      <c r="F112" s="2243"/>
      <c r="G112" s="2243">
        <v>11</v>
      </c>
      <c r="H112" s="2243"/>
      <c r="I112" s="1462">
        <f>13052000-8032000</f>
        <v>5020000</v>
      </c>
      <c r="J112" s="355"/>
      <c r="K112" s="2243"/>
      <c r="L112" s="355"/>
      <c r="M112" s="1677">
        <f t="shared" si="24"/>
        <v>5020000</v>
      </c>
      <c r="N112" s="1662"/>
      <c r="O112" s="1462"/>
      <c r="P112" s="1462"/>
      <c r="Q112" s="1462"/>
      <c r="R112" s="1462"/>
      <c r="S112" s="1692">
        <f t="shared" si="25"/>
        <v>0</v>
      </c>
      <c r="T112" s="1706">
        <f t="shared" si="18"/>
        <v>5020000</v>
      </c>
      <c r="U112"/>
      <c r="V112"/>
      <c r="W112"/>
      <c r="X112"/>
      <c r="Y112"/>
      <c r="Z112"/>
      <c r="AA112"/>
      <c r="AB112"/>
      <c r="AC112"/>
    </row>
    <row r="113" spans="2:29" s="812" customFormat="1" ht="34.5" customHeight="1">
      <c r="B113" s="1423"/>
      <c r="C113" s="567" t="s">
        <v>826</v>
      </c>
      <c r="D113" s="568" t="s">
        <v>787</v>
      </c>
      <c r="E113" s="27" t="s">
        <v>776</v>
      </c>
      <c r="F113" s="811"/>
      <c r="G113" s="811">
        <v>11</v>
      </c>
      <c r="H113" s="811"/>
      <c r="I113" s="1995">
        <v>9940000</v>
      </c>
      <c r="J113" s="355"/>
      <c r="K113" s="1995"/>
      <c r="L113" s="355"/>
      <c r="M113" s="1677">
        <f t="shared" si="24"/>
        <v>9940000</v>
      </c>
      <c r="N113" s="1655"/>
      <c r="O113" s="1995"/>
      <c r="P113" s="1995"/>
      <c r="Q113" s="1564"/>
      <c r="R113" s="1564"/>
      <c r="S113" s="1692">
        <f t="shared" si="25"/>
        <v>0</v>
      </c>
      <c r="T113" s="1706">
        <f t="shared" si="18"/>
        <v>9940000</v>
      </c>
      <c r="U113"/>
      <c r="V113"/>
      <c r="W113"/>
      <c r="X113"/>
      <c r="Y113"/>
      <c r="Z113"/>
      <c r="AA113"/>
      <c r="AB113"/>
      <c r="AC113"/>
    </row>
    <row r="114" spans="2:29" s="812" customFormat="1" ht="34.5" customHeight="1">
      <c r="B114" s="1423"/>
      <c r="C114" s="567" t="s">
        <v>827</v>
      </c>
      <c r="D114" s="568" t="s">
        <v>787</v>
      </c>
      <c r="E114" s="27" t="s">
        <v>776</v>
      </c>
      <c r="F114" s="811"/>
      <c r="G114" s="811">
        <v>11</v>
      </c>
      <c r="H114" s="811"/>
      <c r="I114" s="1462">
        <v>2000000</v>
      </c>
      <c r="J114" s="355"/>
      <c r="K114" s="1995"/>
      <c r="L114" s="355"/>
      <c r="M114" s="1677">
        <f t="shared" si="24"/>
        <v>2000000</v>
      </c>
      <c r="N114" s="1662"/>
      <c r="O114" s="1462"/>
      <c r="P114" s="1462"/>
      <c r="Q114" s="1462"/>
      <c r="R114" s="1462"/>
      <c r="S114" s="1692">
        <f t="shared" si="25"/>
        <v>0</v>
      </c>
      <c r="T114" s="1706">
        <f t="shared" si="18"/>
        <v>2000000</v>
      </c>
      <c r="U114"/>
      <c r="V114"/>
      <c r="W114"/>
      <c r="X114"/>
      <c r="Y114"/>
      <c r="Z114"/>
      <c r="AA114"/>
      <c r="AB114"/>
      <c r="AC114"/>
    </row>
    <row r="115" spans="2:29" s="812" customFormat="1" ht="34.5" customHeight="1">
      <c r="B115" s="1423"/>
      <c r="C115" s="567" t="s">
        <v>828</v>
      </c>
      <c r="D115" s="568" t="s">
        <v>787</v>
      </c>
      <c r="E115" s="27" t="s">
        <v>776</v>
      </c>
      <c r="F115" s="811"/>
      <c r="G115" s="811">
        <v>11</v>
      </c>
      <c r="H115" s="811"/>
      <c r="I115" s="1462">
        <v>2500000</v>
      </c>
      <c r="J115" s="355"/>
      <c r="K115" s="1995"/>
      <c r="L115" s="1462"/>
      <c r="M115" s="1677">
        <f t="shared" si="24"/>
        <v>2500000</v>
      </c>
      <c r="N115" s="1662"/>
      <c r="O115" s="1462"/>
      <c r="P115" s="1462"/>
      <c r="Q115" s="1462"/>
      <c r="R115" s="1462"/>
      <c r="S115" s="1692">
        <f t="shared" si="25"/>
        <v>0</v>
      </c>
      <c r="T115" s="1706">
        <f t="shared" si="18"/>
        <v>2500000</v>
      </c>
      <c r="U115"/>
      <c r="V115"/>
      <c r="W115"/>
      <c r="X115"/>
      <c r="Y115"/>
      <c r="Z115"/>
      <c r="AA115"/>
      <c r="AB115"/>
      <c r="AC115"/>
    </row>
    <row r="116" spans="2:29" s="812" customFormat="1" ht="34.5" customHeight="1">
      <c r="B116" s="1423"/>
      <c r="C116" s="567" t="s">
        <v>829</v>
      </c>
      <c r="D116" s="568" t="s">
        <v>787</v>
      </c>
      <c r="E116" s="1551" t="s">
        <v>776</v>
      </c>
      <c r="F116" s="811"/>
      <c r="G116" s="2195">
        <v>11</v>
      </c>
      <c r="H116" s="2195"/>
      <c r="I116" s="1567">
        <v>31449592.800000001</v>
      </c>
      <c r="J116" s="355"/>
      <c r="K116" s="1995"/>
      <c r="L116" s="355"/>
      <c r="M116" s="1677">
        <f t="shared" si="24"/>
        <v>31449592.800000001</v>
      </c>
      <c r="N116" s="1655"/>
      <c r="O116" s="1995"/>
      <c r="P116" s="1995"/>
      <c r="Q116" s="1564"/>
      <c r="R116" s="1564"/>
      <c r="S116" s="1692">
        <f t="shared" si="25"/>
        <v>0</v>
      </c>
      <c r="T116" s="1706">
        <f t="shared" si="18"/>
        <v>31449592.800000001</v>
      </c>
      <c r="U116"/>
      <c r="V116"/>
      <c r="W116"/>
      <c r="X116"/>
      <c r="Y116"/>
      <c r="Z116"/>
      <c r="AA116"/>
      <c r="AB116"/>
      <c r="AC116"/>
    </row>
    <row r="117" spans="2:29" s="812" customFormat="1" ht="34.5" customHeight="1">
      <c r="B117" s="1423"/>
      <c r="C117" s="567" t="s">
        <v>830</v>
      </c>
      <c r="D117" s="568" t="s">
        <v>787</v>
      </c>
      <c r="E117" s="1551" t="s">
        <v>776</v>
      </c>
      <c r="F117" s="811"/>
      <c r="G117" s="2195">
        <v>11</v>
      </c>
      <c r="H117" s="2195"/>
      <c r="I117" s="355">
        <f>25000000-4568327</f>
        <v>20431673</v>
      </c>
      <c r="J117" s="355"/>
      <c r="K117" s="1995"/>
      <c r="L117" s="355"/>
      <c r="M117" s="1677">
        <f t="shared" si="24"/>
        <v>20431673</v>
      </c>
      <c r="N117" s="1666"/>
      <c r="O117" s="355"/>
      <c r="P117" s="355"/>
      <c r="Q117" s="355"/>
      <c r="R117" s="355"/>
      <c r="S117" s="1692">
        <f t="shared" si="25"/>
        <v>0</v>
      </c>
      <c r="T117" s="1706">
        <f t="shared" si="18"/>
        <v>20431673</v>
      </c>
      <c r="U117"/>
      <c r="V117"/>
      <c r="W117"/>
      <c r="X117"/>
      <c r="Y117"/>
      <c r="Z117"/>
      <c r="AA117"/>
      <c r="AB117"/>
      <c r="AC117"/>
    </row>
    <row r="118" spans="2:29" ht="34.5" customHeight="1">
      <c r="B118" s="1420"/>
      <c r="C118" s="567" t="s">
        <v>960</v>
      </c>
      <c r="D118" s="568" t="s">
        <v>787</v>
      </c>
      <c r="E118" s="1551" t="s">
        <v>776</v>
      </c>
      <c r="F118" s="811"/>
      <c r="G118" s="2195">
        <v>9</v>
      </c>
      <c r="H118" s="2195"/>
      <c r="I118" s="274">
        <f>4568327+2000000</f>
        <v>6568327</v>
      </c>
      <c r="J118" s="274"/>
      <c r="K118" s="513">
        <v>3116819</v>
      </c>
      <c r="L118" s="513"/>
      <c r="M118" s="1677">
        <f t="shared" si="24"/>
        <v>9685146</v>
      </c>
      <c r="N118" s="1660"/>
      <c r="O118" s="274"/>
      <c r="P118" s="274"/>
      <c r="Q118" s="274"/>
      <c r="R118" s="274"/>
      <c r="S118" s="1692">
        <f t="shared" si="25"/>
        <v>0</v>
      </c>
      <c r="T118" s="1706">
        <f t="shared" si="18"/>
        <v>9685146</v>
      </c>
      <c r="U118"/>
      <c r="V118"/>
      <c r="W118"/>
      <c r="X118"/>
      <c r="Y118"/>
      <c r="Z118"/>
      <c r="AA118"/>
      <c r="AB118"/>
      <c r="AC118"/>
    </row>
    <row r="119" spans="2:29" s="812" customFormat="1" ht="34.5" customHeight="1">
      <c r="B119" s="1423"/>
      <c r="C119" s="567" t="s">
        <v>1165</v>
      </c>
      <c r="D119" s="568" t="s">
        <v>787</v>
      </c>
      <c r="E119" s="1551"/>
      <c r="F119" s="811"/>
      <c r="G119" s="2195"/>
      <c r="H119" s="2195"/>
      <c r="I119" s="2195">
        <v>8032000</v>
      </c>
      <c r="J119" s="355">
        <v>2439317.7524423599</v>
      </c>
      <c r="K119" s="1995">
        <v>4056160</v>
      </c>
      <c r="L119" s="355"/>
      <c r="M119" s="1677">
        <f t="shared" si="24"/>
        <v>14527477.75244236</v>
      </c>
      <c r="N119" s="1655"/>
      <c r="O119" s="1995"/>
      <c r="P119" s="1995"/>
      <c r="Q119" s="1564"/>
      <c r="R119" s="1564"/>
      <c r="S119" s="1692">
        <f t="shared" si="25"/>
        <v>0</v>
      </c>
      <c r="T119" s="1706">
        <f t="shared" si="18"/>
        <v>14527477.75244236</v>
      </c>
      <c r="U119"/>
      <c r="V119"/>
      <c r="W119"/>
      <c r="X119"/>
      <c r="Y119"/>
      <c r="Z119"/>
      <c r="AA119"/>
      <c r="AB119"/>
      <c r="AC119"/>
    </row>
    <row r="120" spans="2:29" s="812" customFormat="1" ht="34.5" customHeight="1">
      <c r="B120" s="1423"/>
      <c r="C120" s="567"/>
      <c r="D120" s="568"/>
      <c r="E120" s="1551"/>
      <c r="F120" s="811"/>
      <c r="G120" s="2195"/>
      <c r="H120" s="2195"/>
      <c r="I120" s="2195"/>
      <c r="J120" s="355"/>
      <c r="K120" s="1995"/>
      <c r="L120" s="355"/>
      <c r="M120" s="1677">
        <f t="shared" si="24"/>
        <v>0</v>
      </c>
      <c r="N120" s="1655"/>
      <c r="O120" s="1995"/>
      <c r="P120" s="1995"/>
      <c r="Q120" s="1564"/>
      <c r="R120" s="1564"/>
      <c r="S120" s="1692">
        <f t="shared" si="25"/>
        <v>0</v>
      </c>
      <c r="T120" s="1706">
        <f t="shared" si="18"/>
        <v>0</v>
      </c>
      <c r="U120"/>
      <c r="V120"/>
      <c r="W120"/>
      <c r="X120"/>
      <c r="Y120"/>
      <c r="Z120"/>
      <c r="AA120"/>
      <c r="AB120"/>
      <c r="AC120"/>
    </row>
    <row r="121" spans="2:29" s="812" customFormat="1" ht="34.5" customHeight="1">
      <c r="B121" s="1423"/>
      <c r="C121" s="567" t="s">
        <v>831</v>
      </c>
      <c r="D121" s="568" t="s">
        <v>787</v>
      </c>
      <c r="E121" s="1565" t="s">
        <v>776</v>
      </c>
      <c r="F121" s="1564"/>
      <c r="G121" s="2195"/>
      <c r="H121" s="2195"/>
      <c r="I121" s="1462">
        <v>4000000</v>
      </c>
      <c r="J121" s="355"/>
      <c r="K121" s="1995"/>
      <c r="L121" s="355"/>
      <c r="M121" s="1677">
        <f t="shared" si="24"/>
        <v>4000000</v>
      </c>
      <c r="N121" s="1662"/>
      <c r="O121" s="1462"/>
      <c r="P121" s="1462"/>
      <c r="Q121" s="1462"/>
      <c r="R121" s="1462"/>
      <c r="S121" s="1692">
        <f t="shared" si="25"/>
        <v>0</v>
      </c>
      <c r="T121" s="1706">
        <f t="shared" si="18"/>
        <v>4000000</v>
      </c>
      <c r="U121"/>
      <c r="V121"/>
      <c r="W121"/>
      <c r="X121"/>
      <c r="Y121"/>
      <c r="Z121"/>
      <c r="AA121"/>
      <c r="AB121"/>
      <c r="AC121"/>
    </row>
    <row r="122" spans="2:29" s="812" customFormat="1" ht="34.5" customHeight="1">
      <c r="B122" s="1423"/>
      <c r="C122" s="567" t="s">
        <v>832</v>
      </c>
      <c r="D122" s="568" t="s">
        <v>787</v>
      </c>
      <c r="E122" s="1565" t="s">
        <v>776</v>
      </c>
      <c r="F122" s="1564"/>
      <c r="G122" s="2195"/>
      <c r="H122" s="2195"/>
      <c r="I122" s="1463">
        <f>4000000-2000000-2000000</f>
        <v>0</v>
      </c>
      <c r="J122" s="355"/>
      <c r="K122" s="1995"/>
      <c r="L122" s="355"/>
      <c r="M122" s="1677">
        <f t="shared" si="24"/>
        <v>0</v>
      </c>
      <c r="N122" s="1661"/>
      <c r="O122" s="1463"/>
      <c r="P122" s="1463"/>
      <c r="Q122" s="1463"/>
      <c r="R122" s="1463"/>
      <c r="S122" s="1692">
        <f t="shared" si="25"/>
        <v>0</v>
      </c>
      <c r="T122" s="1706">
        <f t="shared" si="18"/>
        <v>0</v>
      </c>
      <c r="U122"/>
      <c r="V122"/>
      <c r="W122"/>
      <c r="X122"/>
      <c r="Y122"/>
      <c r="Z122"/>
      <c r="AA122"/>
      <c r="AB122"/>
      <c r="AC122"/>
    </row>
    <row r="123" spans="2:29" s="812" customFormat="1" ht="34.5" customHeight="1">
      <c r="B123" s="1423"/>
      <c r="C123" s="567" t="s">
        <v>1210</v>
      </c>
      <c r="D123" s="2108" t="s">
        <v>235</v>
      </c>
      <c r="E123" s="2106" t="s">
        <v>776</v>
      </c>
      <c r="F123" s="2107"/>
      <c r="G123" s="2195"/>
      <c r="H123" s="2195"/>
      <c r="I123" s="2195"/>
      <c r="J123" s="274">
        <f>9614079-6180479-314353</f>
        <v>3119247</v>
      </c>
      <c r="K123" s="274">
        <f>4568326.5+2000000-1044265</f>
        <v>5524061.5</v>
      </c>
      <c r="L123" s="355"/>
      <c r="M123" s="1677">
        <f t="shared" si="24"/>
        <v>8643308.5</v>
      </c>
      <c r="N123" s="1655"/>
      <c r="O123" s="2107"/>
      <c r="P123" s="2107"/>
      <c r="Q123" s="2107"/>
      <c r="R123" s="1564"/>
      <c r="S123" s="1692">
        <f t="shared" si="25"/>
        <v>0</v>
      </c>
      <c r="T123" s="1706">
        <f t="shared" si="18"/>
        <v>8643308.5</v>
      </c>
      <c r="U123"/>
      <c r="V123"/>
      <c r="W123"/>
      <c r="X123"/>
      <c r="Y123"/>
      <c r="Z123"/>
      <c r="AA123"/>
      <c r="AB123"/>
      <c r="AC123"/>
    </row>
    <row r="124" spans="2:29" s="812" customFormat="1" ht="21.75" customHeight="1">
      <c r="B124" s="1423"/>
      <c r="C124" s="567"/>
      <c r="D124" s="2108" t="s">
        <v>235</v>
      </c>
      <c r="E124" s="2106" t="s">
        <v>776</v>
      </c>
      <c r="F124" s="2107"/>
      <c r="G124" s="2195"/>
      <c r="H124" s="2195"/>
      <c r="I124" s="2195"/>
      <c r="J124" s="355"/>
      <c r="K124" s="357"/>
      <c r="L124" s="355"/>
      <c r="M124" s="1677">
        <f t="shared" si="24"/>
        <v>0</v>
      </c>
      <c r="N124" s="1655"/>
      <c r="O124" s="2107"/>
      <c r="P124" s="2107"/>
      <c r="Q124" s="2107"/>
      <c r="R124" s="1564"/>
      <c r="S124" s="1692">
        <f t="shared" si="25"/>
        <v>0</v>
      </c>
      <c r="T124" s="1706">
        <f t="shared" si="18"/>
        <v>0</v>
      </c>
      <c r="U124"/>
      <c r="V124"/>
      <c r="W124"/>
      <c r="X124"/>
      <c r="Y124"/>
      <c r="Z124"/>
      <c r="AA124"/>
      <c r="AB124"/>
      <c r="AC124"/>
    </row>
    <row r="125" spans="2:29" s="812" customFormat="1" ht="21.75" customHeight="1">
      <c r="B125" s="1423"/>
      <c r="C125" s="567" t="s">
        <v>798</v>
      </c>
      <c r="D125" s="2108" t="s">
        <v>787</v>
      </c>
      <c r="E125" s="2106" t="s">
        <v>776</v>
      </c>
      <c r="F125" s="2107"/>
      <c r="G125" s="2195"/>
      <c r="H125" s="2195"/>
      <c r="I125" s="2195"/>
      <c r="J125" s="355"/>
      <c r="K125" s="2107"/>
      <c r="L125" s="355"/>
      <c r="M125" s="1677">
        <f t="shared" si="24"/>
        <v>0</v>
      </c>
      <c r="N125" s="1655"/>
      <c r="O125" s="2107"/>
      <c r="P125" s="2107"/>
      <c r="Q125" s="2107"/>
      <c r="R125" s="1564"/>
      <c r="S125" s="1692">
        <f t="shared" si="25"/>
        <v>0</v>
      </c>
      <c r="T125" s="1706">
        <f t="shared" si="18"/>
        <v>0</v>
      </c>
      <c r="U125"/>
      <c r="V125"/>
      <c r="W125"/>
      <c r="X125"/>
      <c r="Y125"/>
      <c r="Z125"/>
      <c r="AA125"/>
      <c r="AB125"/>
      <c r="AC125"/>
    </row>
    <row r="126" spans="2:29" s="812" customFormat="1" ht="21.75" customHeight="1">
      <c r="B126" s="1423"/>
      <c r="C126" s="567" t="s">
        <v>800</v>
      </c>
      <c r="D126" s="2108" t="s">
        <v>787</v>
      </c>
      <c r="E126" s="2106" t="s">
        <v>776</v>
      </c>
      <c r="F126" s="2107"/>
      <c r="G126" s="2195"/>
      <c r="H126" s="2195"/>
      <c r="I126" s="2195"/>
      <c r="J126" s="355"/>
      <c r="K126" s="2107"/>
      <c r="L126" s="355"/>
      <c r="M126" s="1677">
        <f t="shared" si="24"/>
        <v>0</v>
      </c>
      <c r="N126" s="1655"/>
      <c r="O126" s="2107"/>
      <c r="P126" s="2107"/>
      <c r="Q126" s="2107"/>
      <c r="R126" s="1995"/>
      <c r="S126" s="1692">
        <f t="shared" si="25"/>
        <v>0</v>
      </c>
      <c r="T126" s="1706">
        <f t="shared" si="18"/>
        <v>0</v>
      </c>
      <c r="U126"/>
      <c r="V126"/>
      <c r="W126"/>
      <c r="X126"/>
      <c r="Y126"/>
      <c r="Z126"/>
      <c r="AA126"/>
      <c r="AB126"/>
      <c r="AC126"/>
    </row>
    <row r="127" spans="2:29" s="812" customFormat="1" ht="32.25" customHeight="1">
      <c r="B127" s="1423"/>
      <c r="C127" s="567" t="s">
        <v>833</v>
      </c>
      <c r="D127" s="2108" t="s">
        <v>235</v>
      </c>
      <c r="E127" s="2106" t="s">
        <v>776</v>
      </c>
      <c r="F127" s="2107"/>
      <c r="G127" s="2107"/>
      <c r="H127" s="2107"/>
      <c r="I127" s="2107"/>
      <c r="J127" s="355"/>
      <c r="K127" s="2107"/>
      <c r="L127" s="355"/>
      <c r="M127" s="1677">
        <f t="shared" si="24"/>
        <v>0</v>
      </c>
      <c r="N127" s="1655"/>
      <c r="O127" s="2107"/>
      <c r="P127" s="2107"/>
      <c r="Q127" s="2107"/>
      <c r="R127" s="1995"/>
      <c r="S127" s="1692">
        <f t="shared" si="25"/>
        <v>0</v>
      </c>
      <c r="T127" s="1706">
        <f t="shared" si="18"/>
        <v>0</v>
      </c>
      <c r="U127"/>
      <c r="V127"/>
      <c r="W127"/>
      <c r="X127"/>
      <c r="Y127"/>
      <c r="Z127"/>
      <c r="AA127"/>
      <c r="AB127"/>
      <c r="AC127"/>
    </row>
    <row r="128" spans="2:29" s="812" customFormat="1" ht="45" customHeight="1">
      <c r="B128" s="1423"/>
      <c r="C128" s="567" t="s">
        <v>1223</v>
      </c>
      <c r="D128" s="2108" t="s">
        <v>235</v>
      </c>
      <c r="E128" s="2106" t="s">
        <v>776</v>
      </c>
      <c r="F128" s="2107"/>
      <c r="G128" s="2107"/>
      <c r="H128" s="2107"/>
      <c r="I128" s="2107"/>
      <c r="J128" s="355"/>
      <c r="K128" s="2107"/>
      <c r="L128" s="355"/>
      <c r="M128" s="1677">
        <f t="shared" si="24"/>
        <v>0</v>
      </c>
      <c r="N128" s="1655"/>
      <c r="O128" s="1463">
        <v>0</v>
      </c>
      <c r="P128" s="1463"/>
      <c r="Q128" s="1463">
        <f>12418358.7328+4498472-8996944.4008</f>
        <v>7919886.3319999985</v>
      </c>
      <c r="R128" s="1463"/>
      <c r="S128" s="2006">
        <f t="shared" si="25"/>
        <v>7919886.3319999985</v>
      </c>
      <c r="T128" s="2007">
        <f t="shared" si="18"/>
        <v>7919886.3319999985</v>
      </c>
      <c r="U128"/>
      <c r="V128"/>
      <c r="W128"/>
      <c r="X128"/>
      <c r="Y128"/>
      <c r="Z128"/>
      <c r="AA128"/>
      <c r="AB128"/>
      <c r="AC128"/>
    </row>
    <row r="129" spans="2:29" s="812" customFormat="1" ht="21.75" customHeight="1">
      <c r="B129" s="1423"/>
      <c r="C129" s="567" t="s">
        <v>834</v>
      </c>
      <c r="D129" s="2108" t="s">
        <v>787</v>
      </c>
      <c r="E129" s="2106" t="s">
        <v>835</v>
      </c>
      <c r="F129" s="2107"/>
      <c r="G129" s="2107">
        <v>11</v>
      </c>
      <c r="H129" s="2107"/>
      <c r="I129" s="2107"/>
      <c r="J129" s="355">
        <v>15000000</v>
      </c>
      <c r="K129" s="2107"/>
      <c r="L129" s="355"/>
      <c r="M129" s="1677">
        <f t="shared" si="24"/>
        <v>15000000</v>
      </c>
      <c r="N129" s="1655"/>
      <c r="O129" s="2107">
        <f>12418358.7328-12418358.7328</f>
        <v>0</v>
      </c>
      <c r="P129" s="2107"/>
      <c r="Q129" s="2107"/>
      <c r="R129" s="1995"/>
      <c r="S129" s="1692">
        <f t="shared" si="25"/>
        <v>0</v>
      </c>
      <c r="T129" s="1706">
        <f t="shared" si="18"/>
        <v>15000000</v>
      </c>
      <c r="U129"/>
      <c r="V129"/>
      <c r="W129"/>
      <c r="X129"/>
      <c r="Y129"/>
      <c r="Z129"/>
      <c r="AA129"/>
      <c r="AB129"/>
      <c r="AC129"/>
    </row>
    <row r="130" spans="2:29" s="812" customFormat="1" ht="21.75" customHeight="1">
      <c r="B130" s="1423"/>
      <c r="C130" s="567" t="s">
        <v>836</v>
      </c>
      <c r="D130" s="2128" t="s">
        <v>787</v>
      </c>
      <c r="E130" s="2126" t="s">
        <v>835</v>
      </c>
      <c r="F130" s="2127"/>
      <c r="G130" s="2127">
        <v>11</v>
      </c>
      <c r="H130" s="2127"/>
      <c r="I130" s="2127"/>
      <c r="J130" s="355">
        <v>15000000</v>
      </c>
      <c r="K130" s="2127"/>
      <c r="L130" s="355"/>
      <c r="M130" s="1677">
        <f t="shared" si="24"/>
        <v>15000000</v>
      </c>
      <c r="N130" s="1655"/>
      <c r="O130" s="2107"/>
      <c r="P130" s="2107"/>
      <c r="Q130" s="2107"/>
      <c r="R130" s="1995"/>
      <c r="S130" s="1692">
        <f t="shared" si="25"/>
        <v>0</v>
      </c>
      <c r="T130" s="1706">
        <f t="shared" si="18"/>
        <v>15000000</v>
      </c>
      <c r="U130"/>
      <c r="V130"/>
      <c r="W130"/>
      <c r="X130"/>
      <c r="Y130"/>
      <c r="Z130"/>
      <c r="AA130"/>
      <c r="AB130"/>
      <c r="AC130"/>
    </row>
    <row r="131" spans="2:29" s="812" customFormat="1" ht="21.75" customHeight="1">
      <c r="B131" s="1423"/>
      <c r="C131" s="567" t="s">
        <v>837</v>
      </c>
      <c r="D131" s="2128" t="s">
        <v>787</v>
      </c>
      <c r="E131" s="2126" t="s">
        <v>835</v>
      </c>
      <c r="F131" s="2127"/>
      <c r="G131" s="2127">
        <v>11</v>
      </c>
      <c r="H131" s="2127"/>
      <c r="I131" s="2127"/>
      <c r="J131" s="355">
        <v>10000000</v>
      </c>
      <c r="K131" s="2127"/>
      <c r="L131" s="355"/>
      <c r="M131" s="1677">
        <f t="shared" si="24"/>
        <v>10000000</v>
      </c>
      <c r="N131" s="1655"/>
      <c r="O131" s="2107"/>
      <c r="P131" s="2107"/>
      <c r="Q131" s="2107"/>
      <c r="R131" s="1995"/>
      <c r="S131" s="1692">
        <f t="shared" si="25"/>
        <v>0</v>
      </c>
      <c r="T131" s="1706">
        <f t="shared" si="18"/>
        <v>10000000</v>
      </c>
      <c r="U131"/>
      <c r="V131"/>
      <c r="W131"/>
      <c r="X131"/>
      <c r="Y131"/>
      <c r="Z131"/>
      <c r="AA131"/>
      <c r="AB131"/>
      <c r="AC131"/>
    </row>
    <row r="132" spans="2:29" s="812" customFormat="1" ht="21.75" customHeight="1">
      <c r="B132" s="1423"/>
      <c r="C132" s="567" t="s">
        <v>837</v>
      </c>
      <c r="D132" s="2128" t="s">
        <v>787</v>
      </c>
      <c r="E132" s="2126" t="s">
        <v>835</v>
      </c>
      <c r="F132" s="2127"/>
      <c r="G132" s="2127">
        <v>11</v>
      </c>
      <c r="H132" s="2127"/>
      <c r="I132" s="2127"/>
      <c r="J132" s="355">
        <v>905608</v>
      </c>
      <c r="K132" s="2127"/>
      <c r="L132" s="355"/>
      <c r="M132" s="1677">
        <f t="shared" si="24"/>
        <v>905608</v>
      </c>
      <c r="N132" s="1655"/>
      <c r="O132" s="2115"/>
      <c r="P132" s="2115"/>
      <c r="Q132" s="2115"/>
      <c r="R132" s="2115"/>
      <c r="S132" s="1692"/>
      <c r="T132" s="1706">
        <f t="shared" si="18"/>
        <v>905608</v>
      </c>
      <c r="U132"/>
      <c r="V132"/>
      <c r="W132"/>
      <c r="X132"/>
      <c r="Y132"/>
      <c r="Z132"/>
      <c r="AA132"/>
      <c r="AB132"/>
      <c r="AC132"/>
    </row>
    <row r="133" spans="2:29" s="812" customFormat="1" ht="21.75" customHeight="1">
      <c r="B133" s="1423"/>
      <c r="C133" s="567" t="s">
        <v>838</v>
      </c>
      <c r="D133" s="2128" t="s">
        <v>787</v>
      </c>
      <c r="E133" s="2126" t="s">
        <v>835</v>
      </c>
      <c r="F133" s="2127"/>
      <c r="G133" s="2127">
        <v>11</v>
      </c>
      <c r="H133" s="2127"/>
      <c r="I133" s="2127"/>
      <c r="J133" s="355">
        <v>10000000</v>
      </c>
      <c r="K133" s="2127"/>
      <c r="L133" s="355"/>
      <c r="M133" s="1677">
        <f t="shared" si="24"/>
        <v>10000000</v>
      </c>
      <c r="N133" s="1655"/>
      <c r="O133" s="2107"/>
      <c r="P133" s="2107"/>
      <c r="Q133" s="2107"/>
      <c r="R133" s="1995"/>
      <c r="S133" s="1692">
        <f t="shared" si="25"/>
        <v>0</v>
      </c>
      <c r="T133" s="1706">
        <f t="shared" si="18"/>
        <v>10000000</v>
      </c>
      <c r="U133"/>
      <c r="V133"/>
      <c r="W133"/>
      <c r="X133"/>
      <c r="Y133"/>
      <c r="Z133"/>
      <c r="AA133"/>
      <c r="AB133"/>
      <c r="AC133"/>
    </row>
    <row r="134" spans="2:29" s="812" customFormat="1" ht="21.75" customHeight="1">
      <c r="B134" s="1423"/>
      <c r="C134" s="567" t="s">
        <v>839</v>
      </c>
      <c r="D134" s="2128" t="s">
        <v>787</v>
      </c>
      <c r="E134" s="2126" t="s">
        <v>835</v>
      </c>
      <c r="F134" s="2127"/>
      <c r="G134" s="2127">
        <v>11</v>
      </c>
      <c r="H134" s="2127"/>
      <c r="I134" s="2127"/>
      <c r="J134" s="355">
        <v>10000000</v>
      </c>
      <c r="K134" s="2127"/>
      <c r="L134" s="355"/>
      <c r="M134" s="1677">
        <f t="shared" si="24"/>
        <v>10000000</v>
      </c>
      <c r="N134" s="1655"/>
      <c r="O134" s="2107"/>
      <c r="P134" s="2107"/>
      <c r="Q134" s="2107"/>
      <c r="R134" s="1995"/>
      <c r="S134" s="1692">
        <f t="shared" si="25"/>
        <v>0</v>
      </c>
      <c r="T134" s="1706">
        <f t="shared" si="18"/>
        <v>10000000</v>
      </c>
      <c r="U134"/>
      <c r="V134"/>
      <c r="W134"/>
      <c r="X134"/>
      <c r="Y134"/>
      <c r="Z134"/>
      <c r="AA134"/>
      <c r="AB134"/>
      <c r="AC134"/>
    </row>
    <row r="135" spans="2:29" s="812" customFormat="1" ht="21.75" customHeight="1">
      <c r="B135" s="1423"/>
      <c r="C135" s="567" t="s">
        <v>840</v>
      </c>
      <c r="D135" s="2128" t="s">
        <v>787</v>
      </c>
      <c r="E135" s="2126" t="s">
        <v>835</v>
      </c>
      <c r="F135" s="2127"/>
      <c r="G135" s="2127">
        <v>11</v>
      </c>
      <c r="H135" s="2127"/>
      <c r="I135" s="2127"/>
      <c r="J135" s="355">
        <f>10000000-847054</f>
        <v>9152946</v>
      </c>
      <c r="K135" s="355"/>
      <c r="L135" s="355"/>
      <c r="M135" s="1677">
        <f t="shared" si="24"/>
        <v>9152946</v>
      </c>
      <c r="N135" s="1655"/>
      <c r="O135" s="2115"/>
      <c r="P135" s="2115"/>
      <c r="Q135" s="2115"/>
      <c r="R135" s="2115"/>
      <c r="S135" s="1692">
        <f t="shared" si="25"/>
        <v>0</v>
      </c>
      <c r="T135" s="1706">
        <f t="shared" si="18"/>
        <v>9152946</v>
      </c>
      <c r="U135" s="813" t="s">
        <v>1369</v>
      </c>
      <c r="V135" s="813"/>
      <c r="W135" s="813"/>
      <c r="X135" s="2118"/>
      <c r="Y135" s="813"/>
      <c r="Z135" s="813"/>
      <c r="AA135" s="813"/>
      <c r="AB135" s="813"/>
      <c r="AC135" s="813"/>
    </row>
    <row r="136" spans="2:29" ht="21.75" customHeight="1">
      <c r="B136" s="1420"/>
      <c r="C136" s="567" t="s">
        <v>857</v>
      </c>
      <c r="D136" s="2128" t="s">
        <v>787</v>
      </c>
      <c r="E136" s="2126" t="s">
        <v>835</v>
      </c>
      <c r="F136" s="2127"/>
      <c r="G136" s="2127">
        <v>11</v>
      </c>
      <c r="H136" s="2127"/>
      <c r="I136" s="357"/>
      <c r="J136" s="357"/>
      <c r="K136" s="357"/>
      <c r="L136" s="357"/>
      <c r="M136" s="1677">
        <f t="shared" si="24"/>
        <v>0</v>
      </c>
      <c r="N136" s="1998"/>
      <c r="O136" s="357">
        <v>10040000</v>
      </c>
      <c r="P136" s="357"/>
      <c r="Q136" s="357"/>
      <c r="R136" s="357"/>
      <c r="S136" s="1985">
        <f t="shared" ref="S136" si="27">+SUM(N136:R136)</f>
        <v>10040000</v>
      </c>
      <c r="T136" s="1986">
        <f t="shared" si="18"/>
        <v>10040000</v>
      </c>
      <c r="U136" s="813"/>
      <c r="V136" s="813"/>
      <c r="W136"/>
      <c r="X136"/>
      <c r="Y136"/>
      <c r="Z136"/>
      <c r="AA136"/>
      <c r="AB136"/>
      <c r="AC136"/>
    </row>
    <row r="137" spans="2:29" s="812" customFormat="1" ht="21.75" customHeight="1">
      <c r="B137" s="1423"/>
      <c r="C137" s="567" t="s">
        <v>1272</v>
      </c>
      <c r="D137" s="2128" t="s">
        <v>787</v>
      </c>
      <c r="E137" s="2126" t="s">
        <v>835</v>
      </c>
      <c r="F137" s="2127"/>
      <c r="G137" s="2127">
        <v>11</v>
      </c>
      <c r="H137" s="2127"/>
      <c r="I137" s="2127"/>
      <c r="J137" s="355"/>
      <c r="K137" s="1463">
        <f>55661760-2530080-2530080-43516440</f>
        <v>7085160</v>
      </c>
      <c r="L137" s="355"/>
      <c r="M137" s="1677">
        <f t="shared" si="24"/>
        <v>7085160</v>
      </c>
      <c r="N137" s="1655"/>
      <c r="O137" s="2107">
        <v>20080000</v>
      </c>
      <c r="P137" s="2107"/>
      <c r="Q137" s="2107"/>
      <c r="R137" s="1995"/>
      <c r="S137" s="1692">
        <f t="shared" si="25"/>
        <v>20080000</v>
      </c>
      <c r="T137" s="1706">
        <f t="shared" si="18"/>
        <v>27165160</v>
      </c>
      <c r="U137" s="813"/>
      <c r="V137" s="813"/>
      <c r="W137"/>
      <c r="X137"/>
      <c r="Y137"/>
      <c r="Z137"/>
      <c r="AA137"/>
      <c r="AB137"/>
      <c r="AC137"/>
    </row>
    <row r="138" spans="2:29" s="812" customFormat="1" ht="21.75" customHeight="1">
      <c r="B138" s="1423"/>
      <c r="C138" s="567" t="s">
        <v>842</v>
      </c>
      <c r="D138" s="2108" t="s">
        <v>787</v>
      </c>
      <c r="E138" s="2106" t="s">
        <v>835</v>
      </c>
      <c r="F138" s="2107"/>
      <c r="G138" s="2107"/>
      <c r="H138" s="2107"/>
      <c r="I138" s="2107"/>
      <c r="J138" s="355"/>
      <c r="K138" s="1987"/>
      <c r="L138" s="355"/>
      <c r="M138" s="1677">
        <f t="shared" si="24"/>
        <v>0</v>
      </c>
      <c r="N138" s="1655"/>
      <c r="O138" s="2107"/>
      <c r="P138" s="2107"/>
      <c r="Q138" s="2107"/>
      <c r="R138" s="1995"/>
      <c r="S138" s="1692">
        <f t="shared" si="25"/>
        <v>0</v>
      </c>
      <c r="T138" s="1706">
        <f t="shared" si="18"/>
        <v>0</v>
      </c>
      <c r="U138" s="813"/>
      <c r="V138" s="813"/>
      <c r="W138"/>
      <c r="X138"/>
      <c r="Y138"/>
      <c r="Z138"/>
      <c r="AA138"/>
      <c r="AB138"/>
      <c r="AC138"/>
    </row>
    <row r="139" spans="2:29" s="812" customFormat="1" ht="21.75" customHeight="1">
      <c r="B139" s="1423"/>
      <c r="C139" s="567" t="s">
        <v>843</v>
      </c>
      <c r="D139" s="2108" t="s">
        <v>787</v>
      </c>
      <c r="E139" s="2106" t="s">
        <v>835</v>
      </c>
      <c r="F139" s="2107"/>
      <c r="G139" s="2107"/>
      <c r="H139" s="2107"/>
      <c r="I139" s="2107"/>
      <c r="J139" s="355">
        <v>10040000</v>
      </c>
      <c r="K139" s="2107"/>
      <c r="L139" s="355"/>
      <c r="M139" s="1677">
        <f t="shared" si="24"/>
        <v>10040000</v>
      </c>
      <c r="N139" s="1655"/>
      <c r="O139" s="2107"/>
      <c r="P139" s="2107"/>
      <c r="Q139" s="2107"/>
      <c r="R139" s="1995"/>
      <c r="S139" s="1692">
        <f t="shared" si="25"/>
        <v>0</v>
      </c>
      <c r="T139" s="1706">
        <f t="shared" si="18"/>
        <v>10040000</v>
      </c>
      <c r="U139" s="813"/>
      <c r="V139" s="813"/>
      <c r="W139"/>
      <c r="X139"/>
      <c r="Y139"/>
      <c r="Z139"/>
      <c r="AA139"/>
      <c r="AB139"/>
      <c r="AC139"/>
    </row>
    <row r="140" spans="2:29" s="812" customFormat="1" ht="21.75" customHeight="1">
      <c r="B140" s="1423"/>
      <c r="C140" s="567" t="s">
        <v>844</v>
      </c>
      <c r="D140" s="2108" t="s">
        <v>787</v>
      </c>
      <c r="E140" s="2106" t="s">
        <v>835</v>
      </c>
      <c r="F140" s="2107"/>
      <c r="G140" s="2107"/>
      <c r="H140" s="2107"/>
      <c r="I140" s="2107"/>
      <c r="J140" s="355"/>
      <c r="K140" s="2107"/>
      <c r="L140" s="355"/>
      <c r="M140" s="1677">
        <f t="shared" si="24"/>
        <v>0</v>
      </c>
      <c r="N140" s="1655"/>
      <c r="O140" s="2243">
        <v>10040000</v>
      </c>
      <c r="P140" s="2107"/>
      <c r="Q140" s="2107"/>
      <c r="R140" s="1995"/>
      <c r="S140" s="1692">
        <f t="shared" si="25"/>
        <v>10040000</v>
      </c>
      <c r="T140" s="1706">
        <f t="shared" si="18"/>
        <v>10040000</v>
      </c>
      <c r="U140" s="813"/>
      <c r="V140" s="813"/>
      <c r="W140"/>
      <c r="X140"/>
      <c r="Y140"/>
      <c r="Z140"/>
      <c r="AA140"/>
      <c r="AB140"/>
      <c r="AC140"/>
    </row>
    <row r="141" spans="2:29" s="812" customFormat="1" ht="21.75" customHeight="1">
      <c r="B141" s="1423"/>
      <c r="C141" s="1999" t="s">
        <v>859</v>
      </c>
      <c r="D141" s="2080" t="s">
        <v>787</v>
      </c>
      <c r="E141" s="2081" t="s">
        <v>835</v>
      </c>
      <c r="F141" s="2107"/>
      <c r="G141" s="2107"/>
      <c r="H141" s="2107"/>
      <c r="I141" s="2107"/>
      <c r="J141" s="355"/>
      <c r="K141" s="1463">
        <v>3012000</v>
      </c>
      <c r="L141" s="355"/>
      <c r="M141" s="1677">
        <f t="shared" si="24"/>
        <v>3012000</v>
      </c>
      <c r="N141" s="1655"/>
      <c r="O141" s="2243"/>
      <c r="P141" s="2107"/>
      <c r="Q141" s="2107"/>
      <c r="R141" s="2078"/>
      <c r="S141" s="1692">
        <f t="shared" ref="S141" si="28">+SUM(N141:R141)</f>
        <v>0</v>
      </c>
      <c r="T141" s="1706">
        <f t="shared" ref="T141" si="29">+S141+M141</f>
        <v>3012000</v>
      </c>
      <c r="U141" s="813"/>
      <c r="V141" s="813"/>
      <c r="W141"/>
      <c r="X141"/>
      <c r="Y141"/>
      <c r="Z141"/>
      <c r="AA141"/>
      <c r="AB141"/>
      <c r="AC141"/>
    </row>
    <row r="142" spans="2:29" ht="21.75" customHeight="1">
      <c r="B142" s="1420"/>
      <c r="C142" s="1999" t="s">
        <v>860</v>
      </c>
      <c r="D142" s="2108" t="s">
        <v>787</v>
      </c>
      <c r="E142" s="2106" t="s">
        <v>835</v>
      </c>
      <c r="F142" s="2107"/>
      <c r="G142" s="2107"/>
      <c r="H142" s="2107"/>
      <c r="I142" s="2107"/>
      <c r="J142" s="355"/>
      <c r="K142" s="357">
        <v>10040000</v>
      </c>
      <c r="L142" s="355"/>
      <c r="M142" s="1677">
        <f t="shared" si="24"/>
        <v>10040000</v>
      </c>
      <c r="N142" s="1998"/>
      <c r="O142" s="357"/>
      <c r="P142" s="357"/>
      <c r="Q142" s="357"/>
      <c r="R142" s="357"/>
      <c r="S142" s="1985">
        <f t="shared" ref="S142:S143" si="30">+SUM(N142:R142)</f>
        <v>0</v>
      </c>
      <c r="T142" s="1986">
        <f t="shared" si="18"/>
        <v>10040000</v>
      </c>
      <c r="U142" s="813"/>
      <c r="V142" s="813"/>
      <c r="W142"/>
      <c r="X142"/>
      <c r="Y142"/>
      <c r="Z142"/>
      <c r="AA142"/>
      <c r="AB142"/>
      <c r="AC142"/>
    </row>
    <row r="143" spans="2:29" ht="21.75" customHeight="1">
      <c r="B143" s="1420"/>
      <c r="C143" s="1999" t="s">
        <v>1316</v>
      </c>
      <c r="D143" s="2108" t="s">
        <v>787</v>
      </c>
      <c r="E143" s="2106" t="s">
        <v>835</v>
      </c>
      <c r="F143" s="2107"/>
      <c r="G143" s="2107"/>
      <c r="H143" s="2107"/>
      <c r="I143" s="2107"/>
      <c r="J143" s="2019"/>
      <c r="K143" s="357">
        <f>6141912.5-3012146-3129766.5</f>
        <v>0</v>
      </c>
      <c r="L143" s="355"/>
      <c r="M143" s="1677">
        <f t="shared" si="24"/>
        <v>0</v>
      </c>
      <c r="N143" s="1998"/>
      <c r="O143" s="357">
        <f>5020146-146</f>
        <v>5020000</v>
      </c>
      <c r="P143" s="357"/>
      <c r="Q143" s="357"/>
      <c r="R143" s="2013"/>
      <c r="S143" s="1985">
        <f t="shared" si="30"/>
        <v>5020000</v>
      </c>
      <c r="T143" s="1986">
        <f t="shared" si="18"/>
        <v>5020000</v>
      </c>
      <c r="U143" s="813"/>
      <c r="V143" s="813"/>
      <c r="W143"/>
      <c r="X143"/>
      <c r="Y143"/>
      <c r="Z143"/>
      <c r="AA143"/>
      <c r="AB143"/>
      <c r="AC143"/>
    </row>
    <row r="144" spans="2:29" s="812" customFormat="1" ht="21.75" customHeight="1">
      <c r="B144" s="1423"/>
      <c r="C144" s="567" t="s">
        <v>845</v>
      </c>
      <c r="D144" s="2108" t="s">
        <v>787</v>
      </c>
      <c r="E144" s="2106" t="s">
        <v>835</v>
      </c>
      <c r="F144" s="2107"/>
      <c r="G144" s="2107"/>
      <c r="H144" s="2107"/>
      <c r="I144" s="2107"/>
      <c r="J144" s="355">
        <v>10040000</v>
      </c>
      <c r="K144" s="2155"/>
      <c r="L144" s="355"/>
      <c r="M144" s="1677">
        <f t="shared" si="24"/>
        <v>10040000</v>
      </c>
      <c r="N144" s="1655"/>
      <c r="O144" s="2243"/>
      <c r="P144" s="2107"/>
      <c r="Q144" s="2107"/>
      <c r="R144" s="1995"/>
      <c r="S144" s="1692">
        <f t="shared" si="25"/>
        <v>0</v>
      </c>
      <c r="T144" s="1706">
        <f t="shared" si="18"/>
        <v>10040000</v>
      </c>
      <c r="U144"/>
      <c r="V144"/>
      <c r="W144"/>
      <c r="X144"/>
      <c r="Y144"/>
      <c r="Z144"/>
      <c r="AA144"/>
      <c r="AB144"/>
      <c r="AC144"/>
    </row>
    <row r="145" spans="1:23" s="812" customFormat="1" ht="21.75" customHeight="1">
      <c r="B145" s="1423"/>
      <c r="C145" s="567" t="s">
        <v>846</v>
      </c>
      <c r="D145" s="2108" t="s">
        <v>787</v>
      </c>
      <c r="E145" s="2106" t="s">
        <v>835</v>
      </c>
      <c r="F145" s="2107"/>
      <c r="G145" s="2107"/>
      <c r="H145" s="2107"/>
      <c r="I145" s="2107"/>
      <c r="J145" s="355">
        <v>10040000</v>
      </c>
      <c r="K145" s="2155"/>
      <c r="L145" s="355"/>
      <c r="M145" s="1677">
        <f t="shared" si="24"/>
        <v>10040000</v>
      </c>
      <c r="N145" s="1655"/>
      <c r="O145" s="2243"/>
      <c r="P145" s="2107"/>
      <c r="Q145" s="2107"/>
      <c r="R145" s="1995"/>
      <c r="S145" s="1692">
        <f t="shared" si="25"/>
        <v>0</v>
      </c>
      <c r="T145" s="1706">
        <f t="shared" si="18"/>
        <v>10040000</v>
      </c>
    </row>
    <row r="146" spans="1:23" ht="21.75" customHeight="1">
      <c r="B146" s="1420"/>
      <c r="C146" s="1999" t="s">
        <v>861</v>
      </c>
      <c r="D146" s="2108" t="s">
        <v>787</v>
      </c>
      <c r="E146" s="2106" t="s">
        <v>835</v>
      </c>
      <c r="F146" s="2107"/>
      <c r="G146" s="2107"/>
      <c r="H146" s="2107"/>
      <c r="I146" s="2107"/>
      <c r="J146" s="355"/>
      <c r="K146" s="2155"/>
      <c r="L146" s="355"/>
      <c r="M146" s="1677">
        <f t="shared" si="24"/>
        <v>0</v>
      </c>
      <c r="N146" s="1998"/>
      <c r="O146" s="357">
        <f>10040000-1825704</f>
        <v>8214296</v>
      </c>
      <c r="P146" s="357"/>
      <c r="Q146" s="357"/>
      <c r="R146" s="357"/>
      <c r="S146" s="1985">
        <f t="shared" ref="S146:S147" si="31">+SUM(N146:R146)</f>
        <v>8214296</v>
      </c>
      <c r="T146" s="1986">
        <f t="shared" si="18"/>
        <v>8214296</v>
      </c>
    </row>
    <row r="147" spans="1:23" ht="21.75" customHeight="1">
      <c r="B147" s="1420"/>
      <c r="C147" s="1999" t="s">
        <v>862</v>
      </c>
      <c r="D147" s="2108" t="s">
        <v>787</v>
      </c>
      <c r="E147" s="2106" t="s">
        <v>835</v>
      </c>
      <c r="F147" s="2107"/>
      <c r="G147" s="2107"/>
      <c r="H147" s="2107"/>
      <c r="I147" s="2107"/>
      <c r="J147" s="355"/>
      <c r="K147" s="2155"/>
      <c r="L147" s="355"/>
      <c r="M147" s="1677">
        <f t="shared" si="24"/>
        <v>0</v>
      </c>
      <c r="N147" s="1998"/>
      <c r="O147" s="357">
        <f>10040000-1641761</f>
        <v>8398239</v>
      </c>
      <c r="P147" s="357"/>
      <c r="Q147" s="357"/>
      <c r="R147" s="357"/>
      <c r="S147" s="1985">
        <f t="shared" si="31"/>
        <v>8398239</v>
      </c>
      <c r="T147" s="1986">
        <f t="shared" si="18"/>
        <v>8398239</v>
      </c>
    </row>
    <row r="148" spans="1:23" s="812" customFormat="1" ht="33.75" customHeight="1">
      <c r="B148" s="1423"/>
      <c r="C148" s="567" t="s">
        <v>847</v>
      </c>
      <c r="D148" s="2108" t="s">
        <v>787</v>
      </c>
      <c r="E148" s="2106" t="s">
        <v>835</v>
      </c>
      <c r="F148" s="2107"/>
      <c r="G148" s="2107"/>
      <c r="H148" s="2107"/>
      <c r="I148" s="2107"/>
      <c r="J148" s="355">
        <v>10040000</v>
      </c>
      <c r="K148" s="2107"/>
      <c r="L148" s="355"/>
      <c r="M148" s="1677">
        <f t="shared" si="24"/>
        <v>10040000</v>
      </c>
      <c r="N148" s="1655"/>
      <c r="O148" s="2107"/>
      <c r="P148" s="2107"/>
      <c r="Q148" s="2107"/>
      <c r="R148" s="1995"/>
      <c r="S148" s="1692">
        <f t="shared" si="25"/>
        <v>0</v>
      </c>
      <c r="T148" s="1706">
        <f t="shared" si="18"/>
        <v>10040000</v>
      </c>
    </row>
    <row r="149" spans="1:23" s="812" customFormat="1" ht="21.75" customHeight="1">
      <c r="B149" s="1423"/>
      <c r="C149" s="567" t="s">
        <v>815</v>
      </c>
      <c r="D149" s="2108" t="s">
        <v>235</v>
      </c>
      <c r="E149" s="2106">
        <v>82120</v>
      </c>
      <c r="F149" s="2107"/>
      <c r="G149" s="2107">
        <v>3.5</v>
      </c>
      <c r="H149" s="2107"/>
      <c r="I149" s="2107"/>
      <c r="J149" s="355">
        <v>23192400.2252976</v>
      </c>
      <c r="K149" s="2107"/>
      <c r="L149" s="355"/>
      <c r="M149" s="1677">
        <f t="shared" si="24"/>
        <v>23192400.2252976</v>
      </c>
      <c r="N149" s="1655"/>
      <c r="O149" s="2107"/>
      <c r="P149" s="2107"/>
      <c r="Q149" s="2107"/>
      <c r="R149" s="1995"/>
      <c r="S149" s="1692">
        <f t="shared" si="25"/>
        <v>0</v>
      </c>
      <c r="T149" s="1706">
        <f t="shared" si="18"/>
        <v>23192400.2252976</v>
      </c>
    </row>
    <row r="150" spans="1:23" ht="21.75" customHeight="1">
      <c r="B150" s="1420"/>
      <c r="C150" s="1999" t="s">
        <v>1224</v>
      </c>
      <c r="D150" s="2108" t="s">
        <v>787</v>
      </c>
      <c r="E150" s="2106" t="s">
        <v>835</v>
      </c>
      <c r="F150" s="2107"/>
      <c r="G150" s="2107"/>
      <c r="H150" s="2107"/>
      <c r="I150" s="2107"/>
      <c r="J150" s="355"/>
      <c r="K150" s="2107"/>
      <c r="L150" s="355"/>
      <c r="M150" s="1677">
        <f t="shared" si="24"/>
        <v>0</v>
      </c>
      <c r="N150" s="1998"/>
      <c r="O150" s="357">
        <f>15060000-5433032-1133931</f>
        <v>8493037</v>
      </c>
      <c r="P150" s="357"/>
      <c r="Q150" s="357"/>
      <c r="R150" s="357"/>
      <c r="S150" s="1985">
        <f t="shared" ref="S150" si="32">+SUM(N150:R150)</f>
        <v>8493037</v>
      </c>
      <c r="T150" s="1986">
        <f t="shared" si="18"/>
        <v>8493037</v>
      </c>
    </row>
    <row r="151" spans="1:23" ht="38.25">
      <c r="A151" s="1053"/>
      <c r="B151" s="1419" t="s">
        <v>1033</v>
      </c>
      <c r="C151" s="786" t="s">
        <v>449</v>
      </c>
      <c r="D151" s="352"/>
      <c r="E151" s="352"/>
      <c r="F151" s="642" t="s">
        <v>214</v>
      </c>
      <c r="G151" s="642">
        <v>80</v>
      </c>
      <c r="H151" s="352"/>
      <c r="I151" s="352">
        <f t="shared" ref="I151:S151" si="33">SUM(I152:I160)</f>
        <v>0</v>
      </c>
      <c r="J151" s="352">
        <f t="shared" si="33"/>
        <v>0</v>
      </c>
      <c r="K151" s="354">
        <f t="shared" si="33"/>
        <v>21230438.919999998</v>
      </c>
      <c r="L151" s="354">
        <f t="shared" si="33"/>
        <v>0</v>
      </c>
      <c r="M151" s="1679">
        <f t="shared" si="33"/>
        <v>21230438.919999998</v>
      </c>
      <c r="N151" s="1667">
        <f t="shared" si="33"/>
        <v>0</v>
      </c>
      <c r="O151" s="352">
        <f t="shared" si="33"/>
        <v>0</v>
      </c>
      <c r="P151" s="352">
        <f t="shared" si="33"/>
        <v>0</v>
      </c>
      <c r="Q151" s="352">
        <f t="shared" si="33"/>
        <v>0</v>
      </c>
      <c r="R151" s="2015">
        <f t="shared" si="33"/>
        <v>15765783</v>
      </c>
      <c r="S151" s="1694">
        <f t="shared" si="33"/>
        <v>15765783</v>
      </c>
      <c r="T151" s="1708">
        <f t="shared" si="18"/>
        <v>36996221.920000002</v>
      </c>
    </row>
    <row r="152" spans="1:23" s="812" customFormat="1" ht="15">
      <c r="B152" s="1423"/>
      <c r="C152" s="567" t="s">
        <v>848</v>
      </c>
      <c r="D152" s="568" t="s">
        <v>568</v>
      </c>
      <c r="E152" s="568" t="s">
        <v>849</v>
      </c>
      <c r="F152" s="811"/>
      <c r="G152" s="811"/>
      <c r="H152" s="811"/>
      <c r="I152" s="811"/>
      <c r="J152" s="2107"/>
      <c r="K152" s="355"/>
      <c r="L152" s="2195"/>
      <c r="M152" s="1677">
        <f>+SUM(I152:L152)</f>
        <v>0</v>
      </c>
      <c r="N152" s="1655"/>
      <c r="O152" s="2195"/>
      <c r="P152" s="2195"/>
      <c r="Q152" s="2195"/>
      <c r="R152" s="1463">
        <v>7882891.5</v>
      </c>
      <c r="S152" s="1692">
        <f t="shared" si="25"/>
        <v>7882891.5</v>
      </c>
      <c r="T152" s="1706">
        <f t="shared" si="18"/>
        <v>7882891.5</v>
      </c>
      <c r="U152"/>
      <c r="V152"/>
      <c r="W152"/>
    </row>
    <row r="153" spans="1:23" s="812" customFormat="1" ht="15">
      <c r="B153" s="1423"/>
      <c r="C153" s="567" t="s">
        <v>850</v>
      </c>
      <c r="D153" s="568" t="s">
        <v>568</v>
      </c>
      <c r="E153" s="568" t="s">
        <v>849</v>
      </c>
      <c r="F153" s="811"/>
      <c r="G153" s="811">
        <v>4.5</v>
      </c>
      <c r="H153" s="811"/>
      <c r="I153" s="811"/>
      <c r="J153" s="2107"/>
      <c r="K153" s="355">
        <f>4685146.24-1814509.24</f>
        <v>2870637</v>
      </c>
      <c r="L153" s="355"/>
      <c r="M153" s="1677">
        <f t="shared" ref="M153:M160" si="34">+SUM(I153:L153)</f>
        <v>2870637</v>
      </c>
      <c r="N153" s="1655"/>
      <c r="O153" s="2195"/>
      <c r="P153" s="2195"/>
      <c r="Q153" s="2195"/>
      <c r="R153" s="1463"/>
      <c r="S153" s="1692">
        <f t="shared" si="25"/>
        <v>0</v>
      </c>
      <c r="T153" s="1706">
        <f t="shared" si="18"/>
        <v>2870637</v>
      </c>
      <c r="U153"/>
      <c r="V153"/>
      <c r="W153"/>
    </row>
    <row r="154" spans="1:23" s="812" customFormat="1" ht="15">
      <c r="B154" s="1423"/>
      <c r="C154" s="567" t="s">
        <v>851</v>
      </c>
      <c r="D154" s="568" t="s">
        <v>568</v>
      </c>
      <c r="E154" s="568" t="s">
        <v>849</v>
      </c>
      <c r="F154" s="811"/>
      <c r="G154" s="811">
        <v>5</v>
      </c>
      <c r="H154" s="811"/>
      <c r="I154" s="811"/>
      <c r="J154" s="2107"/>
      <c r="K154" s="355">
        <f>5761273.6-1076273.6</f>
        <v>4685000</v>
      </c>
      <c r="L154" s="355"/>
      <c r="M154" s="1677">
        <f t="shared" si="34"/>
        <v>4685000</v>
      </c>
      <c r="N154" s="1655"/>
      <c r="O154" s="2195"/>
      <c r="P154" s="2195"/>
      <c r="Q154" s="2195"/>
      <c r="R154" s="1463"/>
      <c r="S154" s="1692">
        <f t="shared" si="25"/>
        <v>0</v>
      </c>
      <c r="T154" s="2174">
        <f t="shared" si="18"/>
        <v>4685000</v>
      </c>
      <c r="U154"/>
      <c r="V154"/>
      <c r="W154"/>
    </row>
    <row r="155" spans="1:23" s="812" customFormat="1" ht="15">
      <c r="B155" s="1423"/>
      <c r="C155" s="567" t="s">
        <v>852</v>
      </c>
      <c r="D155" s="568" t="s">
        <v>568</v>
      </c>
      <c r="E155" s="568" t="s">
        <v>849</v>
      </c>
      <c r="F155" s="811"/>
      <c r="G155" s="811">
        <v>5</v>
      </c>
      <c r="H155" s="811"/>
      <c r="I155" s="811"/>
      <c r="J155" s="2107"/>
      <c r="K155" s="355">
        <f>5761273.6-1076127.36</f>
        <v>4685146.2399999993</v>
      </c>
      <c r="L155" s="355"/>
      <c r="M155" s="1677">
        <f t="shared" si="34"/>
        <v>4685146.2399999993</v>
      </c>
      <c r="N155" s="1655"/>
      <c r="O155" s="1995"/>
      <c r="P155" s="1995"/>
      <c r="Q155" s="1995"/>
      <c r="R155" s="1463"/>
      <c r="S155" s="1692">
        <f t="shared" si="25"/>
        <v>0</v>
      </c>
      <c r="T155" s="1706">
        <f t="shared" si="18"/>
        <v>4685146.2399999993</v>
      </c>
      <c r="U155"/>
      <c r="V155"/>
      <c r="W155"/>
    </row>
    <row r="156" spans="1:23" s="812" customFormat="1" ht="15">
      <c r="B156" s="1423"/>
      <c r="C156" s="567" t="s">
        <v>853</v>
      </c>
      <c r="D156" s="568" t="s">
        <v>568</v>
      </c>
      <c r="E156" s="568" t="s">
        <v>849</v>
      </c>
      <c r="F156" s="811"/>
      <c r="G156" s="811">
        <v>5.5</v>
      </c>
      <c r="H156" s="811"/>
      <c r="I156" s="811"/>
      <c r="J156" s="2107"/>
      <c r="K156" s="355">
        <f>6837400.96-2532891.52</f>
        <v>4304509.4399999995</v>
      </c>
      <c r="L156" s="355"/>
      <c r="M156" s="1677">
        <f t="shared" si="34"/>
        <v>4304509.4399999995</v>
      </c>
      <c r="N156" s="1655"/>
      <c r="O156" s="1995"/>
      <c r="P156" s="1995"/>
      <c r="Q156" s="1995"/>
      <c r="R156" s="1463"/>
      <c r="S156" s="1692">
        <f t="shared" si="25"/>
        <v>0</v>
      </c>
      <c r="T156" s="1706">
        <f t="shared" si="18"/>
        <v>4304509.4399999995</v>
      </c>
      <c r="U156"/>
      <c r="V156"/>
      <c r="W156"/>
    </row>
    <row r="157" spans="1:23" s="812" customFormat="1" ht="15">
      <c r="B157" s="1423"/>
      <c r="C157" s="567" t="s">
        <v>854</v>
      </c>
      <c r="D157" s="568" t="s">
        <v>568</v>
      </c>
      <c r="E157" s="568" t="s">
        <v>849</v>
      </c>
      <c r="F157" s="811"/>
      <c r="G157" s="811">
        <v>5</v>
      </c>
      <c r="H157" s="811"/>
      <c r="I157" s="811"/>
      <c r="J157" s="2107"/>
      <c r="K157" s="355">
        <f>6837400.96-3766445-(6837400.96-3766445)</f>
        <v>0</v>
      </c>
      <c r="L157" s="355"/>
      <c r="M157" s="1677">
        <f t="shared" si="34"/>
        <v>0</v>
      </c>
      <c r="N157" s="1655"/>
      <c r="O157" s="1995"/>
      <c r="P157" s="1995"/>
      <c r="Q157" s="1995"/>
      <c r="R157" s="1463"/>
      <c r="S157" s="1692">
        <f t="shared" si="25"/>
        <v>0</v>
      </c>
      <c r="T157" s="1706">
        <f t="shared" si="18"/>
        <v>0</v>
      </c>
      <c r="U157"/>
      <c r="V157"/>
      <c r="W157"/>
    </row>
    <row r="158" spans="1:23" s="812" customFormat="1" ht="15">
      <c r="B158" s="1423"/>
      <c r="C158" s="567" t="s">
        <v>855</v>
      </c>
      <c r="D158" s="568" t="s">
        <v>568</v>
      </c>
      <c r="E158" s="568" t="s">
        <v>849</v>
      </c>
      <c r="F158" s="811"/>
      <c r="G158" s="811">
        <v>4.5</v>
      </c>
      <c r="H158" s="811"/>
      <c r="I158" s="811"/>
      <c r="J158" s="2107"/>
      <c r="K158" s="355">
        <v>4685146.24</v>
      </c>
      <c r="L158" s="1995"/>
      <c r="M158" s="1677">
        <f t="shared" si="34"/>
        <v>4685146.24</v>
      </c>
      <c r="N158" s="1655"/>
      <c r="O158" s="1995"/>
      <c r="P158" s="1995"/>
      <c r="Q158" s="1995"/>
      <c r="R158" s="1463"/>
      <c r="S158" s="1692">
        <f t="shared" si="25"/>
        <v>0</v>
      </c>
      <c r="T158" s="1706">
        <f t="shared" si="18"/>
        <v>4685146.24</v>
      </c>
      <c r="U158"/>
      <c r="V158"/>
      <c r="W158"/>
    </row>
    <row r="159" spans="1:23" s="812" customFormat="1" ht="15">
      <c r="B159" s="1423"/>
      <c r="C159" s="567" t="s">
        <v>856</v>
      </c>
      <c r="D159" s="568" t="s">
        <v>568</v>
      </c>
      <c r="E159" s="568" t="s">
        <v>849</v>
      </c>
      <c r="F159" s="811"/>
      <c r="G159" s="811"/>
      <c r="H159" s="811"/>
      <c r="I159" s="811"/>
      <c r="J159" s="1995"/>
      <c r="K159" s="355"/>
      <c r="L159" s="1995"/>
      <c r="M159" s="1677">
        <f t="shared" si="34"/>
        <v>0</v>
      </c>
      <c r="N159" s="1655"/>
      <c r="O159" s="1995"/>
      <c r="P159" s="1995"/>
      <c r="Q159" s="1995"/>
      <c r="R159" s="1463">
        <v>7882891.5</v>
      </c>
      <c r="S159" s="1692">
        <f t="shared" si="25"/>
        <v>7882891.5</v>
      </c>
      <c r="T159" s="1706">
        <f t="shared" ref="T159:T227" si="35">+S159+M159</f>
        <v>7882891.5</v>
      </c>
      <c r="U159"/>
      <c r="V159"/>
      <c r="W159"/>
    </row>
    <row r="160" spans="1:23" s="812" customFormat="1" ht="20.25" customHeight="1" thickBot="1">
      <c r="B160" s="1423"/>
      <c r="C160" s="567"/>
      <c r="D160" s="568"/>
      <c r="E160" s="568"/>
      <c r="F160" s="811"/>
      <c r="G160" s="811"/>
      <c r="H160" s="811"/>
      <c r="I160" s="811"/>
      <c r="J160" s="1995"/>
      <c r="K160" s="355"/>
      <c r="L160" s="1995"/>
      <c r="M160" s="1677">
        <f t="shared" si="34"/>
        <v>0</v>
      </c>
      <c r="N160" s="1655"/>
      <c r="O160" s="1995"/>
      <c r="P160" s="1995"/>
      <c r="Q160" s="1995"/>
      <c r="R160" s="1463"/>
      <c r="S160" s="1692">
        <f t="shared" si="25"/>
        <v>0</v>
      </c>
      <c r="T160" s="1706">
        <f t="shared" si="35"/>
        <v>0</v>
      </c>
      <c r="U160"/>
      <c r="V160"/>
      <c r="W160"/>
    </row>
    <row r="161" spans="1:23" s="255" customFormat="1" ht="37.5" customHeight="1" thickBot="1">
      <c r="A161" s="1053">
        <v>110</v>
      </c>
      <c r="B161" s="1419"/>
      <c r="C161" s="788" t="s">
        <v>52</v>
      </c>
      <c r="D161" s="648"/>
      <c r="E161" s="648"/>
      <c r="F161" s="649" t="s">
        <v>214</v>
      </c>
      <c r="G161" s="649">
        <v>35</v>
      </c>
      <c r="H161" s="649"/>
      <c r="I161" s="647">
        <f t="shared" ref="I161:S161" si="36">+I162+I198</f>
        <v>2000000.4299999503</v>
      </c>
      <c r="J161" s="647">
        <f t="shared" si="36"/>
        <v>507565802.99225748</v>
      </c>
      <c r="K161" s="647">
        <f t="shared" si="36"/>
        <v>67542334.16270341</v>
      </c>
      <c r="L161" s="647">
        <f t="shared" si="36"/>
        <v>0</v>
      </c>
      <c r="M161" s="1680">
        <f t="shared" si="36"/>
        <v>577108137.58496094</v>
      </c>
      <c r="N161" s="1658">
        <f t="shared" si="36"/>
        <v>19602728</v>
      </c>
      <c r="O161" s="647">
        <f t="shared" si="36"/>
        <v>40497491.278367899</v>
      </c>
      <c r="P161" s="647">
        <f t="shared" si="36"/>
        <v>0</v>
      </c>
      <c r="Q161" s="647">
        <f t="shared" si="36"/>
        <v>0</v>
      </c>
      <c r="R161" s="647">
        <f t="shared" si="36"/>
        <v>15765783</v>
      </c>
      <c r="S161" s="1695">
        <f t="shared" si="36"/>
        <v>75866002.278367907</v>
      </c>
      <c r="T161" s="1709">
        <f t="shared" si="35"/>
        <v>652974139.86332881</v>
      </c>
      <c r="U161"/>
      <c r="V161"/>
      <c r="W161"/>
    </row>
    <row r="162" spans="1:23" s="255" customFormat="1" ht="25.5">
      <c r="A162" s="1053"/>
      <c r="B162" s="1419" t="s">
        <v>1034</v>
      </c>
      <c r="C162" s="784" t="s">
        <v>261</v>
      </c>
      <c r="D162" s="641"/>
      <c r="E162" s="641"/>
      <c r="F162" s="642" t="s">
        <v>214</v>
      </c>
      <c r="G162" s="642">
        <v>35</v>
      </c>
      <c r="H162" s="642"/>
      <c r="I162" s="643">
        <f t="shared" ref="I162:S162" si="37">SUM(I163:I197)</f>
        <v>2000000.4299999503</v>
      </c>
      <c r="J162" s="643">
        <f t="shared" si="37"/>
        <v>507565802.99225748</v>
      </c>
      <c r="K162" s="643">
        <f t="shared" si="37"/>
        <v>46635618.442703411</v>
      </c>
      <c r="L162" s="643">
        <f t="shared" si="37"/>
        <v>0</v>
      </c>
      <c r="M162" s="1675">
        <f t="shared" si="37"/>
        <v>556201421.86496091</v>
      </c>
      <c r="N162" s="1659">
        <f t="shared" si="37"/>
        <v>19602728</v>
      </c>
      <c r="O162" s="643">
        <f t="shared" si="37"/>
        <v>40497491.278367899</v>
      </c>
      <c r="P162" s="643">
        <f t="shared" si="37"/>
        <v>0</v>
      </c>
      <c r="Q162" s="643">
        <f t="shared" si="37"/>
        <v>0</v>
      </c>
      <c r="R162" s="643">
        <f t="shared" si="37"/>
        <v>0</v>
      </c>
      <c r="S162" s="1691">
        <f t="shared" si="37"/>
        <v>60100219.278367899</v>
      </c>
      <c r="T162" s="1705">
        <f t="shared" si="35"/>
        <v>616301641.14332879</v>
      </c>
      <c r="U162"/>
      <c r="V162"/>
      <c r="W162"/>
    </row>
    <row r="163" spans="1:23" s="812" customFormat="1" ht="18.75" customHeight="1">
      <c r="B163" s="1423"/>
      <c r="C163" s="567" t="s">
        <v>834</v>
      </c>
      <c r="D163" s="2128" t="s">
        <v>787</v>
      </c>
      <c r="E163" s="2128" t="s">
        <v>835</v>
      </c>
      <c r="F163" s="2127"/>
      <c r="G163" s="2127">
        <v>11</v>
      </c>
      <c r="H163" s="2127"/>
      <c r="I163" s="2127"/>
      <c r="J163" s="273">
        <v>46406573.141759999</v>
      </c>
      <c r="K163" s="2127"/>
      <c r="L163" s="2127"/>
      <c r="M163" s="1677">
        <f t="shared" ref="M163:M197" si="38">+SUM(I163:L163)</f>
        <v>46406573.141759999</v>
      </c>
      <c r="N163" s="1655"/>
      <c r="O163" s="1564"/>
      <c r="P163" s="1564"/>
      <c r="Q163" s="1564"/>
      <c r="R163" s="1564"/>
      <c r="S163" s="1692">
        <f t="shared" ref="S163:S207" si="39">+SUM(N163:R163)</f>
        <v>0</v>
      </c>
      <c r="T163" s="1706">
        <f t="shared" si="35"/>
        <v>46406573.141759999</v>
      </c>
      <c r="U163"/>
      <c r="V163"/>
      <c r="W163"/>
    </row>
    <row r="164" spans="1:23" s="812" customFormat="1" ht="18.75" customHeight="1">
      <c r="B164" s="1423"/>
      <c r="C164" s="567" t="s">
        <v>836</v>
      </c>
      <c r="D164" s="2128" t="s">
        <v>787</v>
      </c>
      <c r="E164" s="2128" t="s">
        <v>835</v>
      </c>
      <c r="F164" s="2127"/>
      <c r="G164" s="2127">
        <v>11</v>
      </c>
      <c r="H164" s="2127"/>
      <c r="I164" s="2127"/>
      <c r="J164" s="273">
        <v>46406573.141759999</v>
      </c>
      <c r="K164" s="2127"/>
      <c r="L164" s="2127"/>
      <c r="M164" s="1677">
        <f t="shared" si="38"/>
        <v>46406573.141759999</v>
      </c>
      <c r="N164" s="1655"/>
      <c r="O164" s="1564"/>
      <c r="P164" s="1564"/>
      <c r="Q164" s="1564"/>
      <c r="R164" s="1564"/>
      <c r="S164" s="1692">
        <f t="shared" si="39"/>
        <v>0</v>
      </c>
      <c r="T164" s="1706">
        <f t="shared" si="35"/>
        <v>46406573.141759999</v>
      </c>
      <c r="U164"/>
      <c r="V164"/>
      <c r="W164"/>
    </row>
    <row r="165" spans="1:23" s="812" customFormat="1" ht="18.75" customHeight="1">
      <c r="B165" s="1423"/>
      <c r="C165" s="567" t="s">
        <v>837</v>
      </c>
      <c r="D165" s="2128" t="s">
        <v>787</v>
      </c>
      <c r="E165" s="2128" t="s">
        <v>835</v>
      </c>
      <c r="F165" s="2127"/>
      <c r="G165" s="2127">
        <v>11</v>
      </c>
      <c r="H165" s="2127"/>
      <c r="I165" s="2127"/>
      <c r="J165" s="273">
        <f>38961976.59584-31188711.59584</f>
        <v>7773265</v>
      </c>
      <c r="K165" s="357"/>
      <c r="L165" s="2127"/>
      <c r="M165" s="1677">
        <f t="shared" si="38"/>
        <v>7773265</v>
      </c>
      <c r="N165" s="1655"/>
      <c r="O165" s="1564"/>
      <c r="P165" s="1564"/>
      <c r="Q165" s="1564"/>
      <c r="R165" s="1564"/>
      <c r="S165" s="1692">
        <f t="shared" si="39"/>
        <v>0</v>
      </c>
      <c r="T165" s="2007">
        <f t="shared" si="35"/>
        <v>7773265</v>
      </c>
      <c r="U165"/>
      <c r="V165"/>
      <c r="W165"/>
    </row>
    <row r="166" spans="1:23" s="812" customFormat="1" ht="18.75" customHeight="1">
      <c r="B166" s="1423"/>
      <c r="C166" s="567" t="s">
        <v>837</v>
      </c>
      <c r="D166" s="2128" t="s">
        <v>787</v>
      </c>
      <c r="E166" s="2128" t="s">
        <v>835</v>
      </c>
      <c r="F166" s="2127"/>
      <c r="G166" s="2127">
        <v>11</v>
      </c>
      <c r="H166" s="2127"/>
      <c r="I166" s="2127"/>
      <c r="J166" s="273">
        <v>25800922.52</v>
      </c>
      <c r="K166" s="357"/>
      <c r="L166" s="2127"/>
      <c r="M166" s="1677">
        <f t="shared" si="38"/>
        <v>25800922.52</v>
      </c>
      <c r="N166" s="1655"/>
      <c r="O166" s="2115"/>
      <c r="P166" s="2115"/>
      <c r="Q166" s="2115"/>
      <c r="R166" s="2115"/>
      <c r="S166" s="1692"/>
      <c r="T166" s="1706">
        <f t="shared" si="35"/>
        <v>25800922.52</v>
      </c>
      <c r="U166"/>
      <c r="V166"/>
      <c r="W166"/>
    </row>
    <row r="167" spans="1:23" s="812" customFormat="1" ht="18.75" customHeight="1">
      <c r="B167" s="1423"/>
      <c r="C167" s="567" t="s">
        <v>838</v>
      </c>
      <c r="D167" s="2128" t="s">
        <v>787</v>
      </c>
      <c r="E167" s="2128" t="s">
        <v>835</v>
      </c>
      <c r="F167" s="2127"/>
      <c r="G167" s="2127">
        <v>11</v>
      </c>
      <c r="H167" s="2127"/>
      <c r="I167" s="2127"/>
      <c r="J167" s="273">
        <v>38961976.59584</v>
      </c>
      <c r="K167" s="357"/>
      <c r="L167" s="2127"/>
      <c r="M167" s="1677">
        <f t="shared" si="38"/>
        <v>38961976.59584</v>
      </c>
      <c r="N167" s="1655"/>
      <c r="O167" s="1995"/>
      <c r="P167" s="1995"/>
      <c r="Q167" s="1995"/>
      <c r="R167" s="1564"/>
      <c r="S167" s="1692">
        <f t="shared" si="39"/>
        <v>0</v>
      </c>
      <c r="T167" s="1706">
        <f t="shared" si="35"/>
        <v>38961976.59584</v>
      </c>
      <c r="U167"/>
      <c r="V167"/>
      <c r="W167"/>
    </row>
    <row r="168" spans="1:23" s="812" customFormat="1" ht="18.75" customHeight="1">
      <c r="B168" s="1423"/>
      <c r="C168" s="567" t="s">
        <v>839</v>
      </c>
      <c r="D168" s="2128" t="s">
        <v>787</v>
      </c>
      <c r="E168" s="2128" t="s">
        <v>835</v>
      </c>
      <c r="F168" s="2127"/>
      <c r="G168" s="2127">
        <v>11</v>
      </c>
      <c r="H168" s="2127"/>
      <c r="I168" s="2127"/>
      <c r="J168" s="273">
        <v>38961976.59584</v>
      </c>
      <c r="K168" s="2127"/>
      <c r="L168" s="2127"/>
      <c r="M168" s="1677">
        <f t="shared" si="38"/>
        <v>38961976.59584</v>
      </c>
      <c r="N168" s="1655"/>
      <c r="O168" s="1995"/>
      <c r="P168" s="1995"/>
      <c r="Q168" s="1995"/>
      <c r="R168" s="1564"/>
      <c r="S168" s="1692">
        <f t="shared" si="39"/>
        <v>0</v>
      </c>
      <c r="T168" s="1706">
        <f t="shared" si="35"/>
        <v>38961976.59584</v>
      </c>
      <c r="U168"/>
      <c r="V168"/>
      <c r="W168"/>
    </row>
    <row r="169" spans="1:23" s="812" customFormat="1" ht="18.75" customHeight="1">
      <c r="B169" s="1423"/>
      <c r="C169" s="567" t="s">
        <v>840</v>
      </c>
      <c r="D169" s="2128" t="s">
        <v>787</v>
      </c>
      <c r="E169" s="2128" t="s">
        <v>835</v>
      </c>
      <c r="F169" s="2127"/>
      <c r="G169" s="2127">
        <v>11</v>
      </c>
      <c r="H169" s="2127"/>
      <c r="I169" s="2127"/>
      <c r="J169" s="273">
        <v>30160000</v>
      </c>
      <c r="K169" s="2127"/>
      <c r="L169" s="2127"/>
      <c r="M169" s="1677">
        <f t="shared" si="38"/>
        <v>30160000</v>
      </c>
      <c r="N169" s="1655"/>
      <c r="O169" s="1995"/>
      <c r="P169" s="1995"/>
      <c r="Q169" s="1995"/>
      <c r="R169" s="1564"/>
      <c r="S169" s="1692">
        <f t="shared" si="39"/>
        <v>0</v>
      </c>
      <c r="T169" s="1706">
        <f t="shared" si="35"/>
        <v>30160000</v>
      </c>
      <c r="U169"/>
      <c r="V169"/>
      <c r="W169"/>
    </row>
    <row r="170" spans="1:23" s="812" customFormat="1" ht="18.75" customHeight="1">
      <c r="B170" s="1423"/>
      <c r="C170" s="567" t="s">
        <v>857</v>
      </c>
      <c r="D170" s="2128" t="s">
        <v>787</v>
      </c>
      <c r="E170" s="2128" t="s">
        <v>835</v>
      </c>
      <c r="F170" s="2127"/>
      <c r="G170" s="2127"/>
      <c r="H170" s="2127"/>
      <c r="I170" s="2127"/>
      <c r="J170" s="273"/>
      <c r="K170" s="2127">
        <v>10223941</v>
      </c>
      <c r="L170" s="2127"/>
      <c r="M170" s="1677">
        <f t="shared" si="38"/>
        <v>10223941</v>
      </c>
      <c r="N170" s="1655"/>
      <c r="O170" s="1567">
        <f>25559852-20263940.8</f>
        <v>5295911.1999999993</v>
      </c>
      <c r="P170" s="1995"/>
      <c r="Q170" s="1995"/>
      <c r="R170" s="1564"/>
      <c r="S170" s="1692">
        <f t="shared" si="39"/>
        <v>5295911.1999999993</v>
      </c>
      <c r="T170" s="1706">
        <f t="shared" si="35"/>
        <v>15519852.199999999</v>
      </c>
      <c r="U170"/>
      <c r="V170"/>
      <c r="W170"/>
    </row>
    <row r="171" spans="1:23" s="812" customFormat="1" ht="18.75" customHeight="1">
      <c r="B171" s="1423"/>
      <c r="C171" s="567" t="s">
        <v>858</v>
      </c>
      <c r="D171" s="2128" t="s">
        <v>787</v>
      </c>
      <c r="E171" s="2128" t="s">
        <v>835</v>
      </c>
      <c r="F171" s="2127"/>
      <c r="G171" s="2127"/>
      <c r="H171" s="2127"/>
      <c r="I171" s="2127"/>
      <c r="J171" s="273">
        <v>3896246.0210713102</v>
      </c>
      <c r="K171" s="2127">
        <f>3896246.02107131-3896246.02107131</f>
        <v>0</v>
      </c>
      <c r="L171" s="2127"/>
      <c r="M171" s="1677">
        <f t="shared" si="38"/>
        <v>3896246.0210713102</v>
      </c>
      <c r="N171" s="1655"/>
      <c r="O171" s="1995"/>
      <c r="P171" s="1995"/>
      <c r="Q171" s="1995"/>
      <c r="R171" s="1564"/>
      <c r="S171" s="1692">
        <f t="shared" si="39"/>
        <v>0</v>
      </c>
      <c r="T171" s="2173">
        <f t="shared" si="35"/>
        <v>3896246.0210713102</v>
      </c>
      <c r="U171"/>
      <c r="V171"/>
      <c r="W171"/>
    </row>
    <row r="172" spans="1:23" s="812" customFormat="1" ht="30.75" customHeight="1">
      <c r="B172" s="1423"/>
      <c r="C172" s="567" t="s">
        <v>841</v>
      </c>
      <c r="D172" s="2128" t="s">
        <v>787</v>
      </c>
      <c r="E172" s="2128" t="s">
        <v>835</v>
      </c>
      <c r="F172" s="2127"/>
      <c r="G172" s="2127"/>
      <c r="H172" s="2127"/>
      <c r="I172" s="2127"/>
      <c r="J172" s="273"/>
      <c r="K172" s="2127"/>
      <c r="L172" s="2127"/>
      <c r="M172" s="1677">
        <f t="shared" si="38"/>
        <v>0</v>
      </c>
      <c r="N172" s="1655"/>
      <c r="O172" s="1995"/>
      <c r="P172" s="1995"/>
      <c r="Q172" s="1995"/>
      <c r="R172" s="1564"/>
      <c r="S172" s="1692">
        <f t="shared" si="39"/>
        <v>0</v>
      </c>
      <c r="T172" s="1706">
        <f t="shared" si="35"/>
        <v>0</v>
      </c>
      <c r="U172"/>
      <c r="V172"/>
      <c r="W172"/>
    </row>
    <row r="173" spans="1:23" s="812" customFormat="1" ht="18.75" customHeight="1">
      <c r="B173" s="1423"/>
      <c r="C173" s="567" t="s">
        <v>843</v>
      </c>
      <c r="D173" s="2128" t="s">
        <v>787</v>
      </c>
      <c r="E173" s="2128" t="s">
        <v>835</v>
      </c>
      <c r="F173" s="2127"/>
      <c r="G173" s="2127">
        <v>11</v>
      </c>
      <c r="H173" s="2127"/>
      <c r="I173" s="2127"/>
      <c r="J173" s="273">
        <f>30125637-1825821-1825711.61952-1825733.70048</f>
        <v>24648370.68</v>
      </c>
      <c r="K173" s="2127"/>
      <c r="L173" s="2127"/>
      <c r="M173" s="1677">
        <f t="shared" si="38"/>
        <v>24648370.68</v>
      </c>
      <c r="N173" s="1655"/>
      <c r="O173" s="1995"/>
      <c r="P173" s="1995"/>
      <c r="Q173" s="1995"/>
      <c r="R173" s="1564"/>
      <c r="S173" s="1692">
        <f t="shared" si="39"/>
        <v>0</v>
      </c>
      <c r="T173" s="1706">
        <f t="shared" si="35"/>
        <v>24648370.68</v>
      </c>
      <c r="U173"/>
      <c r="V173"/>
      <c r="W173"/>
    </row>
    <row r="174" spans="1:23" s="812" customFormat="1" ht="18.75" customHeight="1">
      <c r="B174" s="1423"/>
      <c r="C174" s="567" t="s">
        <v>844</v>
      </c>
      <c r="D174" s="2128" t="s">
        <v>787</v>
      </c>
      <c r="E174" s="2128" t="s">
        <v>835</v>
      </c>
      <c r="F174" s="2127"/>
      <c r="G174" s="2127"/>
      <c r="H174" s="2127"/>
      <c r="I174" s="2127"/>
      <c r="J174" s="273">
        <v>10223941</v>
      </c>
      <c r="K174" s="2127"/>
      <c r="L174" s="2127"/>
      <c r="M174" s="1677">
        <f t="shared" si="38"/>
        <v>10223941</v>
      </c>
      <c r="N174" s="1655"/>
      <c r="O174" s="1567">
        <f>25559852-20263940.8</f>
        <v>5295911.1999999993</v>
      </c>
      <c r="P174" s="1995"/>
      <c r="Q174" s="1995"/>
      <c r="R174" s="1564"/>
      <c r="S174" s="1692">
        <f t="shared" si="39"/>
        <v>5295911.1999999993</v>
      </c>
      <c r="T174" s="1706">
        <f t="shared" si="35"/>
        <v>15519852.199999999</v>
      </c>
      <c r="U174"/>
      <c r="V174"/>
      <c r="W174"/>
    </row>
    <row r="175" spans="1:23" s="812" customFormat="1" ht="18.75" customHeight="1">
      <c r="B175" s="1423"/>
      <c r="C175" s="567" t="s">
        <v>859</v>
      </c>
      <c r="D175" s="2128" t="s">
        <v>787</v>
      </c>
      <c r="E175" s="2128" t="s">
        <v>835</v>
      </c>
      <c r="F175" s="2127"/>
      <c r="G175" s="2127">
        <v>11</v>
      </c>
      <c r="H175" s="2127"/>
      <c r="I175" s="2127"/>
      <c r="J175" s="273">
        <f>32862703-4562887+8214294-28634240</f>
        <v>7879870</v>
      </c>
      <c r="K175" s="357"/>
      <c r="L175" s="2127"/>
      <c r="M175" s="1677">
        <f t="shared" si="38"/>
        <v>7879870</v>
      </c>
      <c r="N175" s="1655"/>
      <c r="O175" s="1995"/>
      <c r="P175" s="1995"/>
      <c r="Q175" s="1995"/>
      <c r="R175" s="1564"/>
      <c r="S175" s="1692">
        <f t="shared" si="39"/>
        <v>0</v>
      </c>
      <c r="T175" s="1706">
        <f t="shared" si="35"/>
        <v>7879870</v>
      </c>
      <c r="U175"/>
      <c r="V175"/>
      <c r="W175"/>
    </row>
    <row r="176" spans="1:23" s="812" customFormat="1" ht="18.75" customHeight="1">
      <c r="B176" s="1423"/>
      <c r="C176" s="567" t="s">
        <v>860</v>
      </c>
      <c r="D176" s="2128" t="s">
        <v>787</v>
      </c>
      <c r="E176" s="2128" t="s">
        <v>835</v>
      </c>
      <c r="F176" s="2127"/>
      <c r="G176" s="2127">
        <v>11</v>
      </c>
      <c r="H176" s="2127"/>
      <c r="I176" s="2127"/>
      <c r="J176" s="273">
        <f>40165526.4266667-3651416-10219739-(40165526.4266667-3651416-10219739)</f>
        <v>0</v>
      </c>
      <c r="K176" s="1567">
        <v>15519852</v>
      </c>
      <c r="L176" s="2127"/>
      <c r="M176" s="1677">
        <f t="shared" si="38"/>
        <v>15519852</v>
      </c>
      <c r="N176" s="1655"/>
      <c r="O176" s="1995">
        <f>25559852-25559852</f>
        <v>0</v>
      </c>
      <c r="P176" s="1995"/>
      <c r="Q176" s="1995"/>
      <c r="R176" s="1564"/>
      <c r="S176" s="1692">
        <f t="shared" si="39"/>
        <v>0</v>
      </c>
      <c r="T176" s="1706">
        <f t="shared" si="35"/>
        <v>15519852</v>
      </c>
      <c r="U176"/>
      <c r="V176"/>
      <c r="W176"/>
    </row>
    <row r="177" spans="1:23" s="252" customFormat="1" ht="18.75" customHeight="1">
      <c r="A177" s="178"/>
      <c r="B177" s="2082"/>
      <c r="C177" s="567" t="s">
        <v>1316</v>
      </c>
      <c r="D177" s="2128" t="s">
        <v>787</v>
      </c>
      <c r="E177" s="2128" t="s">
        <v>835</v>
      </c>
      <c r="F177" s="2127"/>
      <c r="G177" s="2127"/>
      <c r="H177" s="2127"/>
      <c r="I177" s="2127"/>
      <c r="J177" s="2075">
        <v>22547852</v>
      </c>
      <c r="K177" s="2127"/>
      <c r="L177" s="2127"/>
      <c r="M177" s="1677">
        <f t="shared" si="38"/>
        <v>22547852</v>
      </c>
      <c r="N177" s="2084"/>
      <c r="O177" s="2083"/>
      <c r="P177" s="1548"/>
      <c r="Q177" s="1548"/>
      <c r="R177" s="1548"/>
      <c r="S177" s="2085">
        <f t="shared" ref="S177:S178" si="40">+SUM(N177:R177)</f>
        <v>0</v>
      </c>
      <c r="T177" s="2086">
        <f t="shared" si="35"/>
        <v>22547852</v>
      </c>
      <c r="U177"/>
      <c r="V177"/>
      <c r="W177"/>
    </row>
    <row r="178" spans="1:23" s="252" customFormat="1" ht="18.75" customHeight="1">
      <c r="A178" s="178"/>
      <c r="B178" s="2082"/>
      <c r="C178" s="567" t="s">
        <v>1363</v>
      </c>
      <c r="D178" s="2128" t="s">
        <v>787</v>
      </c>
      <c r="E178" s="2128" t="s">
        <v>835</v>
      </c>
      <c r="F178" s="2127"/>
      <c r="G178" s="2127"/>
      <c r="H178" s="2127"/>
      <c r="I178" s="357"/>
      <c r="J178" s="2003">
        <f>4439648.48-3896246.02107131</f>
        <v>543402.45892869029</v>
      </c>
      <c r="K178" s="1567">
        <v>3896246.0210713111</v>
      </c>
      <c r="L178" s="2127"/>
      <c r="M178" s="1677">
        <f t="shared" si="38"/>
        <v>4439648.4800000014</v>
      </c>
      <c r="N178" s="2084"/>
      <c r="O178" s="2003"/>
      <c r="P178" s="1548"/>
      <c r="Q178" s="1548"/>
      <c r="R178" s="1548"/>
      <c r="S178" s="2085">
        <f t="shared" si="40"/>
        <v>0</v>
      </c>
      <c r="T178" s="2086">
        <f t="shared" si="35"/>
        <v>4439648.4800000014</v>
      </c>
      <c r="U178"/>
      <c r="V178"/>
      <c r="W178"/>
    </row>
    <row r="179" spans="1:23" s="812" customFormat="1" ht="18.75" customHeight="1">
      <c r="B179" s="1423"/>
      <c r="C179" s="567" t="s">
        <v>845</v>
      </c>
      <c r="D179" s="2128" t="s">
        <v>787</v>
      </c>
      <c r="E179" s="2128" t="s">
        <v>835</v>
      </c>
      <c r="F179" s="2127"/>
      <c r="G179" s="2127">
        <v>11</v>
      </c>
      <c r="H179" s="2127"/>
      <c r="I179" s="2127"/>
      <c r="J179" s="273">
        <f>30125637.33952-1825821-1825711.81952</f>
        <v>26474104.52</v>
      </c>
      <c r="K179" s="2127"/>
      <c r="L179" s="2127"/>
      <c r="M179" s="1677">
        <f t="shared" si="38"/>
        <v>26474104.52</v>
      </c>
      <c r="N179" s="1655"/>
      <c r="O179" s="1995"/>
      <c r="P179" s="1995"/>
      <c r="Q179" s="1995"/>
      <c r="R179" s="1564"/>
      <c r="S179" s="1692">
        <f t="shared" si="39"/>
        <v>0</v>
      </c>
      <c r="T179" s="1706">
        <f t="shared" si="35"/>
        <v>26474104.52</v>
      </c>
      <c r="U179"/>
      <c r="V179"/>
      <c r="W179"/>
    </row>
    <row r="180" spans="1:23" s="812" customFormat="1" ht="18.75" customHeight="1">
      <c r="B180" s="1423"/>
      <c r="C180" s="567" t="s">
        <v>846</v>
      </c>
      <c r="D180" s="2128" t="s">
        <v>787</v>
      </c>
      <c r="E180" s="2128" t="s">
        <v>835</v>
      </c>
      <c r="F180" s="2127"/>
      <c r="G180" s="2127">
        <v>11</v>
      </c>
      <c r="H180" s="2127"/>
      <c r="I180" s="2127"/>
      <c r="J180" s="273">
        <f>30125637.33952-1825821-1825711.81952</f>
        <v>26474104.52</v>
      </c>
      <c r="K180" s="2127"/>
      <c r="L180" s="2127"/>
      <c r="M180" s="1677">
        <f t="shared" si="38"/>
        <v>26474104.52</v>
      </c>
      <c r="N180" s="1655"/>
      <c r="O180" s="1995"/>
      <c r="P180" s="1995"/>
      <c r="Q180" s="1995"/>
      <c r="R180" s="1564"/>
      <c r="S180" s="1692">
        <f t="shared" si="39"/>
        <v>0</v>
      </c>
      <c r="T180" s="1706">
        <f t="shared" si="35"/>
        <v>26474104.52</v>
      </c>
      <c r="U180"/>
      <c r="V180"/>
      <c r="W180"/>
    </row>
    <row r="181" spans="1:23" s="812" customFormat="1" ht="18.75" customHeight="1">
      <c r="B181" s="1423"/>
      <c r="C181" s="567" t="s">
        <v>847</v>
      </c>
      <c r="D181" s="2128" t="s">
        <v>787</v>
      </c>
      <c r="E181" s="2128" t="s">
        <v>835</v>
      </c>
      <c r="F181" s="2127"/>
      <c r="G181" s="2127">
        <v>11</v>
      </c>
      <c r="H181" s="2127"/>
      <c r="I181" s="2127"/>
      <c r="J181" s="273">
        <v>51366573.141759999</v>
      </c>
      <c r="K181" s="2127"/>
      <c r="L181" s="2127"/>
      <c r="M181" s="1677">
        <f t="shared" si="38"/>
        <v>51366573.141759999</v>
      </c>
      <c r="N181" s="1655"/>
      <c r="O181" s="1995"/>
      <c r="P181" s="1995"/>
      <c r="Q181" s="1995"/>
      <c r="R181" s="1564"/>
      <c r="S181" s="1692">
        <f t="shared" si="39"/>
        <v>0</v>
      </c>
      <c r="T181" s="1706">
        <f t="shared" si="35"/>
        <v>51366573.141759999</v>
      </c>
      <c r="U181"/>
      <c r="V181"/>
      <c r="W181"/>
    </row>
    <row r="182" spans="1:23" s="812" customFormat="1" ht="18.75" customHeight="1">
      <c r="B182" s="1423"/>
      <c r="C182" s="567" t="s">
        <v>861</v>
      </c>
      <c r="D182" s="2128" t="s">
        <v>787</v>
      </c>
      <c r="E182" s="2128" t="s">
        <v>835</v>
      </c>
      <c r="F182" s="2127"/>
      <c r="G182" s="2127"/>
      <c r="H182" s="2127"/>
      <c r="I182" s="2127"/>
      <c r="J182" s="273"/>
      <c r="K182" s="2127">
        <v>11253035</v>
      </c>
      <c r="L182" s="2127"/>
      <c r="M182" s="1677">
        <f t="shared" si="38"/>
        <v>11253035</v>
      </c>
      <c r="N182" s="1655">
        <v>4266817</v>
      </c>
      <c r="O182" s="1995">
        <f>25559852-25559852</f>
        <v>0</v>
      </c>
      <c r="P182" s="1995"/>
      <c r="Q182" s="1995"/>
      <c r="R182" s="1564"/>
      <c r="S182" s="1692">
        <f t="shared" si="39"/>
        <v>4266817</v>
      </c>
      <c r="T182" s="1706">
        <f t="shared" si="35"/>
        <v>15519852</v>
      </c>
      <c r="U182"/>
      <c r="V182"/>
      <c r="W182"/>
    </row>
    <row r="183" spans="1:23" s="812" customFormat="1" ht="18.75" customHeight="1">
      <c r="B183" s="1423"/>
      <c r="C183" s="567" t="s">
        <v>862</v>
      </c>
      <c r="D183" s="2128" t="s">
        <v>787</v>
      </c>
      <c r="E183" s="2128" t="s">
        <v>835</v>
      </c>
      <c r="F183" s="2127"/>
      <c r="G183" s="2127"/>
      <c r="H183" s="2127"/>
      <c r="I183" s="2127"/>
      <c r="J183" s="273"/>
      <c r="K183" s="2127"/>
      <c r="L183" s="2127"/>
      <c r="M183" s="1677">
        <f t="shared" si="38"/>
        <v>0</v>
      </c>
      <c r="N183" s="1655">
        <v>15335911</v>
      </c>
      <c r="O183" s="1995">
        <f>25559852-25559852</f>
        <v>0</v>
      </c>
      <c r="P183" s="1995"/>
      <c r="Q183" s="1995"/>
      <c r="R183" s="1564"/>
      <c r="S183" s="1692">
        <f t="shared" si="39"/>
        <v>15335911</v>
      </c>
      <c r="T183" s="1706">
        <f t="shared" si="35"/>
        <v>15335911</v>
      </c>
      <c r="U183"/>
      <c r="V183"/>
      <c r="W183"/>
    </row>
    <row r="184" spans="1:23" s="812" customFormat="1" ht="18.75" customHeight="1">
      <c r="B184" s="1423"/>
      <c r="C184" s="567" t="s">
        <v>863</v>
      </c>
      <c r="D184" s="2128" t="s">
        <v>787</v>
      </c>
      <c r="E184" s="2128" t="s">
        <v>835</v>
      </c>
      <c r="F184" s="2127"/>
      <c r="G184" s="2127"/>
      <c r="H184" s="2127"/>
      <c r="I184" s="2127"/>
      <c r="J184" s="273"/>
      <c r="K184" s="2127"/>
      <c r="L184" s="2127"/>
      <c r="M184" s="1677">
        <f t="shared" si="38"/>
        <v>0</v>
      </c>
      <c r="N184" s="1655"/>
      <c r="O184" s="1995"/>
      <c r="P184" s="1995"/>
      <c r="Q184" s="1995"/>
      <c r="R184" s="1564"/>
      <c r="S184" s="1692">
        <f t="shared" si="39"/>
        <v>0</v>
      </c>
      <c r="T184" s="1706">
        <f t="shared" si="35"/>
        <v>0</v>
      </c>
      <c r="U184"/>
      <c r="V184"/>
      <c r="W184"/>
    </row>
    <row r="185" spans="1:23" s="812" customFormat="1" ht="18.75" customHeight="1">
      <c r="B185" s="1423"/>
      <c r="C185" s="567" t="s">
        <v>864</v>
      </c>
      <c r="D185" s="2128" t="s">
        <v>787</v>
      </c>
      <c r="E185" s="2128" t="s">
        <v>835</v>
      </c>
      <c r="F185" s="2127"/>
      <c r="G185" s="2127"/>
      <c r="H185" s="2127"/>
      <c r="I185" s="2127"/>
      <c r="J185" s="273"/>
      <c r="K185" s="2127"/>
      <c r="L185" s="2127"/>
      <c r="M185" s="1677">
        <f t="shared" si="38"/>
        <v>0</v>
      </c>
      <c r="N185" s="1655"/>
      <c r="O185" s="1995"/>
      <c r="P185" s="1995"/>
      <c r="Q185" s="1995"/>
      <c r="R185" s="1564"/>
      <c r="S185" s="1692">
        <f t="shared" si="39"/>
        <v>0</v>
      </c>
      <c r="T185" s="1706">
        <f t="shared" si="35"/>
        <v>0</v>
      </c>
      <c r="U185"/>
      <c r="V185"/>
      <c r="W185"/>
    </row>
    <row r="186" spans="1:23" s="812" customFormat="1" ht="18.75" customHeight="1">
      <c r="B186" s="1423"/>
      <c r="C186" s="567" t="s">
        <v>815</v>
      </c>
      <c r="D186" s="2128" t="s">
        <v>787</v>
      </c>
      <c r="E186" s="2128" t="s">
        <v>835</v>
      </c>
      <c r="F186" s="2127"/>
      <c r="G186" s="2127">
        <v>3.5</v>
      </c>
      <c r="H186" s="2127"/>
      <c r="I186" s="2127"/>
      <c r="J186" s="273">
        <v>23192400.2252976</v>
      </c>
      <c r="K186" s="2127"/>
      <c r="L186" s="2127"/>
      <c r="M186" s="1677">
        <f t="shared" si="38"/>
        <v>23192400.2252976</v>
      </c>
      <c r="N186" s="1655"/>
      <c r="O186" s="1995"/>
      <c r="P186" s="1995"/>
      <c r="Q186" s="1995"/>
      <c r="R186" s="1564"/>
      <c r="S186" s="1692">
        <f t="shared" si="39"/>
        <v>0</v>
      </c>
      <c r="T186" s="1706">
        <f t="shared" si="35"/>
        <v>23192400.2252976</v>
      </c>
    </row>
    <row r="187" spans="1:23" s="812" customFormat="1" ht="18.75" customHeight="1">
      <c r="B187" s="1423"/>
      <c r="C187" s="567" t="s">
        <v>1224</v>
      </c>
      <c r="D187" s="2128" t="s">
        <v>787</v>
      </c>
      <c r="E187" s="2128" t="s">
        <v>835</v>
      </c>
      <c r="F187" s="2127"/>
      <c r="G187" s="2127"/>
      <c r="H187" s="2127"/>
      <c r="I187" s="2127"/>
      <c r="J187" s="273">
        <v>27499825</v>
      </c>
      <c r="K187" s="2127"/>
      <c r="L187" s="2127"/>
      <c r="M187" s="1677">
        <f t="shared" si="38"/>
        <v>27499825</v>
      </c>
      <c r="N187" s="1655"/>
      <c r="O187" s="1995">
        <f>69540800-42281662</f>
        <v>27259138</v>
      </c>
      <c r="P187" s="1995"/>
      <c r="Q187" s="1995"/>
      <c r="R187" s="1564"/>
      <c r="S187" s="1692">
        <f t="shared" si="39"/>
        <v>27259138</v>
      </c>
      <c r="T187" s="1706">
        <f t="shared" si="35"/>
        <v>54758963</v>
      </c>
    </row>
    <row r="188" spans="1:23" s="812" customFormat="1" ht="18.75" customHeight="1">
      <c r="B188" s="1423"/>
      <c r="C188" s="567" t="s">
        <v>1139</v>
      </c>
      <c r="D188" s="568" t="s">
        <v>787</v>
      </c>
      <c r="E188" s="568" t="s">
        <v>835</v>
      </c>
      <c r="F188" s="811"/>
      <c r="G188" s="811"/>
      <c r="H188" s="811"/>
      <c r="I188" s="1463">
        <f>4568327.42999995+2000000-6568327</f>
        <v>0.42999995034188032</v>
      </c>
      <c r="J188" s="1463">
        <f>18278093+4+6568327.42999995</f>
        <v>24846424.429999951</v>
      </c>
      <c r="K188" s="1995"/>
      <c r="L188" s="1995"/>
      <c r="M188" s="1677">
        <f t="shared" si="38"/>
        <v>24846424.859999903</v>
      </c>
      <c r="N188" s="1661"/>
      <c r="O188" s="1463"/>
      <c r="P188" s="1463"/>
      <c r="Q188" s="1463"/>
      <c r="R188" s="1463"/>
      <c r="S188" s="1692">
        <f t="shared" si="39"/>
        <v>0</v>
      </c>
      <c r="T188" s="1706">
        <f t="shared" si="35"/>
        <v>24846424.859999903</v>
      </c>
    </row>
    <row r="189" spans="1:23" s="812" customFormat="1" ht="18.75" customHeight="1">
      <c r="B189" s="1423"/>
      <c r="C189" s="567" t="s">
        <v>865</v>
      </c>
      <c r="D189" s="2199"/>
      <c r="E189" s="2199"/>
      <c r="F189" s="2195"/>
      <c r="G189" s="2195"/>
      <c r="H189" s="2195"/>
      <c r="I189" s="2195"/>
      <c r="J189" s="273"/>
      <c r="K189" s="2195"/>
      <c r="L189" s="2195"/>
      <c r="M189" s="1677">
        <f t="shared" si="38"/>
        <v>0</v>
      </c>
      <c r="N189" s="1655"/>
      <c r="O189" s="2195"/>
      <c r="P189" s="1995"/>
      <c r="Q189" s="1995"/>
      <c r="R189" s="1564"/>
      <c r="S189" s="1692">
        <f t="shared" si="39"/>
        <v>0</v>
      </c>
      <c r="T189" s="1706">
        <f t="shared" si="35"/>
        <v>0</v>
      </c>
    </row>
    <row r="190" spans="1:23" s="812" customFormat="1" ht="18.75" customHeight="1">
      <c r="B190" s="1423"/>
      <c r="C190" s="567" t="s">
        <v>1225</v>
      </c>
      <c r="D190" s="2199" t="s">
        <v>787</v>
      </c>
      <c r="E190" s="2199" t="s">
        <v>835</v>
      </c>
      <c r="F190" s="2195"/>
      <c r="G190" s="2195"/>
      <c r="H190" s="2195"/>
      <c r="I190" s="2195"/>
      <c r="J190" s="273"/>
      <c r="K190" s="2195"/>
      <c r="L190" s="2195"/>
      <c r="M190" s="1677">
        <f t="shared" si="38"/>
        <v>0</v>
      </c>
      <c r="N190" s="1655"/>
      <c r="O190" s="2195"/>
      <c r="P190" s="1995"/>
      <c r="Q190" s="1995"/>
      <c r="R190" s="1564"/>
      <c r="S190" s="1692">
        <f t="shared" si="39"/>
        <v>0</v>
      </c>
      <c r="T190" s="1706">
        <f t="shared" si="35"/>
        <v>0</v>
      </c>
    </row>
    <row r="191" spans="1:23" s="812" customFormat="1" ht="18.75" customHeight="1">
      <c r="B191" s="1423"/>
      <c r="C191" s="567" t="s">
        <v>1226</v>
      </c>
      <c r="D191" s="2199" t="s">
        <v>787</v>
      </c>
      <c r="E191" s="2199" t="s">
        <v>835</v>
      </c>
      <c r="F191" s="2195"/>
      <c r="G191" s="2195"/>
      <c r="H191" s="2195"/>
      <c r="I191" s="2195"/>
      <c r="J191" s="273"/>
      <c r="K191" s="2195"/>
      <c r="L191" s="2195"/>
      <c r="M191" s="1677">
        <f t="shared" si="38"/>
        <v>0</v>
      </c>
      <c r="N191" s="1655"/>
      <c r="O191" s="2195">
        <f>16481278.464-16481278.464</f>
        <v>0</v>
      </c>
      <c r="P191" s="1995"/>
      <c r="Q191" s="1995"/>
      <c r="R191" s="1564"/>
      <c r="S191" s="1692">
        <f t="shared" si="39"/>
        <v>0</v>
      </c>
      <c r="T191" s="1706">
        <f t="shared" si="35"/>
        <v>0</v>
      </c>
    </row>
    <row r="192" spans="1:23" ht="18.75" customHeight="1">
      <c r="B192" s="1420"/>
      <c r="C192" s="567" t="s">
        <v>1414</v>
      </c>
      <c r="D192" s="2199" t="s">
        <v>787</v>
      </c>
      <c r="E192" s="2199" t="s">
        <v>835</v>
      </c>
      <c r="F192" s="2195"/>
      <c r="G192" s="2195"/>
      <c r="H192" s="2195"/>
      <c r="I192" s="2075">
        <v>2000000</v>
      </c>
      <c r="J192" s="2075">
        <v>1646684</v>
      </c>
      <c r="K192" s="2204"/>
      <c r="L192" s="2204"/>
      <c r="M192" s="2187">
        <f t="shared" ref="M192:M193" si="41">+SUM(I192:L192)</f>
        <v>3646684</v>
      </c>
      <c r="N192" s="2205"/>
      <c r="O192" s="2204">
        <f>2*2500000*1.004-J192-I192</f>
        <v>1373316</v>
      </c>
      <c r="P192" s="2186"/>
      <c r="Q192" s="2186"/>
      <c r="R192" s="2186"/>
      <c r="S192" s="2188">
        <f t="shared" ref="S192" si="42">+SUM(N192:R192)</f>
        <v>1373316</v>
      </c>
      <c r="T192" s="2189">
        <f t="shared" si="35"/>
        <v>5020000</v>
      </c>
    </row>
    <row r="193" spans="1:20" ht="18.75" customHeight="1">
      <c r="B193" s="1420"/>
      <c r="C193" s="567" t="s">
        <v>1413</v>
      </c>
      <c r="D193" s="2199" t="s">
        <v>787</v>
      </c>
      <c r="E193" s="2199" t="s">
        <v>835</v>
      </c>
      <c r="F193" s="2195"/>
      <c r="G193" s="2195"/>
      <c r="H193" s="2195"/>
      <c r="I193" s="357"/>
      <c r="J193" s="2075"/>
      <c r="K193" s="274">
        <f>3746785.1216321-2510000</f>
        <v>1236785.1216321001</v>
      </c>
      <c r="L193" s="2204"/>
      <c r="M193" s="2187">
        <f t="shared" si="41"/>
        <v>1236785.1216321001</v>
      </c>
      <c r="N193" s="2205"/>
      <c r="O193" s="2204">
        <f>2500000*1.004-K193</f>
        <v>1273214.8783678999</v>
      </c>
      <c r="P193" s="2186"/>
      <c r="Q193" s="2186"/>
      <c r="R193" s="2186"/>
      <c r="S193" s="2188">
        <f>+SUM(N193:R193)</f>
        <v>1273214.8783678999</v>
      </c>
      <c r="T193" s="2189">
        <f t="shared" si="35"/>
        <v>2510000</v>
      </c>
    </row>
    <row r="194" spans="1:20" s="812" customFormat="1" ht="18.75" customHeight="1">
      <c r="B194" s="1423"/>
      <c r="C194" s="567" t="s">
        <v>812</v>
      </c>
      <c r="D194" s="2199" t="s">
        <v>787</v>
      </c>
      <c r="E194" s="2199" t="s">
        <v>835</v>
      </c>
      <c r="F194" s="2195"/>
      <c r="G194" s="2195">
        <v>5</v>
      </c>
      <c r="H194" s="2195"/>
      <c r="I194" s="2195"/>
      <c r="J194" s="273">
        <v>2626560</v>
      </c>
      <c r="K194" s="1463">
        <v>1493759.3</v>
      </c>
      <c r="L194" s="2195"/>
      <c r="M194" s="1677">
        <f t="shared" si="38"/>
        <v>4120319.3</v>
      </c>
      <c r="N194" s="1655"/>
      <c r="O194" s="2195"/>
      <c r="P194" s="1995"/>
      <c r="Q194" s="1995"/>
      <c r="R194" s="1564"/>
      <c r="S194" s="1692">
        <f t="shared" si="39"/>
        <v>0</v>
      </c>
      <c r="T194" s="1706">
        <f t="shared" si="35"/>
        <v>4120319.3</v>
      </c>
    </row>
    <row r="195" spans="1:20" s="812" customFormat="1" ht="18.75" customHeight="1">
      <c r="B195" s="1423"/>
      <c r="C195" s="567" t="s">
        <v>866</v>
      </c>
      <c r="D195" s="2199" t="s">
        <v>787</v>
      </c>
      <c r="E195" s="2199" t="s">
        <v>835</v>
      </c>
      <c r="F195" s="2195"/>
      <c r="G195" s="2195">
        <v>7</v>
      </c>
      <c r="H195" s="2195"/>
      <c r="I195" s="2195"/>
      <c r="J195" s="273">
        <v>9614079</v>
      </c>
      <c r="K195" s="2195"/>
      <c r="L195" s="2195"/>
      <c r="M195" s="1677">
        <f t="shared" si="38"/>
        <v>9614079</v>
      </c>
      <c r="N195" s="1655"/>
      <c r="O195" s="2195"/>
      <c r="P195" s="1995"/>
      <c r="Q195" s="1995"/>
      <c r="R195" s="1564"/>
      <c r="S195" s="1692">
        <f t="shared" si="39"/>
        <v>0</v>
      </c>
      <c r="T195" s="1706">
        <f t="shared" si="35"/>
        <v>9614079</v>
      </c>
    </row>
    <row r="196" spans="1:20" s="812" customFormat="1" ht="18.75" customHeight="1">
      <c r="B196" s="1423"/>
      <c r="C196" s="567" t="s">
        <v>867</v>
      </c>
      <c r="D196" s="2199" t="s">
        <v>787</v>
      </c>
      <c r="E196" s="2199" t="s">
        <v>835</v>
      </c>
      <c r="F196" s="2195"/>
      <c r="G196" s="2195">
        <v>7</v>
      </c>
      <c r="H196" s="2195"/>
      <c r="I196" s="2195"/>
      <c r="J196" s="273">
        <f>9614079-6180479-(9614079-6180479)</f>
        <v>0</v>
      </c>
      <c r="K196" s="2195">
        <f>3129766.5-117766.5</f>
        <v>3012000</v>
      </c>
      <c r="L196" s="2195"/>
      <c r="M196" s="1677">
        <f t="shared" si="38"/>
        <v>3012000</v>
      </c>
      <c r="N196" s="1655"/>
      <c r="O196" s="2195"/>
      <c r="P196" s="1995"/>
      <c r="Q196" s="1995"/>
      <c r="R196" s="1564"/>
      <c r="S196" s="1692">
        <f t="shared" si="39"/>
        <v>0</v>
      </c>
      <c r="T196" s="1706">
        <f t="shared" si="35"/>
        <v>3012000</v>
      </c>
    </row>
    <row r="197" spans="1:20" s="812" customFormat="1" ht="18.75" customHeight="1">
      <c r="B197" s="1423"/>
      <c r="C197" s="567" t="s">
        <v>814</v>
      </c>
      <c r="D197" s="568" t="s">
        <v>787</v>
      </c>
      <c r="E197" s="568" t="s">
        <v>835</v>
      </c>
      <c r="F197" s="811"/>
      <c r="G197" s="811">
        <v>7</v>
      </c>
      <c r="H197" s="811"/>
      <c r="I197" s="811"/>
      <c r="J197" s="273">
        <v>9614079</v>
      </c>
      <c r="K197" s="811"/>
      <c r="L197" s="811"/>
      <c r="M197" s="1677">
        <f t="shared" si="38"/>
        <v>9614079</v>
      </c>
      <c r="N197" s="1655"/>
      <c r="O197" s="1564"/>
      <c r="P197" s="1564"/>
      <c r="Q197" s="1564"/>
      <c r="R197" s="1564"/>
      <c r="S197" s="1692">
        <f t="shared" si="39"/>
        <v>0</v>
      </c>
      <c r="T197" s="1706">
        <f t="shared" si="35"/>
        <v>9614079</v>
      </c>
    </row>
    <row r="198" spans="1:20" ht="38.25">
      <c r="A198" s="1053"/>
      <c r="B198" s="1419" t="s">
        <v>1035</v>
      </c>
      <c r="C198" s="786" t="s">
        <v>450</v>
      </c>
      <c r="D198" s="352"/>
      <c r="E198" s="352"/>
      <c r="F198" s="352" t="s">
        <v>214</v>
      </c>
      <c r="G198" s="352">
        <v>35</v>
      </c>
      <c r="H198" s="352"/>
      <c r="I198" s="352">
        <f t="shared" ref="I198:S198" si="43">SUM(I199:I207)</f>
        <v>0</v>
      </c>
      <c r="J198" s="352">
        <f t="shared" si="43"/>
        <v>0</v>
      </c>
      <c r="K198" s="354">
        <f t="shared" si="43"/>
        <v>20906715.719999999</v>
      </c>
      <c r="L198" s="354">
        <f t="shared" si="43"/>
        <v>0</v>
      </c>
      <c r="M198" s="1679">
        <f t="shared" si="43"/>
        <v>20906715.719999999</v>
      </c>
      <c r="N198" s="1667">
        <f t="shared" si="43"/>
        <v>0</v>
      </c>
      <c r="O198" s="352">
        <f t="shared" si="43"/>
        <v>0</v>
      </c>
      <c r="P198" s="352">
        <f t="shared" si="43"/>
        <v>0</v>
      </c>
      <c r="Q198" s="352">
        <f t="shared" si="43"/>
        <v>0</v>
      </c>
      <c r="R198" s="352">
        <f t="shared" si="43"/>
        <v>15765783</v>
      </c>
      <c r="S198" s="1694">
        <f t="shared" si="43"/>
        <v>15765783</v>
      </c>
      <c r="T198" s="1708">
        <f t="shared" si="35"/>
        <v>36672498.719999999</v>
      </c>
    </row>
    <row r="199" spans="1:20" s="812" customFormat="1" ht="27" customHeight="1">
      <c r="B199" s="1423"/>
      <c r="C199" s="567" t="s">
        <v>1227</v>
      </c>
      <c r="D199" s="568" t="s">
        <v>568</v>
      </c>
      <c r="E199" s="568">
        <v>68013</v>
      </c>
      <c r="F199" s="811"/>
      <c r="G199" s="811"/>
      <c r="H199" s="811"/>
      <c r="I199" s="811"/>
      <c r="J199" s="1995"/>
      <c r="K199" s="273">
        <v>376129.5</v>
      </c>
      <c r="L199" s="1995"/>
      <c r="M199" s="1677">
        <f>SUM(I199:L199)</f>
        <v>376129.5</v>
      </c>
      <c r="N199" s="1655"/>
      <c r="O199" s="1995"/>
      <c r="P199" s="1995"/>
      <c r="Q199" s="1995"/>
      <c r="R199" s="1567">
        <f>15765783/2</f>
        <v>7882891.5</v>
      </c>
      <c r="S199" s="1692">
        <f t="shared" si="39"/>
        <v>7882891.5</v>
      </c>
      <c r="T199" s="1706">
        <f t="shared" si="35"/>
        <v>8259021</v>
      </c>
    </row>
    <row r="200" spans="1:20" s="812" customFormat="1" ht="27" customHeight="1">
      <c r="B200" s="1423"/>
      <c r="C200" s="567" t="s">
        <v>1228</v>
      </c>
      <c r="D200" s="568" t="s">
        <v>568</v>
      </c>
      <c r="E200" s="568">
        <v>68013</v>
      </c>
      <c r="F200" s="1564"/>
      <c r="G200" s="1564"/>
      <c r="H200" s="1564"/>
      <c r="I200" s="1564"/>
      <c r="J200" s="1995"/>
      <c r="K200" s="273">
        <v>376129.5</v>
      </c>
      <c r="L200" s="1995"/>
      <c r="M200" s="1677">
        <f>SUM(I200:L200)</f>
        <v>376129.5</v>
      </c>
      <c r="N200" s="1655"/>
      <c r="O200" s="1995"/>
      <c r="P200" s="1995"/>
      <c r="Q200" s="1995"/>
      <c r="R200" s="1567">
        <f>15765783/2</f>
        <v>7882891.5</v>
      </c>
      <c r="S200" s="1692">
        <f t="shared" si="39"/>
        <v>7882891.5</v>
      </c>
      <c r="T200" s="1706">
        <f t="shared" si="35"/>
        <v>8259021</v>
      </c>
    </row>
    <row r="201" spans="1:20" s="812" customFormat="1" ht="27" customHeight="1">
      <c r="B201" s="1423"/>
      <c r="C201" s="567" t="s">
        <v>850</v>
      </c>
      <c r="D201" s="568" t="s">
        <v>568</v>
      </c>
      <c r="E201" s="568">
        <v>68013</v>
      </c>
      <c r="F201" s="811"/>
      <c r="G201" s="811">
        <v>4.5</v>
      </c>
      <c r="H201" s="811"/>
      <c r="I201" s="2107"/>
      <c r="J201" s="2107"/>
      <c r="K201" s="273">
        <f>4685146.4-1814509.4</f>
        <v>2870637.0000000005</v>
      </c>
      <c r="L201" s="357"/>
      <c r="M201" s="1677">
        <f t="shared" ref="M201:M207" si="44">SUM(I201:L201)</f>
        <v>2870637.0000000005</v>
      </c>
      <c r="N201" s="1655"/>
      <c r="O201" s="1995"/>
      <c r="P201" s="1995"/>
      <c r="Q201" s="1995"/>
      <c r="R201" s="1995"/>
      <c r="S201" s="1692">
        <f t="shared" si="39"/>
        <v>0</v>
      </c>
      <c r="T201" s="1706">
        <f t="shared" si="35"/>
        <v>2870637.0000000005</v>
      </c>
    </row>
    <row r="202" spans="1:20" s="812" customFormat="1" ht="27" customHeight="1">
      <c r="B202" s="1423"/>
      <c r="C202" s="567" t="s">
        <v>851</v>
      </c>
      <c r="D202" s="568" t="s">
        <v>568</v>
      </c>
      <c r="E202" s="568">
        <v>68013</v>
      </c>
      <c r="F202" s="811"/>
      <c r="G202" s="811">
        <v>5</v>
      </c>
      <c r="H202" s="811"/>
      <c r="I202" s="2107"/>
      <c r="J202" s="2107"/>
      <c r="K202" s="273">
        <f>5761273.6-1076128</f>
        <v>4685145.5999999996</v>
      </c>
      <c r="L202" s="2107"/>
      <c r="M202" s="1677">
        <f t="shared" si="44"/>
        <v>4685145.5999999996</v>
      </c>
      <c r="N202" s="1655"/>
      <c r="O202" s="1995"/>
      <c r="P202" s="1995"/>
      <c r="Q202" s="1995"/>
      <c r="R202" s="1995"/>
      <c r="S202" s="1692">
        <f t="shared" si="39"/>
        <v>0</v>
      </c>
      <c r="T202" s="1706">
        <f t="shared" si="35"/>
        <v>4685145.5999999996</v>
      </c>
    </row>
    <row r="203" spans="1:20" s="812" customFormat="1" ht="27" customHeight="1">
      <c r="B203" s="1423"/>
      <c r="C203" s="567" t="s">
        <v>852</v>
      </c>
      <c r="D203" s="568" t="s">
        <v>568</v>
      </c>
      <c r="E203" s="568">
        <v>68013</v>
      </c>
      <c r="F203" s="811"/>
      <c r="G203" s="811">
        <v>5</v>
      </c>
      <c r="H203" s="811"/>
      <c r="I203" s="2107"/>
      <c r="J203" s="2107"/>
      <c r="K203" s="273">
        <f>5761273.8-1076128</f>
        <v>4685145.8</v>
      </c>
      <c r="L203" s="2107"/>
      <c r="M203" s="1677">
        <f t="shared" si="44"/>
        <v>4685145.8</v>
      </c>
      <c r="N203" s="1655"/>
      <c r="O203" s="1995"/>
      <c r="P203" s="1995"/>
      <c r="Q203" s="1995"/>
      <c r="R203" s="1995"/>
      <c r="S203" s="1692">
        <f t="shared" si="39"/>
        <v>0</v>
      </c>
      <c r="T203" s="1706">
        <f t="shared" si="35"/>
        <v>4685145.8</v>
      </c>
    </row>
    <row r="204" spans="1:20" s="812" customFormat="1" ht="27" customHeight="1">
      <c r="B204" s="1423"/>
      <c r="C204" s="567" t="s">
        <v>853</v>
      </c>
      <c r="D204" s="568" t="s">
        <v>568</v>
      </c>
      <c r="E204" s="568">
        <v>68013</v>
      </c>
      <c r="F204" s="811"/>
      <c r="G204" s="811">
        <v>5.5</v>
      </c>
      <c r="H204" s="811"/>
      <c r="I204" s="2107"/>
      <c r="J204" s="2107"/>
      <c r="K204" s="273">
        <f>6837400.96-3228382-380636.88</f>
        <v>3228382.08</v>
      </c>
      <c r="L204" s="357"/>
      <c r="M204" s="1677">
        <f t="shared" si="44"/>
        <v>3228382.08</v>
      </c>
      <c r="N204" s="1655"/>
      <c r="O204" s="1995"/>
      <c r="P204" s="1995"/>
      <c r="Q204" s="1995"/>
      <c r="R204" s="1995"/>
      <c r="S204" s="1692">
        <f t="shared" si="39"/>
        <v>0</v>
      </c>
      <c r="T204" s="1706">
        <f t="shared" si="35"/>
        <v>3228382.08</v>
      </c>
    </row>
    <row r="205" spans="1:20" s="812" customFormat="1" ht="27" customHeight="1">
      <c r="B205" s="1423"/>
      <c r="C205" s="567" t="s">
        <v>854</v>
      </c>
      <c r="D205" s="568" t="s">
        <v>568</v>
      </c>
      <c r="E205" s="568">
        <v>68013</v>
      </c>
      <c r="F205" s="811"/>
      <c r="G205" s="811">
        <v>5</v>
      </c>
      <c r="H205" s="811"/>
      <c r="I205" s="2107"/>
      <c r="J205" s="2107"/>
      <c r="K205" s="273">
        <f>6837400.96-4304509+538064-(6837400.96-4304509+538064)</f>
        <v>0</v>
      </c>
      <c r="L205" s="2107"/>
      <c r="M205" s="1677">
        <f t="shared" si="44"/>
        <v>0</v>
      </c>
      <c r="N205" s="1655"/>
      <c r="O205" s="1995"/>
      <c r="P205" s="1995"/>
      <c r="Q205" s="1995"/>
      <c r="R205" s="1995"/>
      <c r="S205" s="1692">
        <f t="shared" si="39"/>
        <v>0</v>
      </c>
      <c r="T205" s="1706">
        <f t="shared" si="35"/>
        <v>0</v>
      </c>
    </row>
    <row r="206" spans="1:20" s="812" customFormat="1" ht="27" customHeight="1">
      <c r="B206" s="1423"/>
      <c r="C206" s="567" t="s">
        <v>855</v>
      </c>
      <c r="D206" s="568" t="s">
        <v>568</v>
      </c>
      <c r="E206" s="568">
        <v>68013</v>
      </c>
      <c r="F206" s="811"/>
      <c r="G206" s="811">
        <v>4.5</v>
      </c>
      <c r="H206" s="811"/>
      <c r="I206" s="811"/>
      <c r="J206" s="2017"/>
      <c r="K206" s="273">
        <v>4685146.24</v>
      </c>
      <c r="L206" s="357"/>
      <c r="M206" s="1677">
        <f t="shared" si="44"/>
        <v>4685146.24</v>
      </c>
      <c r="N206" s="1655"/>
      <c r="O206" s="1995"/>
      <c r="P206" s="1995"/>
      <c r="Q206" s="1995"/>
      <c r="R206" s="1995"/>
      <c r="S206" s="1692">
        <f t="shared" si="39"/>
        <v>0</v>
      </c>
      <c r="T206" s="1706">
        <f t="shared" si="35"/>
        <v>4685146.24</v>
      </c>
    </row>
    <row r="207" spans="1:20" s="812" customFormat="1" ht="27" customHeight="1" thickBot="1">
      <c r="B207" s="1423"/>
      <c r="C207" s="567" t="s">
        <v>856</v>
      </c>
      <c r="D207" s="568" t="s">
        <v>568</v>
      </c>
      <c r="E207" s="568">
        <v>68013</v>
      </c>
      <c r="F207" s="811"/>
      <c r="G207" s="811"/>
      <c r="H207" s="811"/>
      <c r="I207" s="811"/>
      <c r="J207" s="811"/>
      <c r="K207" s="273"/>
      <c r="L207" s="811"/>
      <c r="M207" s="1677">
        <f t="shared" si="44"/>
        <v>0</v>
      </c>
      <c r="N207" s="1655"/>
      <c r="O207" s="1564"/>
      <c r="P207" s="1564"/>
      <c r="Q207" s="1564"/>
      <c r="R207" s="1564"/>
      <c r="S207" s="1692">
        <f t="shared" si="39"/>
        <v>0</v>
      </c>
      <c r="T207" s="1706">
        <f t="shared" si="35"/>
        <v>0</v>
      </c>
    </row>
    <row r="208" spans="1:20" ht="64.5" thickBot="1">
      <c r="A208" s="1053">
        <v>111</v>
      </c>
      <c r="B208" s="1419"/>
      <c r="C208" s="792" t="s">
        <v>258</v>
      </c>
      <c r="D208" s="655"/>
      <c r="E208" s="655"/>
      <c r="F208" s="411" t="s">
        <v>210</v>
      </c>
      <c r="G208" s="423">
        <v>120</v>
      </c>
      <c r="H208" s="423"/>
      <c r="I208" s="423">
        <f t="shared" ref="I208:S208" si="45">+I209+I211</f>
        <v>0</v>
      </c>
      <c r="J208" s="2119">
        <f t="shared" si="45"/>
        <v>7911917.8104141001</v>
      </c>
      <c r="K208" s="2120">
        <f t="shared" si="45"/>
        <v>0</v>
      </c>
      <c r="L208" s="2120">
        <f t="shared" si="45"/>
        <v>0</v>
      </c>
      <c r="M208" s="2121">
        <f t="shared" si="45"/>
        <v>7911917.8104141001</v>
      </c>
      <c r="N208" s="2122">
        <f t="shared" si="45"/>
        <v>0</v>
      </c>
      <c r="O208" s="2120">
        <f t="shared" si="45"/>
        <v>0</v>
      </c>
      <c r="P208" s="2120">
        <f t="shared" si="45"/>
        <v>0</v>
      </c>
      <c r="Q208" s="2120">
        <f t="shared" si="45"/>
        <v>0</v>
      </c>
      <c r="R208" s="2120">
        <f t="shared" si="45"/>
        <v>0</v>
      </c>
      <c r="S208" s="2123">
        <f t="shared" si="45"/>
        <v>0</v>
      </c>
      <c r="T208" s="2124">
        <f t="shared" si="35"/>
        <v>7911917.8104141001</v>
      </c>
    </row>
    <row r="209" spans="1:20" ht="25.5">
      <c r="A209" s="1053"/>
      <c r="B209" s="1419" t="s">
        <v>1036</v>
      </c>
      <c r="C209" s="790" t="s">
        <v>259</v>
      </c>
      <c r="D209" s="623"/>
      <c r="E209" s="623"/>
      <c r="F209" s="629" t="s">
        <v>210</v>
      </c>
      <c r="G209" s="629">
        <v>120</v>
      </c>
      <c r="H209" s="629"/>
      <c r="I209" s="629"/>
      <c r="J209" s="629">
        <f>+J210</f>
        <v>7911917.8104141001</v>
      </c>
      <c r="K209" s="629"/>
      <c r="L209" s="629"/>
      <c r="M209" s="701">
        <f>SUM(M210:M210)</f>
        <v>7911917.8104141001</v>
      </c>
      <c r="N209" s="1664">
        <f>+N210</f>
        <v>0</v>
      </c>
      <c r="O209" s="629">
        <f>+O210</f>
        <v>0</v>
      </c>
      <c r="P209" s="629">
        <f>+P210</f>
        <v>0</v>
      </c>
      <c r="Q209" s="629">
        <f>+Q210</f>
        <v>0</v>
      </c>
      <c r="R209" s="629">
        <f>+R210</f>
        <v>0</v>
      </c>
      <c r="S209" s="1697">
        <f>SUM(S210:S210)</f>
        <v>0</v>
      </c>
      <c r="T209" s="1711">
        <f t="shared" si="35"/>
        <v>7911917.8104141001</v>
      </c>
    </row>
    <row r="210" spans="1:20" ht="25.5">
      <c r="B210" s="1420"/>
      <c r="C210" s="567" t="s">
        <v>775</v>
      </c>
      <c r="D210" s="568" t="s">
        <v>235</v>
      </c>
      <c r="E210" s="351" t="s">
        <v>776</v>
      </c>
      <c r="F210" s="811"/>
      <c r="G210" s="811"/>
      <c r="H210" s="811"/>
      <c r="I210" s="811"/>
      <c r="J210" s="811">
        <v>7911917.8104141001</v>
      </c>
      <c r="K210" s="811"/>
      <c r="L210" s="811"/>
      <c r="M210" s="1683">
        <f>SUM(I210:L210)</f>
        <v>7911917.8104141001</v>
      </c>
      <c r="N210" s="1655"/>
      <c r="O210" s="1564"/>
      <c r="P210" s="1564"/>
      <c r="Q210" s="1564"/>
      <c r="R210" s="1564"/>
      <c r="S210" s="1692">
        <f t="shared" ref="S210:S214" si="46">+SUM(N210:R210)</f>
        <v>0</v>
      </c>
      <c r="T210" s="1706">
        <f t="shared" si="35"/>
        <v>7911917.8104141001</v>
      </c>
    </row>
    <row r="211" spans="1:20" ht="25.5">
      <c r="A211" s="1053"/>
      <c r="B211" s="1419" t="s">
        <v>1037</v>
      </c>
      <c r="C211" s="793" t="s">
        <v>260</v>
      </c>
      <c r="D211" s="171"/>
      <c r="E211" s="171"/>
      <c r="F211" s="174" t="s">
        <v>210</v>
      </c>
      <c r="G211" s="174">
        <v>120</v>
      </c>
      <c r="H211" s="174"/>
      <c r="I211" s="174"/>
      <c r="J211" s="174"/>
      <c r="K211" s="174"/>
      <c r="L211" s="174"/>
      <c r="M211" s="1684">
        <f>SUM(M212:M214)</f>
        <v>0</v>
      </c>
      <c r="N211" s="1668"/>
      <c r="O211" s="174"/>
      <c r="P211" s="174"/>
      <c r="Q211" s="174"/>
      <c r="R211" s="174"/>
      <c r="S211" s="1698">
        <f>SUM(S212:S214)</f>
        <v>0</v>
      </c>
      <c r="T211" s="1712">
        <f t="shared" si="35"/>
        <v>0</v>
      </c>
    </row>
    <row r="212" spans="1:20" s="812" customFormat="1" ht="25.5">
      <c r="B212" s="1423"/>
      <c r="C212" s="567" t="s">
        <v>868</v>
      </c>
      <c r="D212" s="568" t="s">
        <v>235</v>
      </c>
      <c r="E212" s="27" t="s">
        <v>776</v>
      </c>
      <c r="F212" s="811"/>
      <c r="G212" s="811"/>
      <c r="H212" s="811"/>
      <c r="I212" s="811"/>
      <c r="J212" s="807"/>
      <c r="K212" s="807"/>
      <c r="L212" s="807"/>
      <c r="M212" s="1683">
        <f>SUM(I212:L212)</f>
        <v>0</v>
      </c>
      <c r="N212" s="1655"/>
      <c r="O212" s="1564"/>
      <c r="P212" s="1564"/>
      <c r="Q212" s="1564"/>
      <c r="R212" s="1564"/>
      <c r="S212" s="1692">
        <f t="shared" si="46"/>
        <v>0</v>
      </c>
      <c r="T212" s="1706">
        <f t="shared" si="35"/>
        <v>0</v>
      </c>
    </row>
    <row r="213" spans="1:20" s="812" customFormat="1">
      <c r="B213" s="1423"/>
      <c r="C213" s="567" t="s">
        <v>869</v>
      </c>
      <c r="D213" s="568" t="s">
        <v>235</v>
      </c>
      <c r="E213" s="27" t="s">
        <v>776</v>
      </c>
      <c r="F213" s="811"/>
      <c r="G213" s="811"/>
      <c r="H213" s="811"/>
      <c r="I213" s="811"/>
      <c r="J213" s="807"/>
      <c r="K213" s="807"/>
      <c r="L213" s="807"/>
      <c r="M213" s="1683">
        <f>SUM(I213:L213)</f>
        <v>0</v>
      </c>
      <c r="N213" s="1655"/>
      <c r="O213" s="1564"/>
      <c r="P213" s="1564"/>
      <c r="Q213" s="1564"/>
      <c r="R213" s="1564"/>
      <c r="S213" s="1692">
        <f t="shared" si="46"/>
        <v>0</v>
      </c>
      <c r="T213" s="1706">
        <f t="shared" si="35"/>
        <v>0</v>
      </c>
    </row>
    <row r="214" spans="1:20" ht="13.5" thickBot="1">
      <c r="B214" s="1420"/>
      <c r="C214" s="787"/>
      <c r="D214" s="603"/>
      <c r="E214" s="603"/>
      <c r="F214" s="18"/>
      <c r="G214" s="18"/>
      <c r="H214" s="18"/>
      <c r="I214" s="18"/>
      <c r="J214" s="18"/>
      <c r="K214" s="18"/>
      <c r="L214" s="18"/>
      <c r="M214" s="1677">
        <f>SUM(I214:L214)</f>
        <v>0</v>
      </c>
      <c r="N214" s="1665"/>
      <c r="O214" s="18"/>
      <c r="P214" s="18"/>
      <c r="Q214" s="18"/>
      <c r="R214" s="18"/>
      <c r="S214" s="1692">
        <f t="shared" si="46"/>
        <v>0</v>
      </c>
      <c r="T214" s="1706">
        <f t="shared" si="35"/>
        <v>0</v>
      </c>
    </row>
    <row r="215" spans="1:20" ht="26.25" thickBot="1">
      <c r="A215" s="1053">
        <v>112</v>
      </c>
      <c r="B215" s="1419"/>
      <c r="C215" s="792" t="s">
        <v>262</v>
      </c>
      <c r="D215" s="655"/>
      <c r="E215" s="655"/>
      <c r="F215" s="411" t="s">
        <v>210</v>
      </c>
      <c r="G215" s="411">
        <v>1</v>
      </c>
      <c r="H215" s="411"/>
      <c r="I215" s="411">
        <f t="shared" ref="I215:S215" si="47">+I216+I218</f>
        <v>0</v>
      </c>
      <c r="J215" s="411">
        <f t="shared" si="47"/>
        <v>0</v>
      </c>
      <c r="K215" s="411">
        <f t="shared" si="47"/>
        <v>0</v>
      </c>
      <c r="L215" s="411">
        <f t="shared" si="47"/>
        <v>0</v>
      </c>
      <c r="M215" s="1685">
        <f t="shared" si="47"/>
        <v>0</v>
      </c>
      <c r="N215" s="1669">
        <f t="shared" si="47"/>
        <v>0</v>
      </c>
      <c r="O215" s="411">
        <f t="shared" si="47"/>
        <v>0</v>
      </c>
      <c r="P215" s="411">
        <f t="shared" si="47"/>
        <v>0</v>
      </c>
      <c r="Q215" s="411">
        <f t="shared" si="47"/>
        <v>0</v>
      </c>
      <c r="R215" s="411">
        <f t="shared" si="47"/>
        <v>0</v>
      </c>
      <c r="S215" s="1699">
        <f t="shared" si="47"/>
        <v>0</v>
      </c>
      <c r="T215" s="1713">
        <f t="shared" si="35"/>
        <v>0</v>
      </c>
    </row>
    <row r="216" spans="1:20" ht="25.5">
      <c r="A216" s="1053"/>
      <c r="B216" s="1419" t="s">
        <v>1038</v>
      </c>
      <c r="C216" s="790" t="s">
        <v>263</v>
      </c>
      <c r="D216" s="623"/>
      <c r="E216" s="623"/>
      <c r="F216" s="629" t="s">
        <v>210</v>
      </c>
      <c r="G216" s="629">
        <v>1</v>
      </c>
      <c r="H216" s="629"/>
      <c r="I216" s="629"/>
      <c r="J216" s="629"/>
      <c r="K216" s="629"/>
      <c r="L216" s="629"/>
      <c r="M216" s="701">
        <f>SUM(M217:M217)</f>
        <v>0</v>
      </c>
      <c r="N216" s="1664"/>
      <c r="O216" s="629"/>
      <c r="P216" s="629"/>
      <c r="Q216" s="629"/>
      <c r="R216" s="629"/>
      <c r="S216" s="1697">
        <f>SUM(S217:S217)</f>
        <v>0</v>
      </c>
      <c r="T216" s="1711">
        <f t="shared" si="35"/>
        <v>0</v>
      </c>
    </row>
    <row r="217" spans="1:20">
      <c r="B217" s="1420"/>
      <c r="C217" s="567" t="s">
        <v>870</v>
      </c>
      <c r="D217" s="175"/>
      <c r="E217" s="175"/>
      <c r="F217" s="811"/>
      <c r="G217" s="811"/>
      <c r="H217" s="811"/>
      <c r="I217" s="811"/>
      <c r="J217" s="811"/>
      <c r="K217" s="811"/>
      <c r="L217" s="811"/>
      <c r="M217" s="1683">
        <f>SUM(I217:L217)</f>
        <v>0</v>
      </c>
      <c r="N217" s="1655"/>
      <c r="O217" s="1564"/>
      <c r="P217" s="1564"/>
      <c r="Q217" s="1564"/>
      <c r="R217" s="1564"/>
      <c r="S217" s="1692">
        <f t="shared" ref="S217" si="48">+SUM(N217:R217)</f>
        <v>0</v>
      </c>
      <c r="T217" s="1706">
        <f t="shared" si="35"/>
        <v>0</v>
      </c>
    </row>
    <row r="218" spans="1:20" ht="25.5">
      <c r="A218" s="1053"/>
      <c r="B218" s="1419" t="s">
        <v>1039</v>
      </c>
      <c r="C218" s="793" t="s">
        <v>264</v>
      </c>
      <c r="D218" s="171"/>
      <c r="E218" s="171"/>
      <c r="F218" s="174" t="s">
        <v>209</v>
      </c>
      <c r="G218" s="174">
        <v>1</v>
      </c>
      <c r="H218" s="174"/>
      <c r="I218" s="174"/>
      <c r="J218" s="174"/>
      <c r="K218" s="174"/>
      <c r="L218" s="174"/>
      <c r="M218" s="1684">
        <f>SUM(M219:M220)</f>
        <v>0</v>
      </c>
      <c r="N218" s="1668"/>
      <c r="O218" s="174"/>
      <c r="P218" s="174"/>
      <c r="Q218" s="174"/>
      <c r="R218" s="174"/>
      <c r="S218" s="1698">
        <f>SUM(S219:S220)</f>
        <v>0</v>
      </c>
      <c r="T218" s="1712">
        <f t="shared" si="35"/>
        <v>0</v>
      </c>
    </row>
    <row r="219" spans="1:20" s="812" customFormat="1">
      <c r="B219" s="1423"/>
      <c r="C219" s="567" t="s">
        <v>871</v>
      </c>
      <c r="D219" s="568" t="s">
        <v>235</v>
      </c>
      <c r="E219" s="27"/>
      <c r="F219" s="811"/>
      <c r="G219" s="811"/>
      <c r="H219" s="811"/>
      <c r="I219" s="811"/>
      <c r="J219" s="811"/>
      <c r="K219" s="811"/>
      <c r="L219" s="811"/>
      <c r="M219" s="1683">
        <f>SUM(I219:L219)</f>
        <v>0</v>
      </c>
      <c r="N219" s="1655"/>
      <c r="O219" s="1564"/>
      <c r="P219" s="1564"/>
      <c r="Q219" s="1564"/>
      <c r="R219" s="1564"/>
      <c r="S219" s="1692">
        <f t="shared" ref="S219:S220" si="49">+SUM(N219:R219)</f>
        <v>0</v>
      </c>
      <c r="T219" s="1706">
        <f t="shared" si="35"/>
        <v>0</v>
      </c>
    </row>
    <row r="220" spans="1:20" s="812" customFormat="1" ht="13.5" thickBot="1">
      <c r="B220" s="1423"/>
      <c r="C220" s="567" t="s">
        <v>872</v>
      </c>
      <c r="D220" s="568" t="s">
        <v>235</v>
      </c>
      <c r="E220" s="27"/>
      <c r="F220" s="811"/>
      <c r="G220" s="811"/>
      <c r="H220" s="811"/>
      <c r="I220" s="811"/>
      <c r="J220" s="807"/>
      <c r="K220" s="807"/>
      <c r="L220" s="807"/>
      <c r="M220" s="1683">
        <f>SUM(I220:L220)</f>
        <v>0</v>
      </c>
      <c r="N220" s="1655"/>
      <c r="O220" s="1564"/>
      <c r="P220" s="1564"/>
      <c r="Q220" s="1564"/>
      <c r="R220" s="1564"/>
      <c r="S220" s="1692">
        <f t="shared" si="49"/>
        <v>0</v>
      </c>
      <c r="T220" s="1706">
        <f t="shared" si="35"/>
        <v>0</v>
      </c>
    </row>
    <row r="221" spans="1:20" ht="26.25" thickBot="1">
      <c r="A221" s="1053">
        <v>113</v>
      </c>
      <c r="B221" s="1419"/>
      <c r="C221" s="792" t="s">
        <v>265</v>
      </c>
      <c r="D221" s="655"/>
      <c r="E221" s="655"/>
      <c r="F221" s="411" t="s">
        <v>210</v>
      </c>
      <c r="G221" s="411">
        <v>0</v>
      </c>
      <c r="H221" s="411"/>
      <c r="I221" s="411"/>
      <c r="J221" s="411">
        <f t="shared" ref="J221:S221" si="50">+J222</f>
        <v>0</v>
      </c>
      <c r="K221" s="411">
        <f t="shared" si="50"/>
        <v>0</v>
      </c>
      <c r="L221" s="411">
        <f t="shared" si="50"/>
        <v>0</v>
      </c>
      <c r="M221" s="1685">
        <f t="shared" si="50"/>
        <v>0</v>
      </c>
      <c r="N221" s="1669">
        <f t="shared" si="50"/>
        <v>0</v>
      </c>
      <c r="O221" s="411">
        <f t="shared" si="50"/>
        <v>0</v>
      </c>
      <c r="P221" s="411">
        <f t="shared" si="50"/>
        <v>0</v>
      </c>
      <c r="Q221" s="411">
        <f t="shared" si="50"/>
        <v>0</v>
      </c>
      <c r="R221" s="411">
        <f t="shared" si="50"/>
        <v>0</v>
      </c>
      <c r="S221" s="1699">
        <f t="shared" si="50"/>
        <v>0</v>
      </c>
      <c r="T221" s="1713">
        <f t="shared" si="35"/>
        <v>0</v>
      </c>
    </row>
    <row r="222" spans="1:20" ht="38.25">
      <c r="A222" s="1053"/>
      <c r="B222" s="1419" t="s">
        <v>1040</v>
      </c>
      <c r="C222" s="790" t="s">
        <v>375</v>
      </c>
      <c r="D222" s="623"/>
      <c r="E222" s="623"/>
      <c r="F222" s="629" t="s">
        <v>210</v>
      </c>
      <c r="G222" s="629">
        <v>1</v>
      </c>
      <c r="H222" s="629"/>
      <c r="I222" s="629"/>
      <c r="J222" s="629"/>
      <c r="K222" s="629"/>
      <c r="L222" s="629"/>
      <c r="M222" s="701">
        <f>SUM(M223:M223)</f>
        <v>0</v>
      </c>
      <c r="N222" s="1664"/>
      <c r="O222" s="629"/>
      <c r="P222" s="629"/>
      <c r="Q222" s="629"/>
      <c r="R222" s="629"/>
      <c r="S222" s="1697">
        <f>SUM(S223:S223)</f>
        <v>0</v>
      </c>
      <c r="T222" s="1711">
        <f t="shared" si="35"/>
        <v>0</v>
      </c>
    </row>
    <row r="223" spans="1:20" s="812" customFormat="1" ht="26.25" thickBot="1">
      <c r="B223" s="1423"/>
      <c r="C223" s="785" t="s">
        <v>873</v>
      </c>
      <c r="D223" s="1396" t="s">
        <v>235</v>
      </c>
      <c r="E223" s="27"/>
      <c r="F223" s="811"/>
      <c r="G223" s="811"/>
      <c r="H223" s="811"/>
      <c r="I223" s="811"/>
      <c r="J223" s="807"/>
      <c r="K223" s="807"/>
      <c r="L223" s="807"/>
      <c r="M223" s="1683">
        <f>91999532*1.004*1.05*G223</f>
        <v>0</v>
      </c>
      <c r="N223" s="1655"/>
      <c r="O223" s="1564"/>
      <c r="P223" s="1564"/>
      <c r="Q223" s="1564"/>
      <c r="R223" s="1564"/>
      <c r="S223" s="1692">
        <f t="shared" ref="S223" si="51">+SUM(N223:R223)</f>
        <v>0</v>
      </c>
      <c r="T223" s="1706">
        <f t="shared" si="35"/>
        <v>0</v>
      </c>
    </row>
    <row r="224" spans="1:20" s="255" customFormat="1" ht="39" thickBot="1">
      <c r="A224" s="1053">
        <v>114</v>
      </c>
      <c r="B224" s="1419"/>
      <c r="C224" s="794" t="s">
        <v>268</v>
      </c>
      <c r="D224" s="653"/>
      <c r="E224" s="653"/>
      <c r="F224" s="654" t="s">
        <v>214</v>
      </c>
      <c r="G224" s="654">
        <v>100</v>
      </c>
      <c r="H224" s="654"/>
      <c r="I224" s="652">
        <f t="shared" ref="I224:S224" si="52">+I225</f>
        <v>0</v>
      </c>
      <c r="J224" s="652">
        <f t="shared" si="52"/>
        <v>22761475.814400002</v>
      </c>
      <c r="K224" s="652">
        <f t="shared" si="52"/>
        <v>0</v>
      </c>
      <c r="L224" s="652">
        <f t="shared" si="52"/>
        <v>0</v>
      </c>
      <c r="M224" s="1678">
        <f t="shared" si="52"/>
        <v>22761475.814400002</v>
      </c>
      <c r="N224" s="1656">
        <f t="shared" si="52"/>
        <v>0</v>
      </c>
      <c r="O224" s="652">
        <f t="shared" si="52"/>
        <v>21732127.782400001</v>
      </c>
      <c r="P224" s="652">
        <f t="shared" si="52"/>
        <v>0</v>
      </c>
      <c r="Q224" s="652">
        <f t="shared" si="52"/>
        <v>0</v>
      </c>
      <c r="R224" s="652">
        <f t="shared" si="52"/>
        <v>0</v>
      </c>
      <c r="S224" s="1693">
        <f t="shared" si="52"/>
        <v>21732127.782400001</v>
      </c>
      <c r="T224" s="1707">
        <f t="shared" si="35"/>
        <v>44493603.596799999</v>
      </c>
    </row>
    <row r="225" spans="1:20" s="255" customFormat="1" ht="25.5">
      <c r="A225" s="1053"/>
      <c r="B225" s="1419" t="s">
        <v>1041</v>
      </c>
      <c r="C225" s="784" t="s">
        <v>266</v>
      </c>
      <c r="D225" s="641"/>
      <c r="E225" s="641"/>
      <c r="F225" s="642" t="s">
        <v>214</v>
      </c>
      <c r="G225" s="642">
        <v>100</v>
      </c>
      <c r="H225" s="642"/>
      <c r="I225" s="643">
        <f>SUM(I226:I228)</f>
        <v>0</v>
      </c>
      <c r="J225" s="643">
        <f>SUM(J226:J228)</f>
        <v>22761475.814400002</v>
      </c>
      <c r="K225" s="643">
        <f>SUM(K226:K228)</f>
        <v>0</v>
      </c>
      <c r="L225" s="643">
        <f>SUM(L226:L228)</f>
        <v>0</v>
      </c>
      <c r="M225" s="1675">
        <f>SUM(M226:M228)</f>
        <v>22761475.814400002</v>
      </c>
      <c r="N225" s="1659">
        <f>SUM(N226:N229)</f>
        <v>0</v>
      </c>
      <c r="O225" s="643">
        <f t="shared" ref="O225:S225" si="53">SUM(O226:O229)</f>
        <v>21732127.782400001</v>
      </c>
      <c r="P225" s="643">
        <f t="shared" si="53"/>
        <v>0</v>
      </c>
      <c r="Q225" s="643">
        <f t="shared" si="53"/>
        <v>0</v>
      </c>
      <c r="R225" s="643">
        <f t="shared" si="53"/>
        <v>0</v>
      </c>
      <c r="S225" s="1691">
        <f t="shared" si="53"/>
        <v>21732127.782400001</v>
      </c>
      <c r="T225" s="1705">
        <f t="shared" si="35"/>
        <v>44493603.596799999</v>
      </c>
    </row>
    <row r="226" spans="1:20" s="812" customFormat="1" ht="37.5" customHeight="1">
      <c r="B226" s="1423"/>
      <c r="C226" s="567" t="s">
        <v>779</v>
      </c>
      <c r="D226" s="568" t="s">
        <v>235</v>
      </c>
      <c r="E226" s="27" t="s">
        <v>776</v>
      </c>
      <c r="F226" s="811"/>
      <c r="G226" s="811">
        <v>1</v>
      </c>
      <c r="H226" s="811"/>
      <c r="I226" s="811"/>
      <c r="J226" s="355">
        <v>3880737.9072000002</v>
      </c>
      <c r="K226" s="355"/>
      <c r="L226" s="811"/>
      <c r="M226" s="1683">
        <f>+SUM(I226:L226)</f>
        <v>3880737.9072000002</v>
      </c>
      <c r="N226" s="1655"/>
      <c r="O226" s="1564"/>
      <c r="P226" s="1564"/>
      <c r="Q226" s="1564"/>
      <c r="R226" s="1564"/>
      <c r="S226" s="1692">
        <f t="shared" ref="S226:S229" si="54">+SUM(N226:R226)</f>
        <v>0</v>
      </c>
      <c r="T226" s="1706">
        <f t="shared" si="35"/>
        <v>3880737.9072000002</v>
      </c>
    </row>
    <row r="227" spans="1:20" s="812" customFormat="1" ht="37.5" customHeight="1">
      <c r="B227" s="1423"/>
      <c r="C227" s="567" t="s">
        <v>780</v>
      </c>
      <c r="D227" s="568" t="s">
        <v>235</v>
      </c>
      <c r="E227" s="27" t="s">
        <v>776</v>
      </c>
      <c r="F227" s="811"/>
      <c r="G227" s="811">
        <v>1</v>
      </c>
      <c r="H227" s="282"/>
      <c r="I227" s="282"/>
      <c r="J227" s="273">
        <v>3880737.9072000002</v>
      </c>
      <c r="K227" s="274"/>
      <c r="L227" s="282"/>
      <c r="M227" s="1683">
        <f t="shared" ref="M227:M229" si="55">+SUM(I227:L227)</f>
        <v>3880737.9072000002</v>
      </c>
      <c r="N227" s="1670"/>
      <c r="O227" s="282"/>
      <c r="P227" s="282"/>
      <c r="Q227" s="282"/>
      <c r="R227" s="282"/>
      <c r="S227" s="1692">
        <f t="shared" si="54"/>
        <v>0</v>
      </c>
      <c r="T227" s="1706">
        <f t="shared" si="35"/>
        <v>3880737.9072000002</v>
      </c>
    </row>
    <row r="228" spans="1:20" s="812" customFormat="1" ht="37.5" customHeight="1">
      <c r="B228" s="1423"/>
      <c r="C228" s="785" t="s">
        <v>806</v>
      </c>
      <c r="D228" s="407" t="s">
        <v>235</v>
      </c>
      <c r="E228" s="426" t="s">
        <v>776</v>
      </c>
      <c r="F228" s="18"/>
      <c r="G228" s="18">
        <v>1</v>
      </c>
      <c r="H228" s="273"/>
      <c r="I228" s="273"/>
      <c r="J228" s="273">
        <v>15000000</v>
      </c>
      <c r="K228" s="273"/>
      <c r="L228" s="273"/>
      <c r="M228" s="1683">
        <f t="shared" si="55"/>
        <v>15000000</v>
      </c>
      <c r="N228" s="1670"/>
      <c r="O228" s="282"/>
      <c r="P228" s="282"/>
      <c r="Q228" s="282"/>
      <c r="R228" s="282"/>
      <c r="S228" s="1692">
        <f t="shared" si="54"/>
        <v>0</v>
      </c>
      <c r="T228" s="1706">
        <f t="shared" ref="T228:T240" si="56">+S228+M228</f>
        <v>15000000</v>
      </c>
    </row>
    <row r="229" spans="1:20" s="812" customFormat="1" ht="37.5" customHeight="1" thickBot="1">
      <c r="B229" s="1423"/>
      <c r="C229" s="1957" t="s">
        <v>1229</v>
      </c>
      <c r="D229" s="407" t="s">
        <v>235</v>
      </c>
      <c r="E229" s="1572" t="s">
        <v>776</v>
      </c>
      <c r="F229" s="407"/>
      <c r="G229" s="407">
        <v>1</v>
      </c>
      <c r="H229" s="273"/>
      <c r="I229" s="273"/>
      <c r="J229" s="273"/>
      <c r="K229" s="273"/>
      <c r="L229" s="273"/>
      <c r="M229" s="1683">
        <f t="shared" si="55"/>
        <v>0</v>
      </c>
      <c r="N229" s="2000">
        <f>21732127.7824-21732127.7824</f>
        <v>0</v>
      </c>
      <c r="O229" s="282">
        <v>21732127.782400001</v>
      </c>
      <c r="P229" s="282"/>
      <c r="Q229" s="282"/>
      <c r="R229" s="282"/>
      <c r="S229" s="1692">
        <f t="shared" si="54"/>
        <v>21732127.782400001</v>
      </c>
      <c r="T229" s="1714">
        <f t="shared" si="56"/>
        <v>21732127.782400001</v>
      </c>
    </row>
    <row r="230" spans="1:20" s="255" customFormat="1" ht="39" thickBot="1">
      <c r="A230" s="1053">
        <v>115</v>
      </c>
      <c r="B230" s="1419"/>
      <c r="C230" s="794" t="s">
        <v>269</v>
      </c>
      <c r="D230" s="653"/>
      <c r="E230" s="653"/>
      <c r="F230" s="654" t="s">
        <v>214</v>
      </c>
      <c r="G230" s="654">
        <v>100</v>
      </c>
      <c r="H230" s="654"/>
      <c r="I230" s="652">
        <f t="shared" ref="I230:S230" si="57">+I231</f>
        <v>0</v>
      </c>
      <c r="J230" s="652">
        <f t="shared" si="57"/>
        <v>7911917.8104141001</v>
      </c>
      <c r="K230" s="652">
        <f t="shared" si="57"/>
        <v>0</v>
      </c>
      <c r="L230" s="652">
        <f t="shared" si="57"/>
        <v>0</v>
      </c>
      <c r="M230" s="1678">
        <f t="shared" si="57"/>
        <v>7911917.8104141001</v>
      </c>
      <c r="N230" s="1656">
        <f t="shared" si="57"/>
        <v>0</v>
      </c>
      <c r="O230" s="652">
        <f t="shared" si="57"/>
        <v>0</v>
      </c>
      <c r="P230" s="652">
        <f t="shared" si="57"/>
        <v>0</v>
      </c>
      <c r="Q230" s="652">
        <f t="shared" si="57"/>
        <v>0</v>
      </c>
      <c r="R230" s="652">
        <f t="shared" si="57"/>
        <v>0</v>
      </c>
      <c r="S230" s="1693">
        <f t="shared" si="57"/>
        <v>0</v>
      </c>
      <c r="T230" s="1707">
        <f t="shared" si="56"/>
        <v>7911917.8104141001</v>
      </c>
    </row>
    <row r="231" spans="1:20" s="255" customFormat="1" ht="38.25">
      <c r="A231" s="1053"/>
      <c r="B231" s="1419" t="s">
        <v>1042</v>
      </c>
      <c r="C231" s="784" t="s">
        <v>267</v>
      </c>
      <c r="D231" s="641"/>
      <c r="E231" s="641"/>
      <c r="F231" s="642"/>
      <c r="G231" s="642">
        <v>100</v>
      </c>
      <c r="H231" s="642"/>
      <c r="I231" s="643">
        <f t="shared" ref="I231:S231" si="58">SUM(I232:I232)</f>
        <v>0</v>
      </c>
      <c r="J231" s="643">
        <f t="shared" si="58"/>
        <v>7911917.8104141001</v>
      </c>
      <c r="K231" s="643">
        <f t="shared" si="58"/>
        <v>0</v>
      </c>
      <c r="L231" s="643">
        <f t="shared" si="58"/>
        <v>0</v>
      </c>
      <c r="M231" s="1675">
        <f t="shared" si="58"/>
        <v>7911917.8104141001</v>
      </c>
      <c r="N231" s="1659">
        <f t="shared" si="58"/>
        <v>0</v>
      </c>
      <c r="O231" s="643">
        <f t="shared" si="58"/>
        <v>0</v>
      </c>
      <c r="P231" s="643">
        <f t="shared" si="58"/>
        <v>0</v>
      </c>
      <c r="Q231" s="643">
        <f t="shared" si="58"/>
        <v>0</v>
      </c>
      <c r="R231" s="643">
        <f t="shared" si="58"/>
        <v>0</v>
      </c>
      <c r="S231" s="1691">
        <f t="shared" si="58"/>
        <v>0</v>
      </c>
      <c r="T231" s="1705">
        <f t="shared" si="56"/>
        <v>7911917.8104141001</v>
      </c>
    </row>
    <row r="232" spans="1:20" s="812" customFormat="1" ht="26.25" thickBot="1">
      <c r="B232" s="1423"/>
      <c r="C232" s="567" t="s">
        <v>775</v>
      </c>
      <c r="D232" s="568" t="s">
        <v>235</v>
      </c>
      <c r="E232" s="27" t="s">
        <v>776</v>
      </c>
      <c r="F232" s="811"/>
      <c r="G232" s="811"/>
      <c r="H232" s="811"/>
      <c r="I232" s="811"/>
      <c r="J232" s="355">
        <v>7911917.8104141001</v>
      </c>
      <c r="K232" s="811"/>
      <c r="L232" s="811"/>
      <c r="M232" s="1686">
        <f>+SUM(I232:L232)</f>
        <v>7911917.8104141001</v>
      </c>
      <c r="N232" s="1655"/>
      <c r="O232" s="1564"/>
      <c r="P232" s="1564"/>
      <c r="Q232" s="1564"/>
      <c r="R232" s="1564"/>
      <c r="S232" s="1692">
        <f t="shared" ref="S232" si="59">+SUM(N232:R232)</f>
        <v>0</v>
      </c>
      <c r="T232" s="1706">
        <f t="shared" si="56"/>
        <v>7911917.8104141001</v>
      </c>
    </row>
    <row r="233" spans="1:20" s="255" customFormat="1" ht="26.25" thickBot="1">
      <c r="A233" s="1053">
        <v>116</v>
      </c>
      <c r="B233" s="1419"/>
      <c r="C233" s="791" t="s">
        <v>38</v>
      </c>
      <c r="D233" s="653"/>
      <c r="E233" s="653"/>
      <c r="F233" s="657" t="s">
        <v>209</v>
      </c>
      <c r="G233" s="657">
        <v>1</v>
      </c>
      <c r="H233" s="657"/>
      <c r="I233" s="656">
        <f t="shared" ref="I233:S233" si="60">+I234+I239</f>
        <v>0</v>
      </c>
      <c r="J233" s="656">
        <f t="shared" si="60"/>
        <v>1534142995.2975998</v>
      </c>
      <c r="K233" s="656">
        <f t="shared" si="60"/>
        <v>1013701571.2389286</v>
      </c>
      <c r="L233" s="656">
        <f t="shared" si="60"/>
        <v>0</v>
      </c>
      <c r="M233" s="1687">
        <f t="shared" si="60"/>
        <v>2547844566.5365286</v>
      </c>
      <c r="N233" s="1671">
        <f t="shared" si="60"/>
        <v>2129399.7024002075</v>
      </c>
      <c r="O233" s="656">
        <f t="shared" si="60"/>
        <v>0</v>
      </c>
      <c r="P233" s="656">
        <f t="shared" si="60"/>
        <v>0</v>
      </c>
      <c r="Q233" s="656">
        <f t="shared" si="60"/>
        <v>0</v>
      </c>
      <c r="R233" s="656">
        <f t="shared" si="60"/>
        <v>115000000</v>
      </c>
      <c r="S233" s="1700">
        <f t="shared" si="60"/>
        <v>117129399.70240021</v>
      </c>
      <c r="T233" s="1715">
        <f t="shared" si="56"/>
        <v>2664973966.2389288</v>
      </c>
    </row>
    <row r="234" spans="1:20" s="255" customFormat="1" ht="60" customHeight="1">
      <c r="A234" s="1053"/>
      <c r="B234" s="1419" t="s">
        <v>1043</v>
      </c>
      <c r="C234" s="784" t="s">
        <v>413</v>
      </c>
      <c r="D234" s="641"/>
      <c r="E234" s="641"/>
      <c r="F234" s="642" t="s">
        <v>209</v>
      </c>
      <c r="G234" s="642">
        <v>1</v>
      </c>
      <c r="H234" s="642"/>
      <c r="I234" s="643">
        <f>+I235</f>
        <v>0</v>
      </c>
      <c r="J234" s="643">
        <f>+J235+J236+J237</f>
        <v>5340338.2975997962</v>
      </c>
      <c r="K234" s="643">
        <f t="shared" ref="K234:L234" si="61">+K235+K236+K237</f>
        <v>43222914.238928601</v>
      </c>
      <c r="L234" s="643">
        <f t="shared" si="61"/>
        <v>0</v>
      </c>
      <c r="M234" s="1675">
        <f>+M235+M236+M237</f>
        <v>48563252.536528394</v>
      </c>
      <c r="N234" s="1659">
        <f>+SUM(N235:N237)</f>
        <v>2129399.7024002075</v>
      </c>
      <c r="O234" s="1659">
        <f t="shared" ref="O234:R234" si="62">+SUM(O235:O237)</f>
        <v>0</v>
      </c>
      <c r="P234" s="1659">
        <f t="shared" si="62"/>
        <v>0</v>
      </c>
      <c r="Q234" s="1659">
        <f t="shared" si="62"/>
        <v>0</v>
      </c>
      <c r="R234" s="1659">
        <f t="shared" si="62"/>
        <v>115000000</v>
      </c>
      <c r="S234" s="1691">
        <f>+SUM(S235:S237)</f>
        <v>117129399.70240021</v>
      </c>
      <c r="T234" s="1705">
        <f t="shared" si="56"/>
        <v>165692652.23892862</v>
      </c>
    </row>
    <row r="235" spans="1:20" s="812" customFormat="1" ht="24" customHeight="1">
      <c r="B235" s="1423"/>
      <c r="C235" s="567" t="s">
        <v>874</v>
      </c>
      <c r="D235" s="811" t="s">
        <v>1116</v>
      </c>
      <c r="E235" s="811" t="s">
        <v>875</v>
      </c>
      <c r="F235" s="811"/>
      <c r="G235" s="811"/>
      <c r="H235" s="811"/>
      <c r="I235" s="2127"/>
      <c r="J235" s="807"/>
      <c r="K235" s="806">
        <f>43253085.3-24000000-1200000</f>
        <v>18053085.299999997</v>
      </c>
      <c r="L235" s="806"/>
      <c r="M235" s="1683">
        <f>+SUM(I235:L235)</f>
        <v>18053085.299999997</v>
      </c>
      <c r="N235" s="1655">
        <v>219877</v>
      </c>
      <c r="O235" s="2155"/>
      <c r="P235" s="2155"/>
      <c r="Q235" s="1987"/>
      <c r="R235" s="1463">
        <f>100000000-34898842</f>
        <v>65101158</v>
      </c>
      <c r="S235" s="2006">
        <f t="shared" ref="S235:S237" si="63">+SUM(N235:R235)</f>
        <v>65321035</v>
      </c>
      <c r="T235" s="2007">
        <f t="shared" si="56"/>
        <v>83374120.299999997</v>
      </c>
    </row>
    <row r="236" spans="1:20" s="812" customFormat="1" ht="24" customHeight="1">
      <c r="B236" s="1423"/>
      <c r="C236" s="567" t="s">
        <v>1007</v>
      </c>
      <c r="D236" s="1580" t="s">
        <v>568</v>
      </c>
      <c r="E236" s="1580" t="s">
        <v>586</v>
      </c>
      <c r="F236" s="811"/>
      <c r="G236" s="1397"/>
      <c r="H236" s="1397"/>
      <c r="I236" s="2117"/>
      <c r="J236" s="2110">
        <f>858157.221759796+4482181.07584</f>
        <v>5340338.2975997962</v>
      </c>
      <c r="K236" s="2110">
        <v>1169828.9389286041</v>
      </c>
      <c r="L236" s="1398"/>
      <c r="M236" s="1683">
        <f>+SUM(I236:L236)</f>
        <v>6510167.2365284003</v>
      </c>
      <c r="N236" s="2087">
        <f>2129399.33603207-219876.633631863</f>
        <v>1909522.7024002073</v>
      </c>
      <c r="O236" s="2117"/>
      <c r="P236" s="1397"/>
      <c r="Q236" s="1397"/>
      <c r="R236" s="2087">
        <v>15000000</v>
      </c>
      <c r="S236" s="2006">
        <f t="shared" si="63"/>
        <v>16909522.702400208</v>
      </c>
      <c r="T236" s="2007">
        <f t="shared" si="56"/>
        <v>23419689.938928608</v>
      </c>
    </row>
    <row r="237" spans="1:20" s="812" customFormat="1" ht="24" customHeight="1">
      <c r="B237" s="1423"/>
      <c r="C237" s="567" t="s">
        <v>1399</v>
      </c>
      <c r="D237" s="2154" t="s">
        <v>568</v>
      </c>
      <c r="E237" s="2154"/>
      <c r="F237" s="2153"/>
      <c r="G237" s="1397"/>
      <c r="H237" s="1397"/>
      <c r="I237" s="2117"/>
      <c r="J237" s="2110"/>
      <c r="K237" s="2110">
        <v>24000000</v>
      </c>
      <c r="L237" s="1398"/>
      <c r="M237" s="1683">
        <f>+SUM(I237:L237)</f>
        <v>24000000</v>
      </c>
      <c r="N237" s="2087"/>
      <c r="O237" s="1397"/>
      <c r="P237" s="1397"/>
      <c r="Q237" s="1397"/>
      <c r="R237" s="2087">
        <v>34898842</v>
      </c>
      <c r="S237" s="2006">
        <f t="shared" si="63"/>
        <v>34898842</v>
      </c>
      <c r="T237" s="2007">
        <f t="shared" si="56"/>
        <v>58898842</v>
      </c>
    </row>
    <row r="238" spans="1:20" s="812" customFormat="1" ht="27" customHeight="1">
      <c r="A238" s="1053"/>
      <c r="B238" s="1419" t="s">
        <v>1044</v>
      </c>
      <c r="C238" s="1202" t="s">
        <v>660</v>
      </c>
      <c r="D238" s="1200"/>
      <c r="E238" s="1200"/>
      <c r="F238" s="1200"/>
      <c r="G238" s="1200"/>
      <c r="H238" s="1200"/>
      <c r="I238" s="1201">
        <f t="shared" ref="I238:S238" si="64">+I239</f>
        <v>0</v>
      </c>
      <c r="J238" s="1201">
        <f t="shared" si="64"/>
        <v>1528802657</v>
      </c>
      <c r="K238" s="1201">
        <f t="shared" si="64"/>
        <v>970478657</v>
      </c>
      <c r="L238" s="1201">
        <f t="shared" si="64"/>
        <v>0</v>
      </c>
      <c r="M238" s="1688">
        <f t="shared" si="64"/>
        <v>2499281314</v>
      </c>
      <c r="N238" s="1201">
        <f t="shared" si="64"/>
        <v>0</v>
      </c>
      <c r="O238" s="1201">
        <f t="shared" si="64"/>
        <v>0</v>
      </c>
      <c r="P238" s="1201">
        <f t="shared" si="64"/>
        <v>0</v>
      </c>
      <c r="Q238" s="1201">
        <f t="shared" si="64"/>
        <v>0</v>
      </c>
      <c r="R238" s="1201">
        <f t="shared" si="64"/>
        <v>0</v>
      </c>
      <c r="S238" s="1701">
        <f t="shared" si="64"/>
        <v>0</v>
      </c>
      <c r="T238" s="1716">
        <f t="shared" si="56"/>
        <v>2499281314</v>
      </c>
    </row>
    <row r="239" spans="1:20" s="812" customFormat="1" ht="27" customHeight="1" thickBot="1">
      <c r="B239" s="1423"/>
      <c r="C239" s="1203" t="s">
        <v>876</v>
      </c>
      <c r="D239" s="1203" t="s">
        <v>235</v>
      </c>
      <c r="E239" s="1203" t="s">
        <v>776</v>
      </c>
      <c r="F239" s="1203" t="s">
        <v>209</v>
      </c>
      <c r="G239" s="1982">
        <v>1</v>
      </c>
      <c r="H239" s="1203"/>
      <c r="I239" s="1203"/>
      <c r="J239" s="1414">
        <v>1528802657</v>
      </c>
      <c r="K239" s="1414">
        <v>970478657</v>
      </c>
      <c r="L239" s="1414"/>
      <c r="M239" s="1689">
        <f>+K239+J239</f>
        <v>2499281314</v>
      </c>
      <c r="N239" s="1672"/>
      <c r="O239" s="1203"/>
      <c r="P239" s="1203"/>
      <c r="Q239" s="1203"/>
      <c r="R239" s="1203"/>
      <c r="S239" s="1702">
        <f>+Q239+P239</f>
        <v>0</v>
      </c>
      <c r="T239" s="1717">
        <f t="shared" si="56"/>
        <v>2499281314</v>
      </c>
    </row>
    <row r="240" spans="1:20" ht="25.5" customHeight="1" thickBot="1">
      <c r="B240" s="1420"/>
      <c r="C240" s="2501" t="s">
        <v>10</v>
      </c>
      <c r="D240" s="2502"/>
      <c r="E240" s="2502"/>
      <c r="F240" s="2502"/>
      <c r="G240" s="2503"/>
      <c r="H240" s="1199"/>
      <c r="I240" s="739">
        <f t="shared" ref="I240:S240" si="65">+I10+I16+I20+I90+I95+I161+I208+I215+I221+I224+I230+I233</f>
        <v>286678204.91280001</v>
      </c>
      <c r="J240" s="739">
        <f t="shared" si="65"/>
        <v>2473763200.4429021</v>
      </c>
      <c r="K240" s="739">
        <f t="shared" si="65"/>
        <v>1161188168.8</v>
      </c>
      <c r="L240" s="739">
        <f t="shared" si="65"/>
        <v>47755737.429999992</v>
      </c>
      <c r="M240" s="740">
        <f t="shared" si="65"/>
        <v>3969385311.5857024</v>
      </c>
      <c r="N240" s="1673">
        <f t="shared" si="65"/>
        <v>21732127.702400208</v>
      </c>
      <c r="O240" s="739">
        <f t="shared" si="65"/>
        <v>272089975.07999974</v>
      </c>
      <c r="P240" s="739">
        <f t="shared" si="65"/>
        <v>93137690.280000001</v>
      </c>
      <c r="Q240" s="739">
        <f t="shared" si="65"/>
        <v>84201605.147599995</v>
      </c>
      <c r="R240" s="739">
        <f t="shared" si="65"/>
        <v>146531566</v>
      </c>
      <c r="S240" s="1703">
        <f t="shared" si="65"/>
        <v>617692964.20999992</v>
      </c>
      <c r="T240" s="1718">
        <f t="shared" si="56"/>
        <v>4587078275.795702</v>
      </c>
    </row>
    <row r="241" spans="9:20" ht="13.5" thickBot="1">
      <c r="M241" s="256"/>
      <c r="N241" s="178"/>
      <c r="O241" s="178"/>
      <c r="P241" s="178"/>
      <c r="Q241" s="178"/>
      <c r="R241" s="178"/>
      <c r="S241" s="256"/>
      <c r="T241" s="256"/>
    </row>
    <row r="242" spans="9:20" ht="13.5" thickBot="1">
      <c r="I242" s="604">
        <v>286678205</v>
      </c>
      <c r="J242" s="604">
        <f>2436353788+37409413</f>
        <v>2473763201</v>
      </c>
      <c r="K242" s="604">
        <v>1161188169</v>
      </c>
      <c r="L242" s="604">
        <v>47755737</v>
      </c>
      <c r="M242" s="605">
        <f>3931975899+37409413</f>
        <v>3969385312</v>
      </c>
      <c r="N242" s="605">
        <v>21732127.782399997</v>
      </c>
      <c r="O242" s="605">
        <v>272089975.46399999</v>
      </c>
      <c r="P242" s="605">
        <v>93137690.280000001</v>
      </c>
      <c r="Q242" s="605">
        <v>84201603.980800003</v>
      </c>
      <c r="R242" s="605">
        <v>146531566</v>
      </c>
      <c r="S242" s="605">
        <v>617692963.5072</v>
      </c>
      <c r="T242" s="605">
        <v>4587078275.5072002</v>
      </c>
    </row>
    <row r="243" spans="9:20" ht="15.75" customHeight="1"/>
    <row r="244" spans="9:20">
      <c r="I244" s="527">
        <f>+I242-I240</f>
        <v>8.7199985980987549E-2</v>
      </c>
      <c r="J244" s="527">
        <f>+J242-J240</f>
        <v>0.5570979118347168</v>
      </c>
      <c r="K244" s="527">
        <f>+K242-K240</f>
        <v>0.20000004768371582</v>
      </c>
      <c r="L244" s="527">
        <f>+L242-L240</f>
        <v>-0.42999999225139618</v>
      </c>
      <c r="M244" s="527">
        <f>+M242-M240</f>
        <v>0.41429758071899414</v>
      </c>
      <c r="N244" s="527">
        <f t="shared" ref="N244:T244" si="66">+N242-N240</f>
        <v>7.9999789595603943E-2</v>
      </c>
      <c r="O244" s="527">
        <f t="shared" si="66"/>
        <v>0.38400024175643921</v>
      </c>
      <c r="P244" s="527">
        <f t="shared" si="66"/>
        <v>0</v>
      </c>
      <c r="Q244" s="527">
        <f t="shared" si="66"/>
        <v>-1.1667999923229218</v>
      </c>
      <c r="R244" s="527">
        <f t="shared" si="66"/>
        <v>0</v>
      </c>
      <c r="S244" s="527">
        <f t="shared" si="66"/>
        <v>-0.70279991626739502</v>
      </c>
      <c r="T244" s="527">
        <f t="shared" si="66"/>
        <v>-0.28850173950195313</v>
      </c>
    </row>
    <row r="252" spans="9:20">
      <c r="M252" s="1399"/>
    </row>
    <row r="258" spans="15:16">
      <c r="O258" s="2088"/>
      <c r="P258" s="2088"/>
    </row>
  </sheetData>
  <mergeCells count="30">
    <mergeCell ref="A7:A9"/>
    <mergeCell ref="B7:B9"/>
    <mergeCell ref="C1:C3"/>
    <mergeCell ref="S1:T1"/>
    <mergeCell ref="S2:T2"/>
    <mergeCell ref="S3:T3"/>
    <mergeCell ref="C7:C9"/>
    <mergeCell ref="D7:D9"/>
    <mergeCell ref="E7:E9"/>
    <mergeCell ref="F7:F9"/>
    <mergeCell ref="G7:G9"/>
    <mergeCell ref="I7:L7"/>
    <mergeCell ref="H7:H9"/>
    <mergeCell ref="T7:T9"/>
    <mergeCell ref="R8:R9"/>
    <mergeCell ref="N7:S7"/>
    <mergeCell ref="D1:R3"/>
    <mergeCell ref="C6:T6"/>
    <mergeCell ref="C5:T5"/>
    <mergeCell ref="C240:G240"/>
    <mergeCell ref="M7:M9"/>
    <mergeCell ref="I8:I9"/>
    <mergeCell ref="J8:J9"/>
    <mergeCell ref="K8:K9"/>
    <mergeCell ref="L8:L9"/>
    <mergeCell ref="S8:S9"/>
    <mergeCell ref="N8:N9"/>
    <mergeCell ref="P8:P9"/>
    <mergeCell ref="Q8:Q9"/>
    <mergeCell ref="O8:O9"/>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theme="7" tint="0.59999389629810485"/>
  </sheetPr>
  <dimension ref="A1:X49"/>
  <sheetViews>
    <sheetView topLeftCell="A22" workbookViewId="0">
      <selection activeCell="C45" sqref="C45"/>
    </sheetView>
  </sheetViews>
  <sheetFormatPr baseColWidth="10" defaultRowHeight="15"/>
  <cols>
    <col min="1" max="1" width="9" customWidth="1"/>
    <col min="2" max="2" width="67.28515625" customWidth="1"/>
    <col min="3" max="3" width="13.5703125" customWidth="1"/>
    <col min="5" max="5" width="20.42578125" customWidth="1"/>
    <col min="6" max="6" width="16.42578125" customWidth="1"/>
    <col min="7" max="7" width="17.140625" customWidth="1"/>
    <col min="8" max="11" width="21" customWidth="1"/>
    <col min="12" max="12" width="18.85546875" customWidth="1"/>
    <col min="13" max="13" width="21" customWidth="1"/>
    <col min="14" max="14" width="3.5703125" customWidth="1"/>
  </cols>
  <sheetData>
    <row r="1" spans="1:24" ht="15.75" thickBot="1">
      <c r="B1" s="2453" t="s">
        <v>542</v>
      </c>
      <c r="C1" s="2453"/>
      <c r="D1" s="2453"/>
      <c r="E1" s="2453"/>
      <c r="F1" s="2453"/>
      <c r="G1" s="2453"/>
      <c r="H1" s="2453"/>
      <c r="I1" s="2453"/>
      <c r="J1" s="2453"/>
      <c r="K1" s="2453"/>
      <c r="L1" s="2495" t="s">
        <v>539</v>
      </c>
      <c r="M1" s="2496"/>
    </row>
    <row r="2" spans="1:24" ht="15.75" thickBot="1">
      <c r="B2" s="2453"/>
      <c r="C2" s="2453"/>
      <c r="D2" s="2453"/>
      <c r="E2" s="2453"/>
      <c r="F2" s="2453"/>
      <c r="G2" s="2453"/>
      <c r="H2" s="2453"/>
      <c r="I2" s="2453"/>
      <c r="J2" s="2453"/>
      <c r="K2" s="2453"/>
      <c r="L2" s="2497" t="s">
        <v>540</v>
      </c>
      <c r="M2" s="2498"/>
    </row>
    <row r="3" spans="1:24" ht="15.75" thickBot="1">
      <c r="B3" s="2453"/>
      <c r="C3" s="2453"/>
      <c r="D3" s="2453"/>
      <c r="E3" s="2453"/>
      <c r="F3" s="2453"/>
      <c r="G3" s="2453"/>
      <c r="H3" s="2453"/>
      <c r="I3" s="2453"/>
      <c r="J3" s="2453"/>
      <c r="K3" s="2453"/>
      <c r="L3" s="2499" t="s">
        <v>541</v>
      </c>
      <c r="M3" s="2500"/>
    </row>
    <row r="4" spans="1:24" s="1" customFormat="1" ht="15" customHeight="1" thickBot="1">
      <c r="A4" s="2518"/>
      <c r="B4" s="2518"/>
      <c r="C4" s="2518"/>
      <c r="D4" s="2518"/>
      <c r="E4" s="2518"/>
      <c r="F4" s="2518"/>
      <c r="G4" s="2518"/>
      <c r="H4" s="2518"/>
      <c r="I4" s="1584"/>
      <c r="J4" s="1584"/>
      <c r="K4" s="1584"/>
      <c r="M4" s="1584"/>
      <c r="Q4"/>
      <c r="R4"/>
      <c r="S4"/>
      <c r="T4"/>
      <c r="U4"/>
      <c r="V4"/>
      <c r="W4"/>
      <c r="X4"/>
    </row>
    <row r="5" spans="1:24" s="1" customFormat="1" ht="15" customHeight="1" thickBot="1">
      <c r="A5" s="2440" t="s">
        <v>181</v>
      </c>
      <c r="B5" s="2440"/>
      <c r="C5" s="2440"/>
      <c r="D5" s="2440"/>
      <c r="E5" s="2440"/>
      <c r="F5" s="2440"/>
      <c r="G5" s="2440"/>
      <c r="H5" s="2440"/>
      <c r="I5" s="2440"/>
      <c r="J5" s="2440"/>
      <c r="K5" s="2440"/>
      <c r="L5" s="2440"/>
      <c r="M5" s="2440"/>
      <c r="Q5"/>
      <c r="R5"/>
      <c r="S5"/>
      <c r="T5"/>
      <c r="U5"/>
      <c r="V5"/>
      <c r="W5"/>
      <c r="X5"/>
    </row>
    <row r="6" spans="1:24" ht="25.5" customHeight="1" thickBot="1">
      <c r="A6" s="2440" t="s">
        <v>182</v>
      </c>
      <c r="B6" s="2440"/>
      <c r="C6" s="2440"/>
      <c r="D6" s="2440"/>
      <c r="E6" s="2440"/>
      <c r="F6" s="2440"/>
      <c r="G6" s="2440"/>
      <c r="H6" s="2440"/>
      <c r="I6" s="2440"/>
      <c r="J6" s="2440"/>
      <c r="K6" s="2440"/>
      <c r="L6" s="2440"/>
      <c r="M6" s="2440"/>
    </row>
    <row r="7" spans="1:24" ht="22.5" customHeight="1" thickBot="1">
      <c r="A7" s="2397" t="s">
        <v>383</v>
      </c>
      <c r="B7" s="2455" t="s">
        <v>197</v>
      </c>
      <c r="C7" s="2510">
        <v>2023</v>
      </c>
      <c r="D7" s="2511"/>
      <c r="E7" s="2511"/>
      <c r="F7" s="2511"/>
      <c r="G7" s="2511"/>
      <c r="H7" s="2512"/>
      <c r="I7" s="2441">
        <v>2023</v>
      </c>
      <c r="J7" s="2442"/>
      <c r="K7" s="2443"/>
      <c r="L7" s="2516" t="s">
        <v>1132</v>
      </c>
      <c r="M7" s="2516" t="s">
        <v>453</v>
      </c>
    </row>
    <row r="8" spans="1:24" ht="15.75" customHeight="1" thickBot="1">
      <c r="A8" s="2397"/>
      <c r="B8" s="2455"/>
      <c r="C8" s="2414" t="s">
        <v>199</v>
      </c>
      <c r="D8" s="2414" t="s">
        <v>200</v>
      </c>
      <c r="E8" s="2513" t="s">
        <v>198</v>
      </c>
      <c r="F8" s="2514"/>
      <c r="G8" s="2514"/>
      <c r="H8" s="2515"/>
      <c r="I8" s="2444" t="s">
        <v>1213</v>
      </c>
      <c r="J8" s="2445"/>
      <c r="K8" s="2446"/>
      <c r="L8" s="2516"/>
      <c r="M8" s="2516"/>
    </row>
    <row r="9" spans="1:24" ht="15.75" thickBot="1">
      <c r="A9" s="2397"/>
      <c r="B9" s="2455"/>
      <c r="C9" s="2414"/>
      <c r="D9" s="2414"/>
      <c r="E9" s="658" t="s">
        <v>201</v>
      </c>
      <c r="F9" s="658" t="s">
        <v>202</v>
      </c>
      <c r="G9" s="658" t="s">
        <v>203</v>
      </c>
      <c r="H9" s="1605" t="s">
        <v>341</v>
      </c>
      <c r="I9" s="1582" t="s">
        <v>231</v>
      </c>
      <c r="J9" s="1585" t="s">
        <v>201</v>
      </c>
      <c r="K9" s="1604" t="s">
        <v>1212</v>
      </c>
      <c r="L9" s="2517"/>
      <c r="M9" s="2516"/>
    </row>
    <row r="10" spans="1:24" s="30" customFormat="1" ht="23.25" customHeight="1" thickBot="1">
      <c r="A10" s="205">
        <v>3202018</v>
      </c>
      <c r="B10" s="437" t="s">
        <v>205</v>
      </c>
      <c r="C10" s="438" t="s">
        <v>210</v>
      </c>
      <c r="D10" s="438">
        <v>30</v>
      </c>
      <c r="E10" s="439">
        <f>SUM(E11:E12)</f>
        <v>111536499.28</v>
      </c>
      <c r="F10" s="439">
        <f>SUM(F11:F12)</f>
        <v>56679023</v>
      </c>
      <c r="G10" s="439">
        <f>SUM(G11:G12)</f>
        <v>0</v>
      </c>
      <c r="H10" s="440">
        <f>+'ACCIONES 320201'!L10</f>
        <v>168215522.28</v>
      </c>
      <c r="I10" s="439">
        <f>SUM(I11:I12)</f>
        <v>5667901.7000000002</v>
      </c>
      <c r="J10" s="439">
        <f>SUM(J11:J12)</f>
        <v>29957222.465999998</v>
      </c>
      <c r="K10" s="440">
        <f>SUM(K11:K12)</f>
        <v>35625124.166000001</v>
      </c>
      <c r="L10" s="440">
        <f>+'ACCIONES 320201'!P10</f>
        <v>0</v>
      </c>
      <c r="M10" s="440">
        <f>+K10+L10+H10</f>
        <v>203840646.44600001</v>
      </c>
      <c r="N10" s="502"/>
    </row>
    <row r="11" spans="1:24" s="30" customFormat="1" ht="23.25" customHeight="1">
      <c r="B11" s="433" t="s">
        <v>206</v>
      </c>
      <c r="C11" s="434" t="s">
        <v>207</v>
      </c>
      <c r="D11" s="434">
        <v>10</v>
      </c>
      <c r="E11" s="435">
        <f>+'ACCIONES 320201'!I11</f>
        <v>59241432.399999999</v>
      </c>
      <c r="F11" s="435">
        <f>+'ACCIONES 320201'!J11</f>
        <v>0</v>
      </c>
      <c r="G11" s="435">
        <f>+'ACCIONES 320201'!K11</f>
        <v>0</v>
      </c>
      <c r="H11" s="436">
        <f>+'ACCIONES 320201'!L11</f>
        <v>59241432.399999999</v>
      </c>
      <c r="I11" s="435">
        <f>+'ACCIONES 320201'!M11</f>
        <v>0</v>
      </c>
      <c r="J11" s="435">
        <f>+'ACCIONES 320201'!N11</f>
        <v>29957222.465999998</v>
      </c>
      <c r="K11" s="436">
        <f>+'ACCIONES 320201'!O11</f>
        <v>29957222.465999998</v>
      </c>
      <c r="L11" s="436"/>
      <c r="M11" s="436">
        <f t="shared" ref="M11:M36" si="0">+K11+L11+H11</f>
        <v>89198654.865999997</v>
      </c>
      <c r="N11" s="502"/>
    </row>
    <row r="12" spans="1:24" s="30" customFormat="1" ht="23.25" customHeight="1" thickBot="1">
      <c r="B12" s="417" t="s">
        <v>208</v>
      </c>
      <c r="C12" s="441" t="s">
        <v>209</v>
      </c>
      <c r="D12" s="441">
        <v>1</v>
      </c>
      <c r="E12" s="442">
        <f>+'ACCIONES 320201'!I18</f>
        <v>52295066.880000003</v>
      </c>
      <c r="F12" s="442">
        <f>+'ACCIONES 320201'!J18</f>
        <v>56679023</v>
      </c>
      <c r="G12" s="442">
        <f>+'ACCIONES 320201'!K18</f>
        <v>0</v>
      </c>
      <c r="H12" s="443">
        <f>+'ACCIONES 320201'!L18</f>
        <v>108974089.88</v>
      </c>
      <c r="I12" s="435">
        <f>+'ACCIONES 320201'!M18</f>
        <v>5667901.7000000002</v>
      </c>
      <c r="J12" s="435">
        <f>+'ACCIONES 320201'!N18</f>
        <v>0</v>
      </c>
      <c r="K12" s="436">
        <f>+'ACCIONES 320201'!O18</f>
        <v>5667901.7000000002</v>
      </c>
      <c r="L12" s="443"/>
      <c r="M12" s="443">
        <f t="shared" si="0"/>
        <v>114641991.58</v>
      </c>
      <c r="N12" s="502"/>
    </row>
    <row r="13" spans="1:24" ht="23.25" customHeight="1" thickBot="1">
      <c r="A13" s="205">
        <v>3202008</v>
      </c>
      <c r="B13" s="437" t="s">
        <v>33</v>
      </c>
      <c r="C13" s="438" t="s">
        <v>210</v>
      </c>
      <c r="D13" s="438">
        <v>3</v>
      </c>
      <c r="E13" s="439">
        <f>SUM(E14:E14)</f>
        <v>317141596.48000002</v>
      </c>
      <c r="F13" s="439">
        <f>SUM(F14:F14)</f>
        <v>9070165</v>
      </c>
      <c r="G13" s="439">
        <f>SUM(G14:G14)</f>
        <v>20324202.991999999</v>
      </c>
      <c r="H13" s="440">
        <f>+'ACCIONES 320201'!L24</f>
        <v>346535964.472</v>
      </c>
      <c r="I13" s="439">
        <f>SUM(I14:I14)</f>
        <v>3768792.5199999996</v>
      </c>
      <c r="J13" s="439">
        <f>SUM(J14:J14)</f>
        <v>226205123</v>
      </c>
      <c r="K13" s="440">
        <f>SUM(K14:K14)</f>
        <v>229973915.52000001</v>
      </c>
      <c r="L13" s="440">
        <f>+L14</f>
        <v>1999089755.484</v>
      </c>
      <c r="M13" s="440">
        <f t="shared" si="0"/>
        <v>2575599635.4760003</v>
      </c>
      <c r="N13" s="502"/>
    </row>
    <row r="14" spans="1:24" ht="23.25" customHeight="1" thickBot="1">
      <c r="A14" s="30"/>
      <c r="B14" s="402" t="s">
        <v>446</v>
      </c>
      <c r="C14" s="434" t="s">
        <v>209</v>
      </c>
      <c r="D14" s="434">
        <v>1</v>
      </c>
      <c r="E14" s="444">
        <f>+'ACCIONES 320201'!I25</f>
        <v>317141596.48000002</v>
      </c>
      <c r="F14" s="444">
        <f>+'ACCIONES 320201'!J25</f>
        <v>9070165</v>
      </c>
      <c r="G14" s="444">
        <f>+'ACCIONES 320201'!K25</f>
        <v>20324202.991999999</v>
      </c>
      <c r="H14" s="436">
        <f>+'ACCIONES 320201'!L25</f>
        <v>346535964.472</v>
      </c>
      <c r="I14" s="435">
        <f>+'ACCIONES 320201'!M25</f>
        <v>3768792.5199999996</v>
      </c>
      <c r="J14" s="435">
        <f>+'ACCIONES 320201'!N25</f>
        <v>226205123</v>
      </c>
      <c r="K14" s="436">
        <f>+'ACCIONES 320201'!O25</f>
        <v>229973915.52000001</v>
      </c>
      <c r="L14" s="436">
        <f>+'ACCIONES 320201'!P25</f>
        <v>1999089755.484</v>
      </c>
      <c r="M14" s="436">
        <f t="shared" si="0"/>
        <v>2575599635.4760003</v>
      </c>
      <c r="N14" s="502"/>
    </row>
    <row r="15" spans="1:24" ht="23.25" customHeight="1" thickBot="1">
      <c r="A15" s="205">
        <v>3202004</v>
      </c>
      <c r="B15" s="437" t="s">
        <v>211</v>
      </c>
      <c r="C15" s="438" t="s">
        <v>210</v>
      </c>
      <c r="D15" s="438">
        <v>1</v>
      </c>
      <c r="E15" s="439">
        <f>+E16</f>
        <v>113534958</v>
      </c>
      <c r="F15" s="439">
        <f>+F16</f>
        <v>0</v>
      </c>
      <c r="G15" s="439">
        <f>+G16</f>
        <v>0</v>
      </c>
      <c r="H15" s="440">
        <f>+'ACCIONES 320201'!L57</f>
        <v>113534958</v>
      </c>
      <c r="I15" s="439">
        <f>+I16</f>
        <v>0</v>
      </c>
      <c r="J15" s="439">
        <f>+J16</f>
        <v>0</v>
      </c>
      <c r="K15" s="440">
        <f>+K16</f>
        <v>0</v>
      </c>
      <c r="L15" s="440">
        <f>+'ACCIONES 320201'!P57</f>
        <v>0</v>
      </c>
      <c r="M15" s="440">
        <f t="shared" si="0"/>
        <v>113534958</v>
      </c>
      <c r="N15" s="502"/>
    </row>
    <row r="16" spans="1:24" ht="23.25" customHeight="1" thickBot="1">
      <c r="A16" s="30"/>
      <c r="B16" s="376" t="s">
        <v>212</v>
      </c>
      <c r="C16" s="445" t="s">
        <v>209</v>
      </c>
      <c r="D16" s="445">
        <v>1</v>
      </c>
      <c r="E16" s="446">
        <f>+'ACCIONES 320201'!I58</f>
        <v>113534958</v>
      </c>
      <c r="F16" s="446">
        <f>+'ACCIONES 320201'!J58</f>
        <v>0</v>
      </c>
      <c r="G16" s="446">
        <f>+'ACCIONES 320201'!K58</f>
        <v>0</v>
      </c>
      <c r="H16" s="447">
        <f>+'ACCIONES 320201'!L58</f>
        <v>113534958</v>
      </c>
      <c r="I16" s="446">
        <f>+'ACCIONES 320201'!M58</f>
        <v>0</v>
      </c>
      <c r="J16" s="446">
        <f>+'ACCIONES 320201'!N58</f>
        <v>0</v>
      </c>
      <c r="K16" s="436">
        <f>+'ACCIONES 320201'!O58</f>
        <v>0</v>
      </c>
      <c r="L16" s="447"/>
      <c r="M16" s="447">
        <f t="shared" si="0"/>
        <v>113534958</v>
      </c>
      <c r="N16" s="502"/>
    </row>
    <row r="17" spans="1:14" ht="23.25" customHeight="1" thickBot="1">
      <c r="A17" s="205">
        <v>3202002</v>
      </c>
      <c r="B17" s="437" t="s">
        <v>213</v>
      </c>
      <c r="C17" s="438" t="s">
        <v>210</v>
      </c>
      <c r="D17" s="438">
        <v>1</v>
      </c>
      <c r="E17" s="439">
        <f>+E18</f>
        <v>596835617.95200002</v>
      </c>
      <c r="F17" s="439">
        <f>+F18</f>
        <v>0</v>
      </c>
      <c r="G17" s="439">
        <f>+G18</f>
        <v>109080192</v>
      </c>
      <c r="H17" s="440">
        <f>+'ACCIONES 320201'!L62</f>
        <v>705915809.95200002</v>
      </c>
      <c r="I17" s="439">
        <f>+I18</f>
        <v>0</v>
      </c>
      <c r="J17" s="439">
        <f>+J18</f>
        <v>84616519</v>
      </c>
      <c r="K17" s="440">
        <f>+K18</f>
        <v>84616519</v>
      </c>
      <c r="L17" s="440">
        <f>+L18</f>
        <v>33094998</v>
      </c>
      <c r="M17" s="440">
        <f t="shared" si="0"/>
        <v>823627326.95200002</v>
      </c>
      <c r="N17" s="502"/>
    </row>
    <row r="18" spans="1:14" ht="23.25" customHeight="1" thickBot="1">
      <c r="A18" s="30"/>
      <c r="B18" s="597" t="s">
        <v>441</v>
      </c>
      <c r="C18" s="445" t="s">
        <v>210</v>
      </c>
      <c r="D18" s="445">
        <v>1</v>
      </c>
      <c r="E18" s="448">
        <f>+'ACCIONES 320201'!I63</f>
        <v>596835617.95200002</v>
      </c>
      <c r="F18" s="448">
        <f>+'ACCIONES 320201'!J63</f>
        <v>0</v>
      </c>
      <c r="G18" s="448">
        <f>+'ACCIONES 320201'!K63</f>
        <v>109080192</v>
      </c>
      <c r="H18" s="447">
        <f>+'ACCIONES 320201'!L63</f>
        <v>705915809.95200002</v>
      </c>
      <c r="I18" s="448">
        <f>+'ACCIONES 320201'!M63</f>
        <v>0</v>
      </c>
      <c r="J18" s="448">
        <f>+'ACCIONES 320201'!N63</f>
        <v>84616519</v>
      </c>
      <c r="K18" s="436">
        <f>+'ACCIONES 320201'!O63</f>
        <v>84616519</v>
      </c>
      <c r="L18" s="447">
        <f>+'ACCIONES 320201'!P63</f>
        <v>33094998</v>
      </c>
      <c r="M18" s="447">
        <f t="shared" si="0"/>
        <v>823627326.95200002</v>
      </c>
      <c r="N18" s="502"/>
    </row>
    <row r="19" spans="1:14" ht="23.25" customHeight="1" thickBot="1">
      <c r="A19" s="205">
        <v>3202004</v>
      </c>
      <c r="B19" s="437" t="s">
        <v>34</v>
      </c>
      <c r="C19" s="438" t="s">
        <v>214</v>
      </c>
      <c r="D19" s="438">
        <v>100</v>
      </c>
      <c r="E19" s="449">
        <f>+E20</f>
        <v>20080000</v>
      </c>
      <c r="F19" s="449">
        <f>+F20</f>
        <v>0</v>
      </c>
      <c r="G19" s="449">
        <f>+G20</f>
        <v>0</v>
      </c>
      <c r="H19" s="440">
        <f>+'ACCIONES 320201'!L71</f>
        <v>20080000</v>
      </c>
      <c r="I19" s="449">
        <f>+I20</f>
        <v>0</v>
      </c>
      <c r="J19" s="449">
        <f>+J20</f>
        <v>0</v>
      </c>
      <c r="K19" s="440">
        <f>+K20</f>
        <v>0</v>
      </c>
      <c r="L19" s="440">
        <f>+'ACCIONES 320201'!P71</f>
        <v>0</v>
      </c>
      <c r="M19" s="440">
        <f t="shared" si="0"/>
        <v>20080000</v>
      </c>
      <c r="N19" s="502"/>
    </row>
    <row r="20" spans="1:14" ht="23.25" customHeight="1" thickBot="1">
      <c r="A20" s="30"/>
      <c r="B20" s="427" t="s">
        <v>215</v>
      </c>
      <c r="C20" s="445" t="s">
        <v>209</v>
      </c>
      <c r="D20" s="445">
        <v>1</v>
      </c>
      <c r="E20" s="450">
        <f>+'ACCIONES 320201'!I72</f>
        <v>20080000</v>
      </c>
      <c r="F20" s="450">
        <f>+'ACCIONES 320201'!J72</f>
        <v>0</v>
      </c>
      <c r="G20" s="450">
        <f>+'ACCIONES 320201'!K72</f>
        <v>0</v>
      </c>
      <c r="H20" s="447">
        <f>+'ACCIONES 320201'!L72</f>
        <v>20080000</v>
      </c>
      <c r="I20" s="450">
        <f>+'ACCIONES 320201'!M72</f>
        <v>0</v>
      </c>
      <c r="J20" s="450">
        <f>+'ACCIONES 320201'!N72</f>
        <v>0</v>
      </c>
      <c r="K20" s="436">
        <f>+'ACCIONES 320201'!O72</f>
        <v>0</v>
      </c>
      <c r="L20" s="447"/>
      <c r="M20" s="447">
        <f t="shared" si="0"/>
        <v>20080000</v>
      </c>
      <c r="N20" s="502"/>
    </row>
    <row r="21" spans="1:14" ht="23.25" customHeight="1" thickBot="1">
      <c r="A21" s="193">
        <v>3202040</v>
      </c>
      <c r="B21" s="375" t="s">
        <v>35</v>
      </c>
      <c r="C21" s="451" t="s">
        <v>214</v>
      </c>
      <c r="D21" s="451">
        <v>100</v>
      </c>
      <c r="E21" s="452">
        <f>+E22</f>
        <v>48275369.516000003</v>
      </c>
      <c r="F21" s="452">
        <f>+F22</f>
        <v>0</v>
      </c>
      <c r="G21" s="452">
        <f>+G22</f>
        <v>0</v>
      </c>
      <c r="H21" s="453">
        <f>+'ACCIONES 320201'!L75</f>
        <v>48275369.516000003</v>
      </c>
      <c r="I21" s="452">
        <f>+I22</f>
        <v>0</v>
      </c>
      <c r="J21" s="452">
        <f>+J22</f>
        <v>0</v>
      </c>
      <c r="K21" s="453">
        <f>+K22</f>
        <v>0</v>
      </c>
      <c r="L21" s="453">
        <f>+'ACCIONES 320201'!P75</f>
        <v>0</v>
      </c>
      <c r="M21" s="453">
        <f t="shared" si="0"/>
        <v>48275369.516000003</v>
      </c>
      <c r="N21" s="502"/>
    </row>
    <row r="22" spans="1:14" ht="23.25" customHeight="1" thickBot="1">
      <c r="A22" s="30"/>
      <c r="B22" s="376" t="s">
        <v>216</v>
      </c>
      <c r="C22" s="445" t="s">
        <v>209</v>
      </c>
      <c r="D22" s="445">
        <v>1</v>
      </c>
      <c r="E22" s="446">
        <f>+'ACCIONES 320201'!I76</f>
        <v>48275369.516000003</v>
      </c>
      <c r="F22" s="446">
        <f>+'ACCIONES 320201'!J76</f>
        <v>0</v>
      </c>
      <c r="G22" s="446">
        <f>+'ACCIONES 320201'!K76</f>
        <v>0</v>
      </c>
      <c r="H22" s="447">
        <f>+'ACCIONES 320201'!L76</f>
        <v>48275369.516000003</v>
      </c>
      <c r="I22" s="446">
        <f>+'ACCIONES 320201'!M76</f>
        <v>0</v>
      </c>
      <c r="J22" s="446">
        <f>+'ACCIONES 320201'!N76</f>
        <v>0</v>
      </c>
      <c r="K22" s="436">
        <f>+'ACCIONES 320201'!O76</f>
        <v>0</v>
      </c>
      <c r="L22" s="447"/>
      <c r="M22" s="447">
        <f t="shared" si="0"/>
        <v>48275369.516000003</v>
      </c>
      <c r="N22" s="502"/>
    </row>
    <row r="23" spans="1:14" ht="23.25" customHeight="1" thickBot="1">
      <c r="A23" s="193">
        <v>3202008</v>
      </c>
      <c r="B23" s="375" t="s">
        <v>217</v>
      </c>
      <c r="C23" s="451" t="s">
        <v>214</v>
      </c>
      <c r="D23" s="455">
        <v>100</v>
      </c>
      <c r="E23" s="452">
        <f>SUM(E24:E26)</f>
        <v>1264623262.1640005</v>
      </c>
      <c r="F23" s="452">
        <f>SUM(F24:F26)</f>
        <v>0</v>
      </c>
      <c r="G23" s="452">
        <f>SUM(G24:G26)</f>
        <v>19820050</v>
      </c>
      <c r="H23" s="453">
        <f>+SUM(H24:H26)</f>
        <v>1284443312.1640005</v>
      </c>
      <c r="I23" s="452">
        <f>SUM(I24:I26)</f>
        <v>19650829.399999999</v>
      </c>
      <c r="J23" s="452">
        <f>SUM(J24:J26)</f>
        <v>107583217.8</v>
      </c>
      <c r="K23" s="453">
        <f>SUM(K24:K26)</f>
        <v>127234047.2</v>
      </c>
      <c r="L23" s="453">
        <f>+SUM(L24:L26)</f>
        <v>0</v>
      </c>
      <c r="M23" s="453">
        <f t="shared" si="0"/>
        <v>1411677359.3640006</v>
      </c>
      <c r="N23" s="502"/>
    </row>
    <row r="24" spans="1:14" ht="23.25" customHeight="1">
      <c r="A24" s="30"/>
      <c r="B24" s="402" t="s">
        <v>218</v>
      </c>
      <c r="C24" s="434" t="s">
        <v>209</v>
      </c>
      <c r="D24" s="454">
        <v>1</v>
      </c>
      <c r="E24" s="435">
        <f>+'ACCIONES 320201'!I80</f>
        <v>150600000.36399999</v>
      </c>
      <c r="F24" s="435">
        <f>+'ACCIONES 320201'!J80</f>
        <v>0</v>
      </c>
      <c r="G24" s="435">
        <f>+'ACCIONES 320201'!K80</f>
        <v>0</v>
      </c>
      <c r="H24" s="436">
        <f>+'ACCIONES 320201'!L80</f>
        <v>150600000.36399999</v>
      </c>
      <c r="I24" s="435">
        <f>+'ACCIONES 320201'!M80</f>
        <v>0</v>
      </c>
      <c r="J24" s="435">
        <f>+'ACCIONES 320201'!N80</f>
        <v>3512675</v>
      </c>
      <c r="K24" s="436">
        <f>+'ACCIONES 320201'!O80</f>
        <v>3512675</v>
      </c>
      <c r="L24" s="436"/>
      <c r="M24" s="436">
        <f t="shared" si="0"/>
        <v>154112675.36399999</v>
      </c>
      <c r="N24" s="502"/>
    </row>
    <row r="25" spans="1:14" ht="23.25" customHeight="1">
      <c r="A25" s="30"/>
      <c r="B25" s="21" t="s">
        <v>219</v>
      </c>
      <c r="C25" s="31" t="s">
        <v>209</v>
      </c>
      <c r="D25" s="39">
        <v>1</v>
      </c>
      <c r="E25" s="260">
        <f>+'ACCIONES 320201'!I85</f>
        <v>953517918.0000006</v>
      </c>
      <c r="F25" s="260">
        <f>+'ACCIONES 320201'!J85</f>
        <v>0</v>
      </c>
      <c r="G25" s="260">
        <f>+'ACCIONES 320201'!K85</f>
        <v>0</v>
      </c>
      <c r="H25" s="261">
        <f>+'ACCIONES 320201'!L85</f>
        <v>953517918.0000006</v>
      </c>
      <c r="I25" s="260">
        <f>+'ACCIONES 320201'!M85</f>
        <v>0</v>
      </c>
      <c r="J25" s="260">
        <f>+'ACCIONES 320201'!N85</f>
        <v>29722946.800000001</v>
      </c>
      <c r="K25" s="436">
        <f>+'ACCIONES 320201'!O85</f>
        <v>29722946.800000001</v>
      </c>
      <c r="L25" s="261"/>
      <c r="M25" s="261">
        <f t="shared" si="0"/>
        <v>983240864.80000055</v>
      </c>
      <c r="N25" s="502"/>
    </row>
    <row r="26" spans="1:14" s="68" customFormat="1" ht="23.25" customHeight="1" thickBot="1">
      <c r="A26" s="520"/>
      <c r="B26" s="21" t="s">
        <v>220</v>
      </c>
      <c r="C26" s="31" t="s">
        <v>209</v>
      </c>
      <c r="D26" s="39">
        <v>1</v>
      </c>
      <c r="E26" s="260">
        <f>+'ACCIONES 320201'!I139</f>
        <v>160505343.80000001</v>
      </c>
      <c r="F26" s="260">
        <f>+'ACCIONES 320201'!J139</f>
        <v>0</v>
      </c>
      <c r="G26" s="260">
        <f>+'ACCIONES 320201'!K139</f>
        <v>19820050</v>
      </c>
      <c r="H26" s="261">
        <f>+'ACCIONES 320201'!L139</f>
        <v>180325393.80000001</v>
      </c>
      <c r="I26" s="260">
        <f>+'ACCIONES 320201'!M139</f>
        <v>19650829.399999999</v>
      </c>
      <c r="J26" s="260">
        <f>+'ACCIONES 320201'!N139</f>
        <v>74347596</v>
      </c>
      <c r="K26" s="436">
        <f>+'ACCIONES 320201'!O139</f>
        <v>93998425.400000006</v>
      </c>
      <c r="L26" s="261"/>
      <c r="M26" s="261">
        <f t="shared" si="0"/>
        <v>274323819.20000005</v>
      </c>
      <c r="N26" s="521"/>
    </row>
    <row r="27" spans="1:14" ht="23.25" customHeight="1" thickBot="1">
      <c r="A27" s="193">
        <v>3202005</v>
      </c>
      <c r="B27" s="182" t="s">
        <v>36</v>
      </c>
      <c r="C27" s="37" t="s">
        <v>214</v>
      </c>
      <c r="D27" s="38">
        <v>25</v>
      </c>
      <c r="E27" s="262">
        <f>SUM(E28:E29)</f>
        <v>82521622.184</v>
      </c>
      <c r="F27" s="262">
        <f>SUM(F28:F29)</f>
        <v>242203458.53599998</v>
      </c>
      <c r="G27" s="262">
        <f>SUM(G28:G29)</f>
        <v>0</v>
      </c>
      <c r="H27" s="263">
        <f>+SUM(H28:H29)</f>
        <v>324725080.71999997</v>
      </c>
      <c r="I27" s="262">
        <f>SUM(I28:I29)</f>
        <v>27288147.894000001</v>
      </c>
      <c r="J27" s="262">
        <f>SUM(J28:J29)</f>
        <v>72269155</v>
      </c>
      <c r="K27" s="263">
        <f>SUM(K28:K29)</f>
        <v>99557302.893999994</v>
      </c>
      <c r="L27" s="263">
        <f>+SUM(L28:L29)</f>
        <v>0</v>
      </c>
      <c r="M27" s="263">
        <f t="shared" si="0"/>
        <v>424282383.61399996</v>
      </c>
      <c r="N27" s="502"/>
    </row>
    <row r="28" spans="1:14" ht="48.75" customHeight="1">
      <c r="A28" s="30"/>
      <c r="B28" s="21" t="s">
        <v>221</v>
      </c>
      <c r="C28" s="31" t="s">
        <v>209</v>
      </c>
      <c r="D28" s="39">
        <v>1</v>
      </c>
      <c r="E28" s="260">
        <f>+'ACCIONES 320201'!I156</f>
        <v>82521622.184</v>
      </c>
      <c r="F28" s="260">
        <f>+'ACCIONES 320201'!J156</f>
        <v>0</v>
      </c>
      <c r="G28" s="260">
        <f>+'ACCIONES 320201'!K156</f>
        <v>0</v>
      </c>
      <c r="H28" s="261">
        <f>+'ACCIONES 320201'!L156</f>
        <v>82521622.184</v>
      </c>
      <c r="I28" s="1719">
        <f>+'ACCIONES 320201'!M156</f>
        <v>0</v>
      </c>
      <c r="J28" s="260">
        <f>+'ACCIONES 320201'!N156</f>
        <v>13177731</v>
      </c>
      <c r="K28" s="436">
        <f>+'ACCIONES 320201'!O156</f>
        <v>13177731</v>
      </c>
      <c r="L28" s="1732"/>
      <c r="M28" s="1719">
        <f t="shared" si="0"/>
        <v>95699353.184</v>
      </c>
      <c r="N28" s="502"/>
    </row>
    <row r="29" spans="1:14" ht="48.75" customHeight="1" thickBot="1">
      <c r="A29" s="30"/>
      <c r="B29" s="417" t="s">
        <v>222</v>
      </c>
      <c r="C29" s="441" t="s">
        <v>209</v>
      </c>
      <c r="D29" s="456">
        <v>1</v>
      </c>
      <c r="E29" s="442">
        <f>+'ACCIONES 320201'!I163</f>
        <v>0</v>
      </c>
      <c r="F29" s="442">
        <f>+'ACCIONES 320201'!J163</f>
        <v>242203458.53599998</v>
      </c>
      <c r="G29" s="442">
        <f>+'ACCIONES 320201'!K163</f>
        <v>0</v>
      </c>
      <c r="H29" s="443">
        <f>+'ACCIONES 320201'!L163</f>
        <v>242203458.53599998</v>
      </c>
      <c r="I29" s="1720">
        <f>+'ACCIONES 320201'!M163</f>
        <v>27288147.894000001</v>
      </c>
      <c r="J29" s="442">
        <f>+'ACCIONES 320201'!N163</f>
        <v>59091424</v>
      </c>
      <c r="K29" s="436">
        <f>+'ACCIONES 320201'!O163</f>
        <v>86379571.893999994</v>
      </c>
      <c r="L29" s="1733"/>
      <c r="M29" s="1720">
        <f t="shared" si="0"/>
        <v>328583030.42999995</v>
      </c>
      <c r="N29" s="502"/>
    </row>
    <row r="30" spans="1:14" ht="23.25" customHeight="1" thickBot="1">
      <c r="A30" s="193">
        <v>3202040</v>
      </c>
      <c r="B30" s="375" t="s">
        <v>37</v>
      </c>
      <c r="C30" s="451" t="s">
        <v>214</v>
      </c>
      <c r="D30" s="455">
        <v>100</v>
      </c>
      <c r="E30" s="452">
        <f>SUM(E31:E32)</f>
        <v>209339037.23999998</v>
      </c>
      <c r="F30" s="452">
        <f>SUM(F31:F32)</f>
        <v>0</v>
      </c>
      <c r="G30" s="452">
        <f>SUM(G31:G32)</f>
        <v>0</v>
      </c>
      <c r="H30" s="453">
        <f>+SUM(H31:H32)</f>
        <v>209339037.23999998</v>
      </c>
      <c r="I30" s="1721">
        <f>SUM(I31:I32)</f>
        <v>49443571</v>
      </c>
      <c r="J30" s="452">
        <f>SUM(J31:J32)</f>
        <v>37022269.079999998</v>
      </c>
      <c r="K30" s="453">
        <f>SUM(K31:K32)</f>
        <v>86465840.079999998</v>
      </c>
      <c r="L30" s="1734">
        <f>+SUM(L31:L32)</f>
        <v>0</v>
      </c>
      <c r="M30" s="1730">
        <f t="shared" si="0"/>
        <v>295804877.31999999</v>
      </c>
      <c r="N30" s="502"/>
    </row>
    <row r="31" spans="1:14" ht="23.25" customHeight="1">
      <c r="A31" s="30"/>
      <c r="B31" s="402" t="s">
        <v>223</v>
      </c>
      <c r="C31" s="434" t="s">
        <v>209</v>
      </c>
      <c r="D31" s="454">
        <v>1</v>
      </c>
      <c r="E31" s="435">
        <f>+'ACCIONES 320201'!I171</f>
        <v>189179037.23999998</v>
      </c>
      <c r="F31" s="435">
        <f>+'ACCIONES 320201'!J171</f>
        <v>0</v>
      </c>
      <c r="G31" s="435">
        <f>+'ACCIONES 320201'!K171</f>
        <v>0</v>
      </c>
      <c r="H31" s="436">
        <f>+'ACCIONES 320201'!L171</f>
        <v>189179037.23999998</v>
      </c>
      <c r="I31" s="1722">
        <f>+'ACCIONES 320201'!M171</f>
        <v>0</v>
      </c>
      <c r="J31" s="435">
        <f>+'ACCIONES 320201'!N171</f>
        <v>37022269.079999998</v>
      </c>
      <c r="K31" s="436">
        <f>+'ACCIONES 320201'!O171</f>
        <v>37022269.079999998</v>
      </c>
      <c r="L31" s="1735"/>
      <c r="M31" s="1722">
        <f t="shared" si="0"/>
        <v>226201306.31999999</v>
      </c>
      <c r="N31" s="502"/>
    </row>
    <row r="32" spans="1:14" ht="23.25" customHeight="1" thickBot="1">
      <c r="A32" s="30"/>
      <c r="B32" s="417" t="s">
        <v>224</v>
      </c>
      <c r="C32" s="441" t="s">
        <v>209</v>
      </c>
      <c r="D32" s="456">
        <v>1</v>
      </c>
      <c r="E32" s="442">
        <f>+'ACCIONES 320201'!I178</f>
        <v>20160000</v>
      </c>
      <c r="F32" s="442">
        <f>+'ACCIONES 320201'!J178</f>
        <v>0</v>
      </c>
      <c r="G32" s="442">
        <f>+'ACCIONES 320201'!K178</f>
        <v>0</v>
      </c>
      <c r="H32" s="443">
        <f>+'ACCIONES 320201'!L178</f>
        <v>20160000</v>
      </c>
      <c r="I32" s="1720">
        <f>+'ACCIONES 320201'!M178</f>
        <v>49443571</v>
      </c>
      <c r="J32" s="442">
        <f>+'ACCIONES 320201'!N178</f>
        <v>0</v>
      </c>
      <c r="K32" s="436">
        <f>+'ACCIONES 320201'!O178</f>
        <v>49443571</v>
      </c>
      <c r="L32" s="1733"/>
      <c r="M32" s="1720">
        <f t="shared" si="0"/>
        <v>69603571</v>
      </c>
      <c r="N32" s="502"/>
    </row>
    <row r="33" spans="1:14" ht="23.25" customHeight="1" thickBot="1">
      <c r="A33" s="205">
        <v>3202008</v>
      </c>
      <c r="B33" s="437" t="s">
        <v>38</v>
      </c>
      <c r="C33" s="438" t="s">
        <v>209</v>
      </c>
      <c r="D33" s="457">
        <v>1</v>
      </c>
      <c r="E33" s="439">
        <f>SUM(E34:E36)</f>
        <v>0</v>
      </c>
      <c r="F33" s="439">
        <f>SUM(F34:F36)</f>
        <v>0</v>
      </c>
      <c r="G33" s="439">
        <f>+'ACCIONES 320201'!K181</f>
        <v>218706742</v>
      </c>
      <c r="H33" s="440">
        <f>+'ACCIONES 320201'!L181</f>
        <v>218706742</v>
      </c>
      <c r="I33" s="1723">
        <f>SUM(I34:I36)</f>
        <v>0</v>
      </c>
      <c r="J33" s="439">
        <f>SUM(J34:J36)</f>
        <v>0</v>
      </c>
      <c r="K33" s="440">
        <f>SUM(K34:K36)</f>
        <v>0</v>
      </c>
      <c r="L33" s="1736">
        <f>+'ACCIONES 320201'!P181</f>
        <v>0</v>
      </c>
      <c r="M33" s="1731">
        <f t="shared" si="0"/>
        <v>218706742</v>
      </c>
      <c r="N33" s="502"/>
    </row>
    <row r="34" spans="1:14" ht="23.25" customHeight="1">
      <c r="A34" s="30"/>
      <c r="B34" s="21" t="s">
        <v>225</v>
      </c>
      <c r="C34" s="31" t="s">
        <v>209</v>
      </c>
      <c r="D34" s="39">
        <v>1</v>
      </c>
      <c r="E34" s="442">
        <f>+'ACCIONES 320201'!I182</f>
        <v>0</v>
      </c>
      <c r="F34" s="442">
        <f>+'ACCIONES 320201'!J182</f>
        <v>0</v>
      </c>
      <c r="G34" s="260">
        <f>+'ACCIONES 320201'!K182</f>
        <v>21183567</v>
      </c>
      <c r="H34" s="261">
        <f>+'ACCIONES 320201'!L182</f>
        <v>21183567</v>
      </c>
      <c r="I34" s="1719">
        <f>+'ACCIONES 320201'!M182</f>
        <v>0</v>
      </c>
      <c r="J34" s="260">
        <f>+'ACCIONES 320201'!N182</f>
        <v>0</v>
      </c>
      <c r="K34" s="436">
        <f>+'ACCIONES 320201'!O182</f>
        <v>0</v>
      </c>
      <c r="L34" s="743"/>
      <c r="M34" s="743">
        <f t="shared" si="0"/>
        <v>21183567</v>
      </c>
      <c r="N34" s="502"/>
    </row>
    <row r="35" spans="1:14" ht="23.25" customHeight="1">
      <c r="A35" s="30"/>
      <c r="B35" s="21" t="s">
        <v>226</v>
      </c>
      <c r="C35" s="31" t="s">
        <v>209</v>
      </c>
      <c r="D35" s="39">
        <v>1</v>
      </c>
      <c r="E35" s="442">
        <f>+'ACCIONES 320201'!I185</f>
        <v>0</v>
      </c>
      <c r="F35" s="442">
        <f>+'ACCIONES 320201'!J185</f>
        <v>0</v>
      </c>
      <c r="G35" s="260">
        <f>+'ACCIONES 320201'!K184</f>
        <v>30663455</v>
      </c>
      <c r="H35" s="261">
        <f>+'ACCIONES 320201'!L184</f>
        <v>30663455</v>
      </c>
      <c r="I35" s="1719">
        <f>+'ACCIONES 320201'!M185</f>
        <v>0</v>
      </c>
      <c r="J35" s="260">
        <f>+'ACCIONES 320201'!N185</f>
        <v>0</v>
      </c>
      <c r="K35" s="436">
        <f>+'ACCIONES 320201'!O185</f>
        <v>0</v>
      </c>
      <c r="L35" s="743"/>
      <c r="M35" s="743">
        <f t="shared" si="0"/>
        <v>30663455</v>
      </c>
      <c r="N35" s="502"/>
    </row>
    <row r="36" spans="1:14" ht="23.25" customHeight="1" thickBot="1">
      <c r="A36" s="30"/>
      <c r="B36" s="1198" t="s">
        <v>659</v>
      </c>
      <c r="C36" s="264" t="s">
        <v>209</v>
      </c>
      <c r="D36" s="265">
        <v>1</v>
      </c>
      <c r="E36" s="266">
        <v>0</v>
      </c>
      <c r="F36" s="267">
        <v>0</v>
      </c>
      <c r="G36" s="267">
        <f>+'ACCIONES 320201'!K187</f>
        <v>166859720</v>
      </c>
      <c r="H36" s="1726">
        <f>+'ACCIONES 320201'!L187</f>
        <v>166859720</v>
      </c>
      <c r="I36" s="1724">
        <v>0</v>
      </c>
      <c r="J36" s="267">
        <v>0</v>
      </c>
      <c r="K36" s="1727">
        <v>0</v>
      </c>
      <c r="L36" s="1728">
        <f>+'ACCIONES 320201'!P187</f>
        <v>0</v>
      </c>
      <c r="M36" s="1729">
        <f t="shared" si="0"/>
        <v>166859720</v>
      </c>
      <c r="N36" s="502"/>
    </row>
    <row r="37" spans="1:14" ht="23.25" customHeight="1" thickBot="1">
      <c r="A37" s="30"/>
      <c r="B37" s="2519" t="s">
        <v>270</v>
      </c>
      <c r="C37" s="2520"/>
      <c r="D37" s="2521"/>
      <c r="E37" s="741">
        <f t="shared" ref="E37:M37" si="1">+E33+E30+E27+E23+E21+E19+E17+E15+E13+E10</f>
        <v>2763887962.8160009</v>
      </c>
      <c r="F37" s="741">
        <f t="shared" si="1"/>
        <v>307952646.53600001</v>
      </c>
      <c r="G37" s="741">
        <f t="shared" si="1"/>
        <v>367931186.99199998</v>
      </c>
      <c r="H37" s="742">
        <f t="shared" si="1"/>
        <v>3439771796.3440008</v>
      </c>
      <c r="I37" s="1725">
        <f t="shared" si="1"/>
        <v>105819242.514</v>
      </c>
      <c r="J37" s="742">
        <f t="shared" si="1"/>
        <v>557653506.34599996</v>
      </c>
      <c r="K37" s="742">
        <f t="shared" si="1"/>
        <v>663472748.86000001</v>
      </c>
      <c r="L37" s="742">
        <f t="shared" si="1"/>
        <v>2032184753.484</v>
      </c>
      <c r="M37" s="742">
        <f t="shared" si="1"/>
        <v>6135429298.6880007</v>
      </c>
      <c r="N37" s="502"/>
    </row>
    <row r="38" spans="1:14" ht="15.75" thickBot="1">
      <c r="A38" s="30"/>
      <c r="B38" s="30"/>
      <c r="C38" s="30"/>
      <c r="D38" s="30"/>
      <c r="E38" s="30"/>
      <c r="F38" s="30"/>
      <c r="G38" s="30"/>
      <c r="H38" s="30"/>
      <c r="I38" s="30"/>
      <c r="J38" s="30"/>
      <c r="K38" s="30"/>
      <c r="L38" s="30"/>
      <c r="M38" s="30"/>
    </row>
    <row r="39" spans="1:14" ht="15.75" thickBot="1">
      <c r="A39" s="30"/>
      <c r="B39" s="30"/>
      <c r="C39" s="30"/>
      <c r="D39" s="30"/>
      <c r="E39" s="596">
        <f>2770755389-97504966+161573358-70935818</f>
        <v>2763887963</v>
      </c>
      <c r="F39" s="596">
        <v>307952647</v>
      </c>
      <c r="G39" s="596">
        <f>270426221+97504966</f>
        <v>367931187</v>
      </c>
      <c r="H39" s="596">
        <f>3349134257+161573358-70935818</f>
        <v>3439771797</v>
      </c>
      <c r="I39" s="596">
        <v>105819243</v>
      </c>
      <c r="J39" s="596">
        <f>561070201-3416695</f>
        <v>557653506</v>
      </c>
      <c r="K39" s="596">
        <f>666889445-3416695</f>
        <v>663472750</v>
      </c>
      <c r="L39" s="596">
        <v>2032184754</v>
      </c>
      <c r="M39" s="596">
        <f>5381319011+666889445+161573358-3416695-70935818</f>
        <v>6135429301</v>
      </c>
    </row>
    <row r="40" spans="1:14">
      <c r="A40" s="30"/>
      <c r="B40" s="30"/>
      <c r="C40" s="30"/>
      <c r="D40" s="30"/>
      <c r="E40" s="30"/>
      <c r="F40" s="30"/>
      <c r="G40" s="30"/>
      <c r="H40" s="30"/>
      <c r="I40" s="30"/>
      <c r="J40" s="30"/>
      <c r="K40" s="30"/>
      <c r="M40" s="30"/>
    </row>
    <row r="41" spans="1:14">
      <c r="A41" s="30"/>
      <c r="B41" s="30"/>
      <c r="C41" s="30"/>
      <c r="D41" s="30"/>
      <c r="E41" s="502">
        <f>+E39-E37</f>
        <v>0.18399906158447266</v>
      </c>
      <c r="F41" s="502">
        <f>+F39-F37</f>
        <v>0.46399998664855957</v>
      </c>
      <c r="G41" s="502">
        <f>+G39-G37</f>
        <v>8.0000162124633789E-3</v>
      </c>
      <c r="H41" s="502">
        <f>+H39-H37</f>
        <v>0.65599918365478516</v>
      </c>
      <c r="I41" s="502">
        <f t="shared" ref="I41:M41" si="2">+I39-I37</f>
        <v>0.48600000143051147</v>
      </c>
      <c r="J41" s="502">
        <f t="shared" si="2"/>
        <v>-0.34599995613098145</v>
      </c>
      <c r="K41" s="502">
        <f t="shared" si="2"/>
        <v>1.1399999856948853</v>
      </c>
      <c r="L41" s="502">
        <f t="shared" si="2"/>
        <v>0.51600003242492676</v>
      </c>
      <c r="M41" s="502">
        <f t="shared" si="2"/>
        <v>2.3119993209838867</v>
      </c>
      <c r="N41" s="502"/>
    </row>
    <row r="42" spans="1:14">
      <c r="A42" s="30"/>
      <c r="B42" s="30"/>
      <c r="C42" s="30"/>
      <c r="D42" s="30"/>
      <c r="E42" s="30"/>
      <c r="F42" s="30"/>
      <c r="G42" s="30"/>
      <c r="H42" s="30"/>
      <c r="I42" s="30"/>
      <c r="J42" s="30"/>
      <c r="K42" s="30"/>
      <c r="M42" s="30"/>
    </row>
    <row r="43" spans="1:14">
      <c r="A43" s="30"/>
      <c r="B43" s="30"/>
      <c r="C43" s="30"/>
      <c r="D43" s="30"/>
      <c r="E43" s="30"/>
      <c r="F43" s="30"/>
      <c r="G43" s="30"/>
      <c r="H43" s="30"/>
      <c r="I43" s="30"/>
      <c r="J43" s="30"/>
      <c r="K43" s="30"/>
      <c r="M43" s="30"/>
    </row>
    <row r="44" spans="1:14">
      <c r="A44" s="30"/>
      <c r="B44" s="30"/>
      <c r="C44" s="30"/>
      <c r="D44" s="30"/>
      <c r="E44" s="30"/>
      <c r="F44" s="30"/>
      <c r="G44" s="30"/>
      <c r="H44" s="30"/>
      <c r="I44" s="30"/>
      <c r="J44" s="30"/>
      <c r="K44" s="30"/>
      <c r="M44" s="30"/>
    </row>
    <row r="45" spans="1:14">
      <c r="A45" s="30"/>
      <c r="B45" s="30"/>
      <c r="C45" s="30"/>
      <c r="D45" s="30"/>
      <c r="E45" s="30"/>
      <c r="F45" s="30"/>
      <c r="G45" s="30"/>
      <c r="H45" s="30"/>
      <c r="I45" s="30"/>
      <c r="J45" s="30"/>
      <c r="K45" s="30"/>
      <c r="M45" s="30"/>
    </row>
    <row r="46" spans="1:14">
      <c r="A46" s="30"/>
      <c r="B46" s="30"/>
      <c r="C46" s="30"/>
      <c r="D46" s="30"/>
      <c r="E46" s="30"/>
      <c r="F46" s="30"/>
      <c r="G46" s="30"/>
      <c r="H46" s="30"/>
      <c r="I46" s="30"/>
      <c r="J46" s="30"/>
      <c r="K46" s="30"/>
      <c r="M46" s="30"/>
    </row>
    <row r="47" spans="1:14">
      <c r="A47" s="30"/>
      <c r="B47" s="30"/>
      <c r="C47" s="30"/>
      <c r="D47" s="30"/>
      <c r="E47" s="30"/>
      <c r="F47" s="30"/>
      <c r="G47" s="30"/>
      <c r="H47" s="30"/>
      <c r="I47" s="30"/>
      <c r="J47" s="30"/>
      <c r="K47" s="30"/>
      <c r="M47" s="30"/>
    </row>
    <row r="48" spans="1:14">
      <c r="A48" s="30"/>
      <c r="B48" s="30"/>
      <c r="C48" s="30"/>
      <c r="D48" s="30"/>
      <c r="E48" s="30"/>
      <c r="F48" s="30"/>
      <c r="G48" s="30"/>
      <c r="H48" s="30"/>
      <c r="I48" s="30"/>
      <c r="J48" s="30"/>
      <c r="K48" s="30"/>
      <c r="M48" s="30"/>
    </row>
    <row r="49" spans="1:13">
      <c r="A49" s="30"/>
      <c r="B49" s="30"/>
      <c r="C49" s="30"/>
      <c r="D49" s="30"/>
      <c r="E49" s="30"/>
      <c r="F49" s="30"/>
      <c r="G49" s="30"/>
      <c r="H49" s="30"/>
      <c r="I49" s="30"/>
      <c r="J49" s="30"/>
      <c r="K49" s="30"/>
      <c r="M49" s="30"/>
    </row>
  </sheetData>
  <mergeCells count="18">
    <mergeCell ref="B37:D37"/>
    <mergeCell ref="C8:C9"/>
    <mergeCell ref="D8:D9"/>
    <mergeCell ref="B7:B9"/>
    <mergeCell ref="A7:A9"/>
    <mergeCell ref="I8:K8"/>
    <mergeCell ref="I7:K7"/>
    <mergeCell ref="B1:K3"/>
    <mergeCell ref="A5:M5"/>
    <mergeCell ref="A6:M6"/>
    <mergeCell ref="C7:H7"/>
    <mergeCell ref="E8:H8"/>
    <mergeCell ref="L7:L9"/>
    <mergeCell ref="L1:M1"/>
    <mergeCell ref="L2:M2"/>
    <mergeCell ref="L3:M3"/>
    <mergeCell ref="A4:H4"/>
    <mergeCell ref="M7:M9"/>
  </mergeCell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rgb="FFFFFF00"/>
  </sheetPr>
  <dimension ref="A1:AF223"/>
  <sheetViews>
    <sheetView tabSelected="1" zoomScale="64" zoomScaleNormal="64" workbookViewId="0">
      <pane ySplit="9" topLeftCell="A64" activePane="bottomLeft" state="frozen"/>
      <selection pane="bottomLeft" activeCell="E66" sqref="E66"/>
    </sheetView>
  </sheetViews>
  <sheetFormatPr baseColWidth="10" defaultRowHeight="15"/>
  <cols>
    <col min="1" max="2" width="6" style="389" customWidth="1"/>
    <col min="3" max="3" width="41.140625" style="389" customWidth="1"/>
    <col min="4" max="4" width="24.85546875" style="389" customWidth="1"/>
    <col min="5" max="5" width="18.140625" style="389" customWidth="1"/>
    <col min="6" max="6" width="12.85546875" style="395" customWidth="1"/>
    <col min="7" max="7" width="6.85546875" style="395" customWidth="1"/>
    <col min="8" max="8" width="10" style="395" customWidth="1"/>
    <col min="9" max="10" width="21.28515625" style="395" customWidth="1"/>
    <col min="11" max="11" width="17.28515625" style="395" customWidth="1"/>
    <col min="12" max="12" width="21.5703125" style="396" customWidth="1"/>
    <col min="13" max="13" width="20.140625" style="389" customWidth="1"/>
    <col min="14" max="14" width="17.140625" style="389" customWidth="1"/>
    <col min="15" max="15" width="18.28515625" style="389" customWidth="1"/>
    <col min="16" max="17" width="20.28515625" style="389" customWidth="1"/>
    <col min="18" max="18" width="20.28515625" customWidth="1"/>
    <col min="19" max="19" width="16.42578125" style="389" bestFit="1" customWidth="1"/>
    <col min="20" max="20" width="14" style="389" bestFit="1" customWidth="1"/>
    <col min="21" max="21" width="13.85546875" style="389" customWidth="1"/>
    <col min="22" max="22" width="16.85546875" style="389" bestFit="1" customWidth="1"/>
    <col min="23" max="23" width="16.42578125" style="389" bestFit="1" customWidth="1"/>
    <col min="24" max="24" width="21.7109375" style="389" bestFit="1" customWidth="1"/>
    <col min="25" max="27" width="11.42578125" style="389"/>
    <col min="28" max="28" width="14.42578125" style="389" customWidth="1"/>
    <col min="29" max="16384" width="11.42578125" style="389"/>
  </cols>
  <sheetData>
    <row r="1" spans="1:23" ht="15.75" thickBot="1">
      <c r="A1" s="1737"/>
      <c r="C1" s="2405"/>
      <c r="D1" s="2453" t="s">
        <v>542</v>
      </c>
      <c r="E1" s="2453"/>
      <c r="F1" s="2453"/>
      <c r="G1" s="2453"/>
      <c r="H1" s="2453"/>
      <c r="I1" s="2453"/>
      <c r="J1" s="2453"/>
      <c r="K1" s="2453"/>
      <c r="L1" s="2453"/>
      <c r="M1" s="2453"/>
      <c r="N1" s="2453"/>
      <c r="O1" s="2453"/>
      <c r="P1" s="2495" t="s">
        <v>539</v>
      </c>
      <c r="Q1" s="2496"/>
      <c r="S1"/>
      <c r="T1"/>
      <c r="U1"/>
      <c r="V1"/>
      <c r="W1"/>
    </row>
    <row r="2" spans="1:23" ht="15.75" thickBot="1">
      <c r="C2" s="2406"/>
      <c r="D2" s="2453"/>
      <c r="E2" s="2453"/>
      <c r="F2" s="2453"/>
      <c r="G2" s="2453"/>
      <c r="H2" s="2453"/>
      <c r="I2" s="2453"/>
      <c r="J2" s="2453"/>
      <c r="K2" s="2453"/>
      <c r="L2" s="2453"/>
      <c r="M2" s="2453"/>
      <c r="N2" s="2453"/>
      <c r="O2" s="2453"/>
      <c r="P2" s="2497" t="s">
        <v>540</v>
      </c>
      <c r="Q2" s="2498"/>
      <c r="S2"/>
      <c r="T2"/>
      <c r="U2"/>
      <c r="V2"/>
      <c r="W2"/>
    </row>
    <row r="3" spans="1:23" ht="15.75" thickBot="1">
      <c r="C3" s="2407"/>
      <c r="D3" s="2453"/>
      <c r="E3" s="2453"/>
      <c r="F3" s="2453"/>
      <c r="G3" s="2453"/>
      <c r="H3" s="2453"/>
      <c r="I3" s="2453"/>
      <c r="J3" s="2453"/>
      <c r="K3" s="2453"/>
      <c r="L3" s="2453"/>
      <c r="M3" s="2453"/>
      <c r="N3" s="2453"/>
      <c r="O3" s="2453"/>
      <c r="P3" s="2499" t="s">
        <v>541</v>
      </c>
      <c r="Q3" s="2500"/>
      <c r="S3"/>
      <c r="T3"/>
      <c r="U3"/>
      <c r="V3"/>
      <c r="W3"/>
    </row>
    <row r="4" spans="1:23" ht="4.5" customHeight="1" thickBot="1"/>
    <row r="5" spans="1:23" s="1" customFormat="1" ht="15" customHeight="1" thickBot="1">
      <c r="C5" s="2440" t="s">
        <v>181</v>
      </c>
      <c r="D5" s="2440"/>
      <c r="E5" s="2440"/>
      <c r="F5" s="2440"/>
      <c r="G5" s="2440"/>
      <c r="H5" s="2440"/>
      <c r="I5" s="2440"/>
      <c r="J5" s="2440"/>
      <c r="K5" s="2440"/>
      <c r="L5" s="2440"/>
      <c r="M5" s="2440"/>
      <c r="N5" s="2440"/>
      <c r="O5" s="2440"/>
      <c r="P5" s="2440"/>
      <c r="Q5" s="2440"/>
      <c r="R5"/>
      <c r="S5" s="345"/>
    </row>
    <row r="6" spans="1:23" customFormat="1" ht="19.5" customHeight="1" thickBot="1">
      <c r="C6" s="2440" t="s">
        <v>182</v>
      </c>
      <c r="D6" s="2440"/>
      <c r="E6" s="2440"/>
      <c r="F6" s="2440"/>
      <c r="G6" s="2440"/>
      <c r="H6" s="2440"/>
      <c r="I6" s="2440"/>
      <c r="J6" s="2440"/>
      <c r="K6" s="2440"/>
      <c r="L6" s="2440"/>
      <c r="M6" s="2440"/>
      <c r="N6" s="2440"/>
      <c r="O6" s="2440"/>
      <c r="P6" s="2440"/>
      <c r="Q6" s="2440"/>
      <c r="S6" s="345"/>
    </row>
    <row r="7" spans="1:23" ht="15" customHeight="1" thickBot="1">
      <c r="A7" s="2466" t="s">
        <v>543</v>
      </c>
      <c r="B7" s="2474" t="s">
        <v>544</v>
      </c>
      <c r="C7" s="2424" t="s">
        <v>435</v>
      </c>
      <c r="D7" s="2401" t="s">
        <v>436</v>
      </c>
      <c r="E7" s="2401" t="s">
        <v>497</v>
      </c>
      <c r="F7" s="2424" t="s">
        <v>437</v>
      </c>
      <c r="G7" s="2424" t="s">
        <v>200</v>
      </c>
      <c r="H7" s="2427" t="s">
        <v>576</v>
      </c>
      <c r="I7" s="2424" t="s">
        <v>198</v>
      </c>
      <c r="J7" s="2424"/>
      <c r="K7" s="2424"/>
      <c r="L7" s="2526" t="s">
        <v>341</v>
      </c>
      <c r="M7" s="2444" t="s">
        <v>1213</v>
      </c>
      <c r="N7" s="2446"/>
      <c r="O7" s="2427" t="s">
        <v>1212</v>
      </c>
      <c r="P7" s="2526" t="s">
        <v>1204</v>
      </c>
      <c r="Q7" s="2526" t="s">
        <v>453</v>
      </c>
      <c r="S7" s="345"/>
    </row>
    <row r="8" spans="1:23" ht="15" customHeight="1" thickBot="1">
      <c r="A8" s="2466"/>
      <c r="B8" s="2474"/>
      <c r="C8" s="2414"/>
      <c r="D8" s="2397"/>
      <c r="E8" s="2397"/>
      <c r="F8" s="2414"/>
      <c r="G8" s="2414"/>
      <c r="H8" s="2427"/>
      <c r="I8" s="2414" t="s">
        <v>201</v>
      </c>
      <c r="J8" s="2414" t="s">
        <v>202</v>
      </c>
      <c r="K8" s="2414" t="s">
        <v>231</v>
      </c>
      <c r="L8" s="2516"/>
      <c r="M8" s="2414" t="s">
        <v>231</v>
      </c>
      <c r="N8" s="2441" t="s">
        <v>201</v>
      </c>
      <c r="O8" s="2427"/>
      <c r="P8" s="2516"/>
      <c r="Q8" s="2516"/>
      <c r="S8" s="345"/>
    </row>
    <row r="9" spans="1:23" ht="15" customHeight="1" thickBot="1">
      <c r="A9" s="2466"/>
      <c r="B9" s="2474"/>
      <c r="C9" s="2522"/>
      <c r="D9" s="2489"/>
      <c r="E9" s="2489"/>
      <c r="F9" s="2522"/>
      <c r="G9" s="2522"/>
      <c r="H9" s="2424"/>
      <c r="I9" s="2522"/>
      <c r="J9" s="2522"/>
      <c r="K9" s="2522"/>
      <c r="L9" s="2517"/>
      <c r="M9" s="2522"/>
      <c r="N9" s="2527"/>
      <c r="O9" s="2424"/>
      <c r="P9" s="2517"/>
      <c r="Q9" s="2517"/>
      <c r="S9" s="345"/>
    </row>
    <row r="10" spans="1:23" ht="50.25" customHeight="1" thickBot="1">
      <c r="A10" s="1306">
        <v>117</v>
      </c>
      <c r="B10" s="1425"/>
      <c r="C10" s="660" t="s">
        <v>205</v>
      </c>
      <c r="D10" s="661"/>
      <c r="E10" s="661"/>
      <c r="F10" s="438" t="s">
        <v>210</v>
      </c>
      <c r="G10" s="438">
        <v>30</v>
      </c>
      <c r="H10" s="438"/>
      <c r="I10" s="662">
        <f t="shared" ref="I10:P10" si="0">+I11+I18</f>
        <v>111536499.28</v>
      </c>
      <c r="J10" s="662">
        <f t="shared" si="0"/>
        <v>56679023</v>
      </c>
      <c r="K10" s="662">
        <f t="shared" si="0"/>
        <v>0</v>
      </c>
      <c r="L10" s="663">
        <f t="shared" si="0"/>
        <v>168215522.28</v>
      </c>
      <c r="M10" s="662">
        <f t="shared" si="0"/>
        <v>5667901.7000000002</v>
      </c>
      <c r="N10" s="662">
        <f t="shared" si="0"/>
        <v>29957222.465999998</v>
      </c>
      <c r="O10" s="663">
        <f t="shared" si="0"/>
        <v>35625124.166000001</v>
      </c>
      <c r="P10" s="663">
        <f t="shared" si="0"/>
        <v>0</v>
      </c>
      <c r="Q10" s="663">
        <f>+P10+O10+L10</f>
        <v>203840646.44600001</v>
      </c>
    </row>
    <row r="11" spans="1:23" ht="23.25" customHeight="1">
      <c r="A11" s="1306"/>
      <c r="B11" s="1425" t="s">
        <v>1045</v>
      </c>
      <c r="C11" s="667" t="s">
        <v>206</v>
      </c>
      <c r="D11" s="629" t="s">
        <v>448</v>
      </c>
      <c r="E11" s="629"/>
      <c r="F11" s="629" t="s">
        <v>207</v>
      </c>
      <c r="G11" s="629">
        <v>10</v>
      </c>
      <c r="H11" s="629"/>
      <c r="I11" s="1181">
        <f>SUM(I12:I17)</f>
        <v>59241432.399999999</v>
      </c>
      <c r="J11" s="659">
        <f t="shared" ref="J11:N11" si="1">SUM(J12:J14)</f>
        <v>0</v>
      </c>
      <c r="K11" s="659">
        <f t="shared" si="1"/>
        <v>0</v>
      </c>
      <c r="L11" s="668">
        <f>SUM(L12:L17)</f>
        <v>59241432.399999999</v>
      </c>
      <c r="M11" s="1181">
        <f t="shared" si="1"/>
        <v>0</v>
      </c>
      <c r="N11" s="1181">
        <f t="shared" si="1"/>
        <v>29957222.465999998</v>
      </c>
      <c r="O11" s="668">
        <f>SUM(O12:O17)</f>
        <v>29957222.465999998</v>
      </c>
      <c r="P11" s="668"/>
      <c r="Q11" s="668">
        <f t="shared" ref="Q11:Q23" si="2">+P11+O11+L11</f>
        <v>89198654.865999997</v>
      </c>
    </row>
    <row r="12" spans="1:23" s="510" customFormat="1" ht="28.5" customHeight="1">
      <c r="B12" s="1426"/>
      <c r="C12" s="567" t="s">
        <v>615</v>
      </c>
      <c r="D12" s="2231" t="s">
        <v>235</v>
      </c>
      <c r="E12" s="2231">
        <v>83990</v>
      </c>
      <c r="F12" s="2231" t="s">
        <v>207</v>
      </c>
      <c r="G12" s="2231">
        <v>11</v>
      </c>
      <c r="H12" s="2231"/>
      <c r="I12" s="1558">
        <f>55468070.4-12672038</f>
        <v>42796032.399999999</v>
      </c>
      <c r="J12" s="2231"/>
      <c r="K12" s="2231"/>
      <c r="L12" s="669">
        <f>SUM(I12:K12)</f>
        <v>42796032.399999999</v>
      </c>
      <c r="M12" s="1558"/>
      <c r="N12" s="2231"/>
      <c r="O12" s="669">
        <f>SUM(M12:N12)</f>
        <v>0</v>
      </c>
      <c r="P12" s="669"/>
      <c r="Q12" s="669">
        <f t="shared" si="2"/>
        <v>42796032.399999999</v>
      </c>
      <c r="R12"/>
      <c r="S12" s="1556"/>
    </row>
    <row r="13" spans="1:23" s="510" customFormat="1" ht="26.25" customHeight="1">
      <c r="B13" s="1426"/>
      <c r="C13" s="567" t="s">
        <v>616</v>
      </c>
      <c r="D13" s="2231" t="s">
        <v>235</v>
      </c>
      <c r="E13" s="2231">
        <v>83990</v>
      </c>
      <c r="F13" s="2231" t="s">
        <v>207</v>
      </c>
      <c r="G13" s="2231">
        <v>6</v>
      </c>
      <c r="H13" s="2231"/>
      <c r="I13" s="512">
        <v>5945400</v>
      </c>
      <c r="J13" s="2231"/>
      <c r="K13" s="2231"/>
      <c r="L13" s="669">
        <f t="shared" ref="L13:L14" si="3">SUM(I13:K13)</f>
        <v>5945400</v>
      </c>
      <c r="M13" s="512"/>
      <c r="N13" s="2231"/>
      <c r="O13" s="669">
        <f>SUM(M13:N13)</f>
        <v>0</v>
      </c>
      <c r="P13" s="669"/>
      <c r="Q13" s="669">
        <f t="shared" si="2"/>
        <v>5945400</v>
      </c>
      <c r="R13"/>
    </row>
    <row r="14" spans="1:23" s="510" customFormat="1" ht="25.5" customHeight="1">
      <c r="B14" s="1426"/>
      <c r="C14" s="567" t="s">
        <v>1211</v>
      </c>
      <c r="D14" s="2231" t="s">
        <v>235</v>
      </c>
      <c r="E14" s="2231">
        <v>83990</v>
      </c>
      <c r="F14" s="2231" t="s">
        <v>207</v>
      </c>
      <c r="G14" s="2231"/>
      <c r="H14" s="2231"/>
      <c r="I14" s="512"/>
      <c r="J14" s="2231"/>
      <c r="K14" s="2231"/>
      <c r="L14" s="669">
        <f t="shared" si="3"/>
        <v>0</v>
      </c>
      <c r="M14" s="512"/>
      <c r="N14" s="1463">
        <f>34373771.296+0.17-4416549</f>
        <v>29957222.465999998</v>
      </c>
      <c r="O14" s="669">
        <f>SUM(M14:N14)</f>
        <v>29957222.465999998</v>
      </c>
      <c r="P14" s="669"/>
      <c r="Q14" s="669">
        <f t="shared" si="2"/>
        <v>29957222.465999998</v>
      </c>
      <c r="R14"/>
    </row>
    <row r="15" spans="1:23" s="510" customFormat="1" ht="25.5" customHeight="1">
      <c r="B15" s="1426"/>
      <c r="C15" s="567" t="s">
        <v>1425</v>
      </c>
      <c r="D15" s="2231" t="s">
        <v>235</v>
      </c>
      <c r="E15" s="2231">
        <v>83990</v>
      </c>
      <c r="F15" s="2231" t="s">
        <v>207</v>
      </c>
      <c r="G15" s="2231">
        <v>7</v>
      </c>
      <c r="H15" s="2231"/>
      <c r="I15" s="512">
        <f>5000000-1500000</f>
        <v>3500000</v>
      </c>
      <c r="J15" s="2231"/>
      <c r="K15" s="2231"/>
      <c r="L15" s="669">
        <f t="shared" ref="L15:L17" si="4">SUM(I15:K15)</f>
        <v>3500000</v>
      </c>
      <c r="M15" s="512"/>
      <c r="N15" s="1567"/>
      <c r="O15" s="669">
        <f>SUM(M15:N15)</f>
        <v>0</v>
      </c>
      <c r="P15" s="669"/>
      <c r="Q15" s="669">
        <f t="shared" si="2"/>
        <v>3500000</v>
      </c>
      <c r="R15"/>
    </row>
    <row r="16" spans="1:23" s="510" customFormat="1" ht="25.5" customHeight="1">
      <c r="B16" s="1426"/>
      <c r="C16" s="567" t="s">
        <v>1426</v>
      </c>
      <c r="D16" s="2231"/>
      <c r="E16" s="2231"/>
      <c r="F16" s="2231"/>
      <c r="G16" s="2231"/>
      <c r="H16" s="2231"/>
      <c r="I16" s="512">
        <v>3500000</v>
      </c>
      <c r="J16" s="2231"/>
      <c r="K16" s="2231"/>
      <c r="L16" s="669">
        <f t="shared" si="4"/>
        <v>3500000</v>
      </c>
      <c r="M16" s="512"/>
      <c r="N16" s="1463"/>
      <c r="O16" s="669"/>
      <c r="P16" s="669"/>
      <c r="Q16" s="669">
        <f t="shared" si="2"/>
        <v>3500000</v>
      </c>
      <c r="R16"/>
    </row>
    <row r="17" spans="1:21" s="510" customFormat="1" ht="25.5" customHeight="1">
      <c r="B17" s="1426"/>
      <c r="C17" s="567" t="s">
        <v>1427</v>
      </c>
      <c r="D17" s="2231"/>
      <c r="E17" s="2231"/>
      <c r="F17" s="2231"/>
      <c r="G17" s="2231"/>
      <c r="H17" s="2231"/>
      <c r="I17" s="512">
        <v>3500000</v>
      </c>
      <c r="J17" s="2231"/>
      <c r="K17" s="2231"/>
      <c r="L17" s="669">
        <f t="shared" si="4"/>
        <v>3500000</v>
      </c>
      <c r="M17" s="512"/>
      <c r="N17" s="1567"/>
      <c r="O17" s="669"/>
      <c r="P17" s="669"/>
      <c r="Q17" s="669">
        <f t="shared" si="2"/>
        <v>3500000</v>
      </c>
      <c r="R17"/>
    </row>
    <row r="18" spans="1:21" ht="15" customHeight="1">
      <c r="A18" s="1306"/>
      <c r="B18" s="1425" t="s">
        <v>1046</v>
      </c>
      <c r="C18" s="670" t="s">
        <v>208</v>
      </c>
      <c r="D18" s="174"/>
      <c r="E18" s="174"/>
      <c r="F18" s="174" t="s">
        <v>209</v>
      </c>
      <c r="G18" s="174">
        <v>1</v>
      </c>
      <c r="H18" s="174"/>
      <c r="I18" s="391">
        <f t="shared" ref="I18:O18" si="5">SUM(I19:I23)</f>
        <v>52295066.880000003</v>
      </c>
      <c r="J18" s="391">
        <f t="shared" si="5"/>
        <v>56679023</v>
      </c>
      <c r="K18" s="391">
        <f t="shared" si="5"/>
        <v>0</v>
      </c>
      <c r="L18" s="671">
        <f t="shared" si="5"/>
        <v>108974089.88</v>
      </c>
      <c r="M18" s="391">
        <f t="shared" si="5"/>
        <v>5667901.7000000002</v>
      </c>
      <c r="N18" s="391">
        <f t="shared" si="5"/>
        <v>0</v>
      </c>
      <c r="O18" s="671">
        <f t="shared" si="5"/>
        <v>5667901.7000000002</v>
      </c>
      <c r="P18" s="671"/>
      <c r="Q18" s="671">
        <f t="shared" si="2"/>
        <v>114641991.58</v>
      </c>
    </row>
    <row r="19" spans="1:21" s="507" customFormat="1" ht="15" customHeight="1">
      <c r="B19" s="1418"/>
      <c r="C19" s="1182" t="s">
        <v>619</v>
      </c>
      <c r="D19" s="1452" t="s">
        <v>598</v>
      </c>
      <c r="E19" s="576"/>
      <c r="F19" s="576" t="s">
        <v>209</v>
      </c>
      <c r="G19" s="576">
        <v>30</v>
      </c>
      <c r="H19" s="2230"/>
      <c r="I19" s="2230"/>
      <c r="J19" s="576">
        <f>188977910-152865531</f>
        <v>36112379</v>
      </c>
      <c r="K19" s="1183"/>
      <c r="L19" s="669">
        <f>+SUM(I19:K19)</f>
        <v>36112379</v>
      </c>
      <c r="M19" s="2230"/>
      <c r="N19" s="576"/>
      <c r="O19" s="669">
        <f>+SUM(M19:N19)</f>
        <v>0</v>
      </c>
      <c r="P19" s="669"/>
      <c r="Q19" s="669">
        <f t="shared" si="2"/>
        <v>36112379</v>
      </c>
      <c r="R19"/>
      <c r="S19" s="1553"/>
    </row>
    <row r="20" spans="1:21" s="507" customFormat="1" ht="15" customHeight="1">
      <c r="B20" s="1418"/>
      <c r="C20" s="1182" t="s">
        <v>620</v>
      </c>
      <c r="D20" s="573" t="s">
        <v>585</v>
      </c>
      <c r="E20" s="576">
        <v>54342</v>
      </c>
      <c r="F20" s="576" t="s">
        <v>209</v>
      </c>
      <c r="G20" s="576">
        <v>5</v>
      </c>
      <c r="H20" s="2230"/>
      <c r="I20" s="2230"/>
      <c r="J20" s="576">
        <f>30506806-12002011+2061849</f>
        <v>20566644</v>
      </c>
      <c r="K20" s="1183"/>
      <c r="L20" s="669">
        <f>+SUM(I20:K20)</f>
        <v>20566644</v>
      </c>
      <c r="M20" s="2230"/>
      <c r="N20" s="576"/>
      <c r="O20" s="669">
        <f>+SUM(M20:N20)</f>
        <v>0</v>
      </c>
      <c r="P20" s="669"/>
      <c r="Q20" s="669">
        <f t="shared" si="2"/>
        <v>20566644</v>
      </c>
      <c r="R20"/>
      <c r="S20" s="1553"/>
    </row>
    <row r="21" spans="1:21" s="507" customFormat="1" ht="15" customHeight="1">
      <c r="B21" s="1418"/>
      <c r="C21" s="1182" t="s">
        <v>621</v>
      </c>
      <c r="D21" s="573" t="s">
        <v>235</v>
      </c>
      <c r="E21" s="576">
        <v>83990</v>
      </c>
      <c r="F21" s="576" t="s">
        <v>209</v>
      </c>
      <c r="G21" s="576">
        <v>1</v>
      </c>
      <c r="H21" s="2230"/>
      <c r="I21" s="2230"/>
      <c r="J21" s="576"/>
      <c r="K21" s="1183">
        <f>3050681-3050681</f>
        <v>0</v>
      </c>
      <c r="L21" s="669">
        <f>+SUM(I21:K21)</f>
        <v>0</v>
      </c>
      <c r="M21" s="1561">
        <f>1850479.5+206184.6</f>
        <v>2056664.1</v>
      </c>
      <c r="N21" s="576"/>
      <c r="O21" s="669">
        <f>+SUM(M21:N21)</f>
        <v>2056664.1</v>
      </c>
      <c r="P21" s="669"/>
      <c r="Q21" s="669">
        <f t="shared" si="2"/>
        <v>2056664.1</v>
      </c>
      <c r="R21"/>
    </row>
    <row r="22" spans="1:21" s="507" customFormat="1" ht="34.5" customHeight="1">
      <c r="B22" s="1418"/>
      <c r="C22" s="567" t="s">
        <v>1247</v>
      </c>
      <c r="D22" s="573" t="s">
        <v>235</v>
      </c>
      <c r="E22" s="576">
        <v>83990</v>
      </c>
      <c r="F22" s="2230"/>
      <c r="G22" s="2230"/>
      <c r="H22" s="2230"/>
      <c r="I22" s="512"/>
      <c r="J22" s="512"/>
      <c r="K22" s="512"/>
      <c r="L22" s="669">
        <f>+SUM(I22:K22)</f>
        <v>0</v>
      </c>
      <c r="M22" s="512">
        <v>3611237.6</v>
      </c>
      <c r="N22" s="512"/>
      <c r="O22" s="669">
        <f>+SUM(M22:N22)</f>
        <v>3611237.6</v>
      </c>
      <c r="P22" s="669"/>
      <c r="Q22" s="669">
        <f t="shared" si="2"/>
        <v>3611237.6</v>
      </c>
      <c r="R22"/>
    </row>
    <row r="23" spans="1:21" s="507" customFormat="1" ht="34.5" customHeight="1" thickBot="1">
      <c r="B23" s="1418"/>
      <c r="C23" s="567" t="s">
        <v>1428</v>
      </c>
      <c r="D23" s="573" t="s">
        <v>235</v>
      </c>
      <c r="E23" s="576">
        <v>83931</v>
      </c>
      <c r="F23" s="2230"/>
      <c r="G23" s="2230"/>
      <c r="H23" s="2230"/>
      <c r="I23" s="512">
        <v>52295066.880000003</v>
      </c>
      <c r="J23" s="512"/>
      <c r="K23" s="512"/>
      <c r="L23" s="669">
        <f>+SUM(I23:K23)</f>
        <v>52295066.880000003</v>
      </c>
      <c r="M23" s="512"/>
      <c r="N23" s="512"/>
      <c r="O23" s="669">
        <f>+SUM(M23:N23)</f>
        <v>0</v>
      </c>
      <c r="P23" s="669"/>
      <c r="Q23" s="669">
        <f t="shared" si="2"/>
        <v>52295066.880000003</v>
      </c>
      <c r="R23"/>
    </row>
    <row r="24" spans="1:21" s="345" customFormat="1" ht="33" customHeight="1" thickBot="1">
      <c r="A24" s="1306">
        <v>118</v>
      </c>
      <c r="B24" s="1425"/>
      <c r="C24" s="660" t="s">
        <v>33</v>
      </c>
      <c r="D24" s="661"/>
      <c r="E24" s="661"/>
      <c r="F24" s="438" t="s">
        <v>210</v>
      </c>
      <c r="G24" s="438">
        <v>3</v>
      </c>
      <c r="H24" s="438"/>
      <c r="I24" s="662">
        <f t="shared" ref="I24:O24" si="6">+I25</f>
        <v>317141596.48000002</v>
      </c>
      <c r="J24" s="662">
        <f t="shared" si="6"/>
        <v>9070165</v>
      </c>
      <c r="K24" s="662">
        <f t="shared" si="6"/>
        <v>20324202.991999999</v>
      </c>
      <c r="L24" s="663">
        <f t="shared" si="6"/>
        <v>346535964.472</v>
      </c>
      <c r="M24" s="662">
        <f t="shared" si="6"/>
        <v>3768792.5199999996</v>
      </c>
      <c r="N24" s="662">
        <f t="shared" si="6"/>
        <v>226205123</v>
      </c>
      <c r="O24" s="663">
        <f t="shared" si="6"/>
        <v>229973915.52000001</v>
      </c>
      <c r="P24" s="663">
        <f>+P25</f>
        <v>1999089755.484</v>
      </c>
      <c r="Q24" s="663">
        <f t="shared" ref="Q24:Q87" si="7">+P24+O24+L24</f>
        <v>2575599635.4760003</v>
      </c>
      <c r="R24"/>
      <c r="S24"/>
      <c r="T24"/>
      <c r="U24"/>
    </row>
    <row r="25" spans="1:21" s="345" customFormat="1" ht="37.5" customHeight="1">
      <c r="A25" s="1306"/>
      <c r="B25" s="1425" t="s">
        <v>1047</v>
      </c>
      <c r="C25" s="667" t="s">
        <v>446</v>
      </c>
      <c r="D25" s="629"/>
      <c r="E25" s="629"/>
      <c r="F25" s="629" t="s">
        <v>209</v>
      </c>
      <c r="G25" s="629">
        <v>1</v>
      </c>
      <c r="H25" s="629"/>
      <c r="I25" s="1181">
        <f>SUM(I26:I56)</f>
        <v>317141596.48000002</v>
      </c>
      <c r="J25" s="1181">
        <f>SUM(J26:J56)</f>
        <v>9070165</v>
      </c>
      <c r="K25" s="1181">
        <f>SUM(K26:K56)</f>
        <v>20324202.991999999</v>
      </c>
      <c r="L25" s="659">
        <f>SUM(L26:L56)</f>
        <v>346535964.472</v>
      </c>
      <c r="M25" s="1181">
        <f>SUM(M26:M56)</f>
        <v>3768792.5199999996</v>
      </c>
      <c r="N25" s="1181">
        <f>SUM(N27:N56)</f>
        <v>226205123</v>
      </c>
      <c r="O25" s="659">
        <f>SUM(O26:O56)</f>
        <v>229973915.52000001</v>
      </c>
      <c r="P25" s="659">
        <f>SUM(P26:P56)</f>
        <v>1999089755.484</v>
      </c>
      <c r="Q25" s="659">
        <f t="shared" si="7"/>
        <v>2575599635.4760003</v>
      </c>
      <c r="R25"/>
      <c r="S25"/>
      <c r="T25"/>
      <c r="U25"/>
    </row>
    <row r="26" spans="1:21" s="507" customFormat="1" ht="36.75" customHeight="1">
      <c r="B26"/>
      <c r="C26" s="2523" t="s">
        <v>1371</v>
      </c>
      <c r="D26" s="1184" t="s">
        <v>557</v>
      </c>
      <c r="E26" s="1460" t="s">
        <v>1387</v>
      </c>
      <c r="F26" s="1184" t="s">
        <v>209</v>
      </c>
      <c r="G26" s="1184">
        <v>1</v>
      </c>
      <c r="H26" s="1185"/>
      <c r="I26" s="1185">
        <v>46933104</v>
      </c>
      <c r="J26" s="1185"/>
      <c r="K26" s="1185"/>
      <c r="L26" s="868">
        <f t="shared" ref="L26:L56" si="8">SUM(I26:K26)</f>
        <v>46933104</v>
      </c>
      <c r="M26" s="1185"/>
      <c r="N26" s="1185"/>
      <c r="O26" s="868">
        <f t="shared" ref="O26:O46" si="9">SUM(M26:N26)</f>
        <v>0</v>
      </c>
      <c r="P26" s="1461"/>
      <c r="Q26" s="868">
        <f t="shared" si="7"/>
        <v>46933104</v>
      </c>
      <c r="R26"/>
      <c r="S26"/>
      <c r="T26"/>
      <c r="U26"/>
    </row>
    <row r="27" spans="1:21" s="507" customFormat="1" ht="36.75" customHeight="1">
      <c r="B27"/>
      <c r="C27" s="2524"/>
      <c r="D27" s="1184" t="s">
        <v>1199</v>
      </c>
      <c r="E27" s="1460">
        <v>16110</v>
      </c>
      <c r="F27" s="1184" t="s">
        <v>209</v>
      </c>
      <c r="G27" s="1184">
        <v>1</v>
      </c>
      <c r="H27" s="1185"/>
      <c r="I27" s="1185">
        <v>10682560</v>
      </c>
      <c r="J27" s="1185"/>
      <c r="K27" s="1185"/>
      <c r="L27" s="868">
        <f t="shared" si="8"/>
        <v>10682560</v>
      </c>
      <c r="M27" s="1185"/>
      <c r="N27" s="1185"/>
      <c r="O27" s="868">
        <f t="shared" si="9"/>
        <v>0</v>
      </c>
      <c r="P27" s="1461"/>
      <c r="Q27" s="868">
        <f t="shared" si="7"/>
        <v>10682560</v>
      </c>
      <c r="R27"/>
      <c r="S27"/>
      <c r="T27"/>
      <c r="U27"/>
    </row>
    <row r="28" spans="1:21" s="507" customFormat="1" ht="36.75" customHeight="1">
      <c r="B28"/>
      <c r="C28" s="2524"/>
      <c r="D28" s="1184" t="s">
        <v>934</v>
      </c>
      <c r="E28" s="1460" t="s">
        <v>1388</v>
      </c>
      <c r="F28" s="1184" t="s">
        <v>209</v>
      </c>
      <c r="G28" s="1184">
        <v>1</v>
      </c>
      <c r="H28" s="1185"/>
      <c r="I28" s="1185">
        <v>7757125</v>
      </c>
      <c r="J28" s="1185"/>
      <c r="K28" s="1185"/>
      <c r="L28" s="868">
        <f t="shared" si="8"/>
        <v>7757125</v>
      </c>
      <c r="M28" s="1185"/>
      <c r="N28" s="1185"/>
      <c r="O28" s="868">
        <f t="shared" si="9"/>
        <v>0</v>
      </c>
      <c r="P28" s="1461"/>
      <c r="Q28" s="868">
        <f t="shared" si="7"/>
        <v>7757125</v>
      </c>
      <c r="R28"/>
      <c r="S28"/>
      <c r="T28"/>
      <c r="U28"/>
    </row>
    <row r="29" spans="1:21" s="507" customFormat="1" ht="36.75" customHeight="1">
      <c r="B29"/>
      <c r="C29" s="2524"/>
      <c r="D29" s="1184" t="s">
        <v>1389</v>
      </c>
      <c r="E29" s="1460" t="s">
        <v>1390</v>
      </c>
      <c r="F29" s="1184" t="s">
        <v>209</v>
      </c>
      <c r="G29" s="1184">
        <v>1</v>
      </c>
      <c r="H29" s="1185"/>
      <c r="I29" s="1185">
        <v>13104075</v>
      </c>
      <c r="J29" s="1185"/>
      <c r="K29" s="1185"/>
      <c r="L29" s="868">
        <f>SUM(I29:K29)</f>
        <v>13104075</v>
      </c>
      <c r="M29" s="1185"/>
      <c r="N29" s="1185">
        <v>226205123</v>
      </c>
      <c r="O29" s="868">
        <f t="shared" si="9"/>
        <v>226205123</v>
      </c>
      <c r="P29" s="1461"/>
      <c r="Q29" s="868">
        <f t="shared" si="7"/>
        <v>239309198</v>
      </c>
      <c r="R29"/>
      <c r="S29"/>
      <c r="T29"/>
      <c r="U29"/>
    </row>
    <row r="30" spans="1:21" s="507" customFormat="1" ht="36.75" customHeight="1">
      <c r="B30"/>
      <c r="C30" s="2524"/>
      <c r="D30" s="1184" t="s">
        <v>1335</v>
      </c>
      <c r="E30" s="1460" t="s">
        <v>1391</v>
      </c>
      <c r="F30" s="1184" t="s">
        <v>209</v>
      </c>
      <c r="G30" s="1184">
        <v>1</v>
      </c>
      <c r="H30" s="1185"/>
      <c r="I30" s="1185">
        <v>90497488</v>
      </c>
      <c r="J30" s="1185"/>
      <c r="L30" s="868">
        <f t="shared" si="8"/>
        <v>90497488</v>
      </c>
      <c r="M30" s="1185"/>
      <c r="N30" s="1185"/>
      <c r="O30" s="868">
        <f t="shared" si="9"/>
        <v>0</v>
      </c>
      <c r="P30" s="1461"/>
      <c r="Q30" s="868">
        <f t="shared" si="7"/>
        <v>90497488</v>
      </c>
      <c r="R30"/>
      <c r="S30"/>
      <c r="T30"/>
      <c r="U30"/>
    </row>
    <row r="31" spans="1:21" s="507" customFormat="1" ht="36.75" customHeight="1">
      <c r="B31"/>
      <c r="C31" s="2525"/>
      <c r="D31" s="1184" t="s">
        <v>1333</v>
      </c>
      <c r="E31" s="1460">
        <v>4621301</v>
      </c>
      <c r="F31" s="1184" t="s">
        <v>209</v>
      </c>
      <c r="G31" s="1184">
        <v>1</v>
      </c>
      <c r="H31" s="1185"/>
      <c r="I31" s="1185">
        <v>5355456.4800000004</v>
      </c>
      <c r="J31" s="1185"/>
      <c r="K31" s="1185"/>
      <c r="L31" s="868">
        <f t="shared" si="8"/>
        <v>5355456.4800000004</v>
      </c>
      <c r="M31" s="1185"/>
      <c r="N31" s="1185"/>
      <c r="O31" s="868">
        <f t="shared" si="9"/>
        <v>0</v>
      </c>
      <c r="P31" s="1461"/>
      <c r="Q31" s="868">
        <f t="shared" si="7"/>
        <v>5355456.4800000004</v>
      </c>
      <c r="R31"/>
      <c r="S31"/>
      <c r="T31"/>
      <c r="U31"/>
    </row>
    <row r="32" spans="1:21" s="507" customFormat="1" ht="78" customHeight="1">
      <c r="B32"/>
      <c r="C32" s="2232" t="s">
        <v>1408</v>
      </c>
      <c r="D32" s="1184" t="s">
        <v>557</v>
      </c>
      <c r="E32" s="1460" t="s">
        <v>1409</v>
      </c>
      <c r="F32" s="1184" t="s">
        <v>209</v>
      </c>
      <c r="G32" s="1184">
        <v>1</v>
      </c>
      <c r="H32" s="1185"/>
      <c r="I32" s="1185">
        <v>10627340</v>
      </c>
      <c r="J32" s="1185"/>
      <c r="K32" s="1185"/>
      <c r="L32" s="868">
        <f t="shared" si="8"/>
        <v>10627340</v>
      </c>
      <c r="M32" s="1185"/>
      <c r="N32" s="1185"/>
      <c r="O32" s="868">
        <f t="shared" si="9"/>
        <v>0</v>
      </c>
      <c r="P32" s="1461"/>
      <c r="Q32" s="868">
        <f t="shared" si="7"/>
        <v>10627340</v>
      </c>
      <c r="R32"/>
      <c r="S32"/>
      <c r="T32"/>
      <c r="U32"/>
    </row>
    <row r="33" spans="2:22" s="507" customFormat="1" ht="78" customHeight="1">
      <c r="B33"/>
      <c r="C33" s="2232" t="s">
        <v>1408</v>
      </c>
      <c r="D33" s="1184" t="s">
        <v>557</v>
      </c>
      <c r="E33" s="1460" t="s">
        <v>736</v>
      </c>
      <c r="F33" s="1184" t="s">
        <v>209</v>
      </c>
      <c r="G33" s="1184">
        <v>1</v>
      </c>
      <c r="H33" s="1185"/>
      <c r="I33" s="1185">
        <v>3445728</v>
      </c>
      <c r="J33" s="1185"/>
      <c r="K33" s="1185"/>
      <c r="L33" s="868">
        <f t="shared" si="8"/>
        <v>3445728</v>
      </c>
      <c r="M33" s="1185"/>
      <c r="N33" s="1185"/>
      <c r="O33" s="868">
        <f t="shared" si="9"/>
        <v>0</v>
      </c>
      <c r="P33" s="1461"/>
      <c r="Q33" s="868">
        <f t="shared" si="7"/>
        <v>3445728</v>
      </c>
      <c r="R33"/>
      <c r="S33"/>
      <c r="T33"/>
      <c r="U33"/>
    </row>
    <row r="34" spans="2:22" s="507" customFormat="1" ht="78" customHeight="1">
      <c r="B34"/>
      <c r="C34" s="2232" t="s">
        <v>1429</v>
      </c>
      <c r="D34" s="1184" t="s">
        <v>235</v>
      </c>
      <c r="E34" s="1460">
        <v>83931</v>
      </c>
      <c r="F34" s="1184" t="s">
        <v>209</v>
      </c>
      <c r="G34" s="1184">
        <v>1</v>
      </c>
      <c r="H34" s="1185"/>
      <c r="I34" s="1185">
        <v>28338720</v>
      </c>
      <c r="J34" s="1185"/>
      <c r="K34" s="1185"/>
      <c r="L34" s="868">
        <f t="shared" si="8"/>
        <v>28338720</v>
      </c>
      <c r="M34" s="1185"/>
      <c r="N34" s="1185"/>
      <c r="O34" s="868"/>
      <c r="P34" s="1461"/>
      <c r="Q34" s="868">
        <f t="shared" si="7"/>
        <v>28338720</v>
      </c>
      <c r="R34"/>
      <c r="S34"/>
      <c r="T34"/>
      <c r="U34"/>
    </row>
    <row r="35" spans="2:22" s="507" customFormat="1" ht="37.5" customHeight="1">
      <c r="B35"/>
      <c r="C35" s="1182" t="s">
        <v>1277</v>
      </c>
      <c r="D35" s="1184" t="s">
        <v>235</v>
      </c>
      <c r="E35" s="1460">
        <v>83931</v>
      </c>
      <c r="F35" s="1184" t="s">
        <v>209</v>
      </c>
      <c r="G35" s="1184">
        <v>1</v>
      </c>
      <c r="H35" s="1185"/>
      <c r="I35" s="1185">
        <f>20080000-20080000</f>
        <v>0</v>
      </c>
      <c r="J35" s="1185"/>
      <c r="K35" s="1185"/>
      <c r="L35" s="868">
        <f t="shared" si="8"/>
        <v>0</v>
      </c>
      <c r="M35" s="1185"/>
      <c r="N35" s="1185"/>
      <c r="O35" s="868">
        <f t="shared" si="9"/>
        <v>0</v>
      </c>
      <c r="P35" s="1461"/>
      <c r="Q35" s="868">
        <f t="shared" si="7"/>
        <v>0</v>
      </c>
      <c r="R35"/>
      <c r="S35"/>
      <c r="T35"/>
      <c r="U35"/>
    </row>
    <row r="36" spans="2:22" s="507" customFormat="1" ht="60.75" customHeight="1">
      <c r="B36"/>
      <c r="C36" s="1182" t="s">
        <v>623</v>
      </c>
      <c r="D36" s="2230" t="s">
        <v>591</v>
      </c>
      <c r="E36" s="2230">
        <v>94900</v>
      </c>
      <c r="F36" s="2230" t="s">
        <v>209</v>
      </c>
      <c r="G36" s="2230">
        <v>1</v>
      </c>
      <c r="H36" s="1185"/>
      <c r="I36" s="575">
        <f>100000000*1.004</f>
        <v>100400000</v>
      </c>
      <c r="J36" s="1185"/>
      <c r="K36" s="1185"/>
      <c r="L36" s="868">
        <f>SUM(I36:K36)</f>
        <v>100400000</v>
      </c>
      <c r="M36" s="1185"/>
      <c r="N36" s="1185"/>
      <c r="O36" s="868">
        <f t="shared" si="9"/>
        <v>0</v>
      </c>
      <c r="P36" s="1461"/>
      <c r="Q36" s="868">
        <f>+P36+O36+L36</f>
        <v>100400000</v>
      </c>
      <c r="R36"/>
      <c r="S36"/>
      <c r="T36"/>
      <c r="U36"/>
    </row>
    <row r="37" spans="2:22" s="507" customFormat="1" ht="42" customHeight="1">
      <c r="B37"/>
      <c r="C37" s="1182" t="s">
        <v>1202</v>
      </c>
      <c r="D37" s="1184" t="s">
        <v>610</v>
      </c>
      <c r="E37" s="1460" t="s">
        <v>1173</v>
      </c>
      <c r="F37" s="1184" t="s">
        <v>209</v>
      </c>
      <c r="G37" s="1184">
        <v>1</v>
      </c>
      <c r="H37" s="1185"/>
      <c r="I37" s="1185"/>
      <c r="J37" s="1185"/>
      <c r="K37" s="1185"/>
      <c r="L37" s="868">
        <f t="shared" si="8"/>
        <v>0</v>
      </c>
      <c r="M37" s="1185"/>
      <c r="N37" s="1185"/>
      <c r="O37" s="868">
        <f t="shared" si="9"/>
        <v>0</v>
      </c>
      <c r="P37" s="1461">
        <f>944583206-14168748+3721658-3721658.16799998</f>
        <v>930414457.83200002</v>
      </c>
      <c r="Q37" s="868">
        <f t="shared" si="7"/>
        <v>930414457.83200002</v>
      </c>
      <c r="R37" s="501"/>
      <c r="S37"/>
      <c r="T37"/>
      <c r="U37"/>
    </row>
    <row r="38" spans="2:22" s="507" customFormat="1" ht="23.25" customHeight="1">
      <c r="B38"/>
      <c r="C38" s="1182" t="s">
        <v>1203</v>
      </c>
      <c r="D38" s="1184" t="s">
        <v>235</v>
      </c>
      <c r="E38" s="1460">
        <v>83990</v>
      </c>
      <c r="F38" s="1184" t="s">
        <v>209</v>
      </c>
      <c r="G38" s="1184">
        <v>1</v>
      </c>
      <c r="H38" s="1185"/>
      <c r="I38" s="1185"/>
      <c r="J38" s="1185">
        <v>9070165</v>
      </c>
      <c r="K38" s="1185">
        <v>2372938</v>
      </c>
      <c r="L38" s="868">
        <f t="shared" si="8"/>
        <v>11443103</v>
      </c>
      <c r="M38" s="1185"/>
      <c r="N38" s="1185"/>
      <c r="O38" s="868">
        <f t="shared" si="9"/>
        <v>0</v>
      </c>
      <c r="P38" s="1461">
        <f>773555550-773555550</f>
        <v>0</v>
      </c>
      <c r="Q38" s="868">
        <f t="shared" si="7"/>
        <v>11443103</v>
      </c>
      <c r="R38"/>
      <c r="S38"/>
      <c r="T38"/>
      <c r="U38"/>
    </row>
    <row r="39" spans="2:22" s="507" customFormat="1" ht="32.25" customHeight="1">
      <c r="B39"/>
      <c r="C39" s="1182" t="s">
        <v>1202</v>
      </c>
      <c r="D39" s="1184" t="s">
        <v>610</v>
      </c>
      <c r="E39" s="1460"/>
      <c r="F39" s="1184" t="s">
        <v>209</v>
      </c>
      <c r="G39" s="1184">
        <v>1</v>
      </c>
      <c r="H39" s="1185"/>
      <c r="I39" s="1185"/>
      <c r="J39" s="1185"/>
      <c r="K39" s="1185">
        <f>18018869-71788-7588.00800000131</f>
        <v>17939492.991999999</v>
      </c>
      <c r="L39" s="868">
        <f t="shared" si="8"/>
        <v>17939492.991999999</v>
      </c>
      <c r="M39" s="1185"/>
      <c r="N39" s="1185"/>
      <c r="O39" s="868">
        <f t="shared" si="9"/>
        <v>0</v>
      </c>
      <c r="P39" s="1461"/>
      <c r="Q39" s="1461">
        <f t="shared" si="7"/>
        <v>17939492.991999999</v>
      </c>
      <c r="R39"/>
      <c r="S39"/>
      <c r="T39"/>
      <c r="U39"/>
    </row>
    <row r="40" spans="2:22" s="507" customFormat="1" ht="37.5" customHeight="1">
      <c r="B40"/>
      <c r="C40" s="1182" t="s">
        <v>1259</v>
      </c>
      <c r="D40" s="1184" t="s">
        <v>1216</v>
      </c>
      <c r="E40" s="1460" t="s">
        <v>618</v>
      </c>
      <c r="F40" s="1184" t="s">
        <v>209</v>
      </c>
      <c r="G40" s="1184">
        <v>2</v>
      </c>
      <c r="H40" s="1185"/>
      <c r="I40" s="1185"/>
      <c r="J40" s="1185"/>
      <c r="K40" s="1185"/>
      <c r="L40" s="868">
        <f t="shared" si="8"/>
        <v>0</v>
      </c>
      <c r="M40" s="1185"/>
      <c r="N40" s="1185">
        <f>120480000-10000000-110480000</f>
        <v>0</v>
      </c>
      <c r="O40" s="868">
        <f t="shared" si="9"/>
        <v>0</v>
      </c>
      <c r="P40" s="1461"/>
      <c r="Q40" s="1461">
        <f t="shared" si="7"/>
        <v>0</v>
      </c>
      <c r="R40"/>
      <c r="S40"/>
      <c r="T40"/>
      <c r="U40"/>
    </row>
    <row r="41" spans="2:22" s="507" customFormat="1" ht="37.5" customHeight="1">
      <c r="B41"/>
      <c r="C41" s="1182" t="s">
        <v>1260</v>
      </c>
      <c r="D41" s="1184" t="s">
        <v>235</v>
      </c>
      <c r="E41" s="1460"/>
      <c r="F41" s="1184" t="s">
        <v>209</v>
      </c>
      <c r="G41" s="1184">
        <v>1</v>
      </c>
      <c r="H41" s="1185"/>
      <c r="I41" s="1185"/>
      <c r="J41" s="1185"/>
      <c r="K41" s="1185"/>
      <c r="L41" s="868">
        <f t="shared" si="8"/>
        <v>0</v>
      </c>
      <c r="M41" s="1185"/>
      <c r="N41" s="1185"/>
      <c r="O41" s="868">
        <f t="shared" si="9"/>
        <v>0</v>
      </c>
      <c r="P41" s="1461">
        <f>47943811-191010.799999997</f>
        <v>47752800.200000003</v>
      </c>
      <c r="Q41" s="1461">
        <f t="shared" si="7"/>
        <v>47752800.200000003</v>
      </c>
      <c r="R41" s="501"/>
      <c r="S41"/>
      <c r="T41"/>
      <c r="U41"/>
    </row>
    <row r="42" spans="2:22" s="507" customFormat="1" ht="37.5" customHeight="1">
      <c r="B42"/>
      <c r="C42" s="1182" t="s">
        <v>1203</v>
      </c>
      <c r="D42" s="1184" t="s">
        <v>235</v>
      </c>
      <c r="E42" s="1460">
        <v>83990</v>
      </c>
      <c r="F42" s="1184" t="s">
        <v>209</v>
      </c>
      <c r="G42" s="1184">
        <v>1</v>
      </c>
      <c r="H42" s="1185"/>
      <c r="I42" s="1185"/>
      <c r="J42" s="1185"/>
      <c r="K42" s="1185"/>
      <c r="L42" s="868">
        <f t="shared" si="8"/>
        <v>0</v>
      </c>
      <c r="M42" s="1185"/>
      <c r="N42" s="1185"/>
      <c r="O42" s="868">
        <f t="shared" si="9"/>
        <v>0</v>
      </c>
      <c r="P42" s="1461">
        <f>595607496-2372937.76800001</f>
        <v>593234558.23199999</v>
      </c>
      <c r="Q42" s="1461">
        <f t="shared" si="7"/>
        <v>593234558.23199999</v>
      </c>
      <c r="R42" s="501"/>
      <c r="S42"/>
      <c r="T42"/>
      <c r="U42"/>
    </row>
    <row r="43" spans="2:22" s="507" customFormat="1" ht="35.25" customHeight="1">
      <c r="B43"/>
      <c r="C43" s="1182" t="s">
        <v>622</v>
      </c>
      <c r="D43" s="1184" t="s">
        <v>617</v>
      </c>
      <c r="E43" s="1460" t="s">
        <v>618</v>
      </c>
      <c r="F43" s="1184" t="s">
        <v>209</v>
      </c>
      <c r="G43" s="1184">
        <v>3</v>
      </c>
      <c r="H43" s="1185"/>
      <c r="I43" s="1185"/>
      <c r="J43" s="1185"/>
      <c r="K43" s="1185"/>
      <c r="L43" s="868">
        <f t="shared" si="8"/>
        <v>0</v>
      </c>
      <c r="M43" s="1185"/>
      <c r="N43" s="1185">
        <f>100400000-100400000</f>
        <v>0</v>
      </c>
      <c r="O43" s="868">
        <f t="shared" si="9"/>
        <v>0</v>
      </c>
      <c r="P43" s="1461"/>
      <c r="Q43" s="1461">
        <f t="shared" si="7"/>
        <v>0</v>
      </c>
      <c r="R43"/>
      <c r="S43"/>
      <c r="T43"/>
      <c r="U43"/>
    </row>
    <row r="44" spans="2:22" s="507" customFormat="1" ht="35.25" customHeight="1">
      <c r="B44"/>
      <c r="C44" s="1182" t="s">
        <v>1261</v>
      </c>
      <c r="D44" s="1184"/>
      <c r="E44" s="1460"/>
      <c r="F44" s="1184"/>
      <c r="G44" s="1184"/>
      <c r="H44" s="1185"/>
      <c r="I44" s="1185"/>
      <c r="J44" s="1185"/>
      <c r="K44" s="1185"/>
      <c r="L44" s="868">
        <f t="shared" si="8"/>
        <v>0</v>
      </c>
      <c r="M44" s="1185"/>
      <c r="N44" s="1185"/>
      <c r="O44" s="868">
        <f t="shared" si="9"/>
        <v>0</v>
      </c>
      <c r="P44" s="1461">
        <f>45985710-5685702</f>
        <v>40300008</v>
      </c>
      <c r="Q44" s="1461">
        <f t="shared" si="7"/>
        <v>40300008</v>
      </c>
      <c r="R44" s="501"/>
      <c r="S44"/>
      <c r="T44"/>
      <c r="U44"/>
    </row>
    <row r="45" spans="2:22" s="507" customFormat="1" ht="33" customHeight="1">
      <c r="B45"/>
      <c r="C45" s="1182" t="s">
        <v>1261</v>
      </c>
      <c r="D45" s="1184" t="s">
        <v>235</v>
      </c>
      <c r="E45" s="1460">
        <v>83990</v>
      </c>
      <c r="F45" s="1184" t="s">
        <v>209</v>
      </c>
      <c r="G45" s="1184">
        <v>4</v>
      </c>
      <c r="H45" s="1185"/>
      <c r="I45" s="1185"/>
      <c r="J45" s="1185"/>
      <c r="K45" s="1185"/>
      <c r="L45" s="868">
        <f t="shared" si="8"/>
        <v>0</v>
      </c>
      <c r="M45" s="1185">
        <f>886016-1783-22743.16</f>
        <v>861489.84</v>
      </c>
      <c r="N45" s="1185"/>
      <c r="O45" s="868">
        <f t="shared" si="9"/>
        <v>861489.84</v>
      </c>
      <c r="P45" s="1461"/>
      <c r="Q45" s="1461">
        <f t="shared" si="7"/>
        <v>861489.84</v>
      </c>
      <c r="R45"/>
      <c r="S45"/>
      <c r="T45"/>
      <c r="U45"/>
    </row>
    <row r="46" spans="2:22" s="507" customFormat="1" ht="33" customHeight="1">
      <c r="B46" s="1418"/>
      <c r="C46" s="1182" t="s">
        <v>1262</v>
      </c>
      <c r="D46" s="2230" t="s">
        <v>235</v>
      </c>
      <c r="E46" s="2230">
        <v>83990</v>
      </c>
      <c r="F46" s="2230" t="s">
        <v>209</v>
      </c>
      <c r="G46" s="2230">
        <v>1</v>
      </c>
      <c r="H46" s="1185"/>
      <c r="I46" s="1185"/>
      <c r="J46" s="1185"/>
      <c r="K46" s="1185"/>
      <c r="L46" s="868">
        <f t="shared" si="8"/>
        <v>0</v>
      </c>
      <c r="M46" s="1185"/>
      <c r="N46" s="1185"/>
      <c r="O46" s="868">
        <f t="shared" si="9"/>
        <v>0</v>
      </c>
      <c r="P46" s="1461">
        <f>32740800+366164</f>
        <v>33106964</v>
      </c>
      <c r="Q46" s="1461">
        <f t="shared" si="7"/>
        <v>33106964</v>
      </c>
      <c r="R46"/>
      <c r="S46"/>
      <c r="T46"/>
      <c r="U46"/>
    </row>
    <row r="47" spans="2:22" s="507" customFormat="1" ht="33" customHeight="1">
      <c r="B47" s="1418"/>
      <c r="C47" s="1182" t="s">
        <v>1262</v>
      </c>
      <c r="D47" s="2233" t="s">
        <v>235</v>
      </c>
      <c r="E47" s="2233">
        <v>83990</v>
      </c>
      <c r="F47" s="2233" t="s">
        <v>209</v>
      </c>
      <c r="G47" s="2233">
        <v>1</v>
      </c>
      <c r="H47" s="1185"/>
      <c r="I47" s="1185"/>
      <c r="J47" s="1185"/>
      <c r="K47" s="1185"/>
      <c r="L47" s="868">
        <f t="shared" si="8"/>
        <v>0</v>
      </c>
      <c r="M47" s="1185">
        <f>629554-497126</f>
        <v>132428</v>
      </c>
      <c r="N47" s="1185"/>
      <c r="O47" s="868">
        <f t="shared" ref="O47:O56" si="10">SUM(M47:N47)</f>
        <v>132428</v>
      </c>
      <c r="P47" s="1461"/>
      <c r="Q47" s="1461">
        <f t="shared" si="7"/>
        <v>132428</v>
      </c>
      <c r="R47"/>
      <c r="S47"/>
      <c r="T47"/>
      <c r="U47"/>
    </row>
    <row r="48" spans="2:22" s="507" customFormat="1" ht="33" customHeight="1">
      <c r="B48" s="1418"/>
      <c r="C48" s="1182" t="s">
        <v>1263</v>
      </c>
      <c r="D48" s="2233" t="s">
        <v>235</v>
      </c>
      <c r="E48" s="2233">
        <v>83990</v>
      </c>
      <c r="F48" s="2233" t="s">
        <v>209</v>
      </c>
      <c r="G48" s="2233">
        <v>1</v>
      </c>
      <c r="H48" s="1185"/>
      <c r="I48" s="1185"/>
      <c r="J48" s="1185"/>
      <c r="K48" s="1185"/>
      <c r="L48" s="868">
        <f t="shared" si="8"/>
        <v>0</v>
      </c>
      <c r="M48" s="1185"/>
      <c r="N48" s="1185"/>
      <c r="O48" s="868">
        <f t="shared" si="10"/>
        <v>0</v>
      </c>
      <c r="P48" s="1461">
        <f>42722208-6486328</f>
        <v>36235880</v>
      </c>
      <c r="Q48" s="1461">
        <f t="shared" si="7"/>
        <v>36235880</v>
      </c>
      <c r="R48"/>
      <c r="S48"/>
      <c r="T48"/>
      <c r="U48"/>
      <c r="V48" s="2018"/>
    </row>
    <row r="49" spans="1:21" s="507" customFormat="1" ht="33" customHeight="1">
      <c r="B49" s="1418"/>
      <c r="C49" s="1182" t="s">
        <v>1263</v>
      </c>
      <c r="D49" s="2233" t="s">
        <v>235</v>
      </c>
      <c r="E49" s="2233">
        <v>83990</v>
      </c>
      <c r="F49" s="2233" t="s">
        <v>209</v>
      </c>
      <c r="G49" s="2233">
        <v>1</v>
      </c>
      <c r="H49" s="1185"/>
      <c r="I49" s="1185"/>
      <c r="J49" s="1185"/>
      <c r="K49" s="1185"/>
      <c r="L49" s="868">
        <f t="shared" si="8"/>
        <v>0</v>
      </c>
      <c r="M49" s="1185">
        <f>821480.7-677114.868</f>
        <v>144365.83199999994</v>
      </c>
      <c r="N49" s="1185"/>
      <c r="O49" s="868">
        <f t="shared" si="10"/>
        <v>144365.83199999994</v>
      </c>
      <c r="Q49" s="1461">
        <f>+P49+O49+L49</f>
        <v>144365.83199999994</v>
      </c>
      <c r="R49"/>
      <c r="S49"/>
      <c r="T49"/>
      <c r="U49"/>
    </row>
    <row r="50" spans="1:21" s="507" customFormat="1" ht="33" customHeight="1">
      <c r="B50" s="1418"/>
      <c r="C50" s="1182" t="s">
        <v>1264</v>
      </c>
      <c r="D50" s="2233" t="s">
        <v>568</v>
      </c>
      <c r="E50" s="2233">
        <v>62165</v>
      </c>
      <c r="F50" s="2233" t="s">
        <v>209</v>
      </c>
      <c r="G50" s="2233">
        <v>1</v>
      </c>
      <c r="H50" s="1185"/>
      <c r="I50" s="1185"/>
      <c r="J50" s="1185"/>
      <c r="K50" s="1185"/>
      <c r="L50" s="868">
        <f t="shared" si="8"/>
        <v>0</v>
      </c>
      <c r="M50" s="1185"/>
      <c r="N50" s="1185"/>
      <c r="O50" s="868">
        <f t="shared" si="10"/>
        <v>0</v>
      </c>
      <c r="P50" s="2156">
        <v>58627000</v>
      </c>
      <c r="Q50" s="1461">
        <f>+P50+O50+L50</f>
        <v>58627000</v>
      </c>
      <c r="R50"/>
      <c r="S50"/>
      <c r="T50"/>
      <c r="U50"/>
    </row>
    <row r="51" spans="1:21" s="507" customFormat="1" ht="33" customHeight="1">
      <c r="B51" s="1418"/>
      <c r="C51" s="1182" t="s">
        <v>1264</v>
      </c>
      <c r="D51" s="2233" t="s">
        <v>568</v>
      </c>
      <c r="E51" s="2233">
        <v>62165</v>
      </c>
      <c r="F51" s="2233" t="s">
        <v>209</v>
      </c>
      <c r="G51" s="2233">
        <v>1</v>
      </c>
      <c r="H51" s="1185"/>
      <c r="I51" s="1185"/>
      <c r="J51" s="1185"/>
      <c r="K51" s="1185"/>
      <c r="L51" s="868">
        <f t="shared" si="8"/>
        <v>0</v>
      </c>
      <c r="M51" s="1185"/>
      <c r="N51" s="1185"/>
      <c r="O51" s="868">
        <f t="shared" si="10"/>
        <v>0</v>
      </c>
      <c r="P51" s="2156">
        <f>198369496.9+45382622.82-58626999.5</f>
        <v>185125120.22</v>
      </c>
      <c r="Q51" s="1461">
        <f t="shared" si="7"/>
        <v>185125120.22</v>
      </c>
      <c r="R51"/>
      <c r="S51"/>
      <c r="T51"/>
      <c r="U51"/>
    </row>
    <row r="52" spans="1:21" s="507" customFormat="1" ht="23.25" customHeight="1">
      <c r="B52" s="1418"/>
      <c r="C52" s="1182" t="s">
        <v>1214</v>
      </c>
      <c r="D52" s="1184" t="s">
        <v>568</v>
      </c>
      <c r="E52" s="1460">
        <v>62165</v>
      </c>
      <c r="F52" s="1184" t="s">
        <v>209</v>
      </c>
      <c r="G52" s="1184">
        <v>5</v>
      </c>
      <c r="H52" s="1185"/>
      <c r="I52" s="1185"/>
      <c r="J52" s="1185"/>
      <c r="K52" s="1185"/>
      <c r="L52" s="868">
        <f t="shared" si="8"/>
        <v>0</v>
      </c>
      <c r="M52" s="1185">
        <f>3814334-2843210.452+3885</f>
        <v>975008.54799999995</v>
      </c>
      <c r="N52" s="1185"/>
      <c r="O52" s="868">
        <f t="shared" si="10"/>
        <v>975008.54799999995</v>
      </c>
      <c r="P52" s="1461"/>
      <c r="Q52" s="1461">
        <f t="shared" si="7"/>
        <v>975008.54799999995</v>
      </c>
      <c r="R52"/>
      <c r="S52"/>
      <c r="T52"/>
      <c r="U52"/>
    </row>
    <row r="53" spans="1:21" s="507" customFormat="1" ht="23.25" customHeight="1">
      <c r="B53" s="1418"/>
      <c r="C53" s="1182" t="s">
        <v>1215</v>
      </c>
      <c r="D53" s="1184" t="s">
        <v>557</v>
      </c>
      <c r="E53" s="1460" t="s">
        <v>1409</v>
      </c>
      <c r="F53" s="1184" t="s">
        <v>209</v>
      </c>
      <c r="G53" s="1184">
        <v>1</v>
      </c>
      <c r="H53" s="1185"/>
      <c r="I53" s="1185"/>
      <c r="J53" s="1185"/>
      <c r="K53" s="1185"/>
      <c r="L53" s="868">
        <f t="shared" si="8"/>
        <v>0</v>
      </c>
      <c r="M53" s="1185"/>
      <c r="N53" s="1185"/>
      <c r="O53" s="868">
        <f t="shared" si="10"/>
        <v>0</v>
      </c>
      <c r="P53" s="1461">
        <f>79474185.3-35311185.18-1170500.12</f>
        <v>42992500</v>
      </c>
      <c r="Q53" s="1461">
        <f t="shared" si="7"/>
        <v>42992500</v>
      </c>
      <c r="R53"/>
      <c r="S53"/>
      <c r="T53"/>
      <c r="U53"/>
    </row>
    <row r="54" spans="1:21" s="507" customFormat="1" ht="23.25" customHeight="1">
      <c r="B54" s="1418"/>
      <c r="C54" s="1182" t="s">
        <v>1215</v>
      </c>
      <c r="D54" s="1184" t="s">
        <v>557</v>
      </c>
      <c r="E54" s="1460">
        <v>196199</v>
      </c>
      <c r="F54" s="1184" t="s">
        <v>209</v>
      </c>
      <c r="G54" s="1184">
        <v>6</v>
      </c>
      <c r="H54" s="1185"/>
      <c r="I54" s="1185"/>
      <c r="J54" s="1185"/>
      <c r="K54" s="1185"/>
      <c r="L54" s="868">
        <f t="shared" si="8"/>
        <v>0</v>
      </c>
      <c r="M54" s="1185">
        <f>1528163-1351510.7+2086</f>
        <v>178738.30000000005</v>
      </c>
      <c r="N54" s="1185"/>
      <c r="O54" s="868">
        <f t="shared" si="10"/>
        <v>178738.30000000005</v>
      </c>
      <c r="P54" s="1461"/>
      <c r="Q54" s="1461">
        <f t="shared" si="7"/>
        <v>178738.30000000005</v>
      </c>
      <c r="R54"/>
      <c r="S54"/>
      <c r="T54"/>
      <c r="U54"/>
    </row>
    <row r="55" spans="1:21" s="507" customFormat="1" ht="23.25" customHeight="1">
      <c r="B55" s="1418"/>
      <c r="C55" s="1182" t="s">
        <v>1215</v>
      </c>
      <c r="D55" s="1184" t="s">
        <v>557</v>
      </c>
      <c r="E55" s="1460" t="s">
        <v>736</v>
      </c>
      <c r="F55" s="1184"/>
      <c r="G55" s="1184"/>
      <c r="H55" s="1185"/>
      <c r="I55" s="1185"/>
      <c r="J55" s="1185"/>
      <c r="K55" s="1185"/>
      <c r="L55" s="868"/>
      <c r="M55" s="1185"/>
      <c r="N55" s="1185"/>
      <c r="O55" s="868"/>
      <c r="P55" s="1461">
        <v>1692000</v>
      </c>
      <c r="Q55" s="1461">
        <f t="shared" si="7"/>
        <v>1692000</v>
      </c>
      <c r="R55"/>
      <c r="S55"/>
      <c r="T55"/>
      <c r="U55"/>
    </row>
    <row r="56" spans="1:21" s="507" customFormat="1" ht="23.25" customHeight="1" thickBot="1">
      <c r="B56" s="1418"/>
      <c r="C56" s="1980" t="s">
        <v>1131</v>
      </c>
      <c r="D56" s="1184" t="s">
        <v>557</v>
      </c>
      <c r="E56" s="1460">
        <v>196199</v>
      </c>
      <c r="F56" s="1184" t="s">
        <v>209</v>
      </c>
      <c r="G56" s="1184">
        <v>1</v>
      </c>
      <c r="H56" s="1185"/>
      <c r="I56" s="1185"/>
      <c r="J56" s="1185"/>
      <c r="K56" s="1185">
        <v>11772</v>
      </c>
      <c r="L56" s="868">
        <f t="shared" si="8"/>
        <v>11772</v>
      </c>
      <c r="M56" s="1185">
        <f>5368962-845055-2086-3045059</f>
        <v>1476762</v>
      </c>
      <c r="N56" s="1185"/>
      <c r="O56" s="868">
        <f t="shared" si="10"/>
        <v>1476762</v>
      </c>
      <c r="P56" s="1461">
        <f>22109932-3951273-521501+11971309</f>
        <v>29608467</v>
      </c>
      <c r="Q56" s="1461">
        <f t="shared" si="7"/>
        <v>31097001</v>
      </c>
      <c r="R56" s="501"/>
      <c r="S56"/>
      <c r="T56"/>
      <c r="U56"/>
    </row>
    <row r="57" spans="1:21" ht="60" customHeight="1" thickBot="1">
      <c r="A57" s="1306">
        <v>119</v>
      </c>
      <c r="B57" s="1425"/>
      <c r="C57" s="660" t="s">
        <v>211</v>
      </c>
      <c r="D57" s="661"/>
      <c r="E57" s="661"/>
      <c r="F57" s="661" t="s">
        <v>210</v>
      </c>
      <c r="G57" s="438">
        <v>1</v>
      </c>
      <c r="H57" s="438"/>
      <c r="I57" s="662">
        <f>+I58</f>
        <v>113534958</v>
      </c>
      <c r="J57" s="662">
        <f>+J58</f>
        <v>0</v>
      </c>
      <c r="K57" s="662">
        <f>+K58</f>
        <v>0</v>
      </c>
      <c r="L57" s="663">
        <f>+L58</f>
        <v>113534958</v>
      </c>
      <c r="M57" s="662"/>
      <c r="N57" s="662"/>
      <c r="O57" s="663">
        <f>+O58</f>
        <v>0</v>
      </c>
      <c r="P57" s="663"/>
      <c r="Q57" s="663">
        <f t="shared" si="7"/>
        <v>113534958</v>
      </c>
      <c r="S57"/>
      <c r="T57"/>
      <c r="U57"/>
    </row>
    <row r="58" spans="1:21" s="345" customFormat="1" ht="47.25" customHeight="1">
      <c r="A58" s="1306"/>
      <c r="B58" s="1425" t="s">
        <v>1048</v>
      </c>
      <c r="C58" s="667" t="s">
        <v>212</v>
      </c>
      <c r="D58" s="629"/>
      <c r="E58" s="629"/>
      <c r="F58" s="629" t="s">
        <v>209</v>
      </c>
      <c r="G58" s="629">
        <v>1</v>
      </c>
      <c r="H58" s="629"/>
      <c r="I58" s="659">
        <f>SUM(I59:I61)</f>
        <v>113534958</v>
      </c>
      <c r="J58" s="659">
        <f>SUM(J59:J61)</f>
        <v>0</v>
      </c>
      <c r="K58" s="659">
        <f>SUM(K59:K61)</f>
        <v>0</v>
      </c>
      <c r="L58" s="659">
        <f>SUM(L59:L61)</f>
        <v>113534958</v>
      </c>
      <c r="M58" s="659"/>
      <c r="N58" s="659"/>
      <c r="O58" s="659">
        <f>SUM(O59:O61)</f>
        <v>0</v>
      </c>
      <c r="P58" s="659"/>
      <c r="Q58" s="659">
        <f t="shared" si="7"/>
        <v>113534958</v>
      </c>
      <c r="R58"/>
      <c r="S58"/>
      <c r="T58"/>
      <c r="U58"/>
    </row>
    <row r="59" spans="1:21" s="345" customFormat="1" ht="30.75" customHeight="1">
      <c r="B59" s="1417"/>
      <c r="C59" s="1187" t="s">
        <v>624</v>
      </c>
      <c r="D59" s="1188" t="s">
        <v>235</v>
      </c>
      <c r="E59" s="1188">
        <v>83990</v>
      </c>
      <c r="F59" s="1188" t="s">
        <v>207</v>
      </c>
      <c r="G59" s="1188">
        <v>10</v>
      </c>
      <c r="H59" s="426"/>
      <c r="I59" s="1559">
        <f>50425519-1062494</f>
        <v>49363025</v>
      </c>
      <c r="J59" s="426"/>
      <c r="K59" s="426"/>
      <c r="L59" s="673">
        <f>SUM(I59:K59)</f>
        <v>49363025</v>
      </c>
      <c r="M59" s="1559"/>
      <c r="N59" s="426"/>
      <c r="O59" s="673">
        <f>SUM(M59:N59)</f>
        <v>0</v>
      </c>
      <c r="P59" s="673"/>
      <c r="Q59" s="673">
        <f t="shared" si="7"/>
        <v>49363025</v>
      </c>
      <c r="R59"/>
      <c r="S59" s="1554"/>
    </row>
    <row r="60" spans="1:21" s="345" customFormat="1" ht="23.25" customHeight="1">
      <c r="B60" s="1417"/>
      <c r="C60" s="1187" t="s">
        <v>1205</v>
      </c>
      <c r="D60" s="1188" t="s">
        <v>235</v>
      </c>
      <c r="E60" s="1188">
        <v>83990</v>
      </c>
      <c r="F60" s="1188" t="s">
        <v>207</v>
      </c>
      <c r="G60" s="1188"/>
      <c r="H60" s="426"/>
      <c r="I60" s="1559">
        <v>14808908</v>
      </c>
      <c r="J60" s="426"/>
      <c r="K60" s="426"/>
      <c r="L60" s="673">
        <f t="shared" ref="L60:L61" si="11">SUM(I60:K60)</f>
        <v>14808908</v>
      </c>
      <c r="M60" s="1559"/>
      <c r="N60" s="426"/>
      <c r="O60" s="673">
        <f>SUM(M60:N60)</f>
        <v>0</v>
      </c>
      <c r="P60" s="673"/>
      <c r="Q60" s="673">
        <f t="shared" si="7"/>
        <v>14808908</v>
      </c>
      <c r="R60"/>
      <c r="S60" s="1554"/>
    </row>
    <row r="61" spans="1:21" s="507" customFormat="1" ht="39" customHeight="1" thickBot="1">
      <c r="B61" s="1418"/>
      <c r="C61" s="1187" t="s">
        <v>625</v>
      </c>
      <c r="D61" s="1188" t="s">
        <v>235</v>
      </c>
      <c r="E61" s="1188">
        <v>83990</v>
      </c>
      <c r="F61" s="1188" t="s">
        <v>207</v>
      </c>
      <c r="G61" s="1188">
        <v>10</v>
      </c>
      <c r="H61" s="426"/>
      <c r="I61" s="1559">
        <f>50425518-1062493</f>
        <v>49363025</v>
      </c>
      <c r="J61" s="426"/>
      <c r="K61" s="426"/>
      <c r="L61" s="673">
        <f t="shared" si="11"/>
        <v>49363025</v>
      </c>
      <c r="M61" s="1559"/>
      <c r="N61" s="426"/>
      <c r="O61" s="673">
        <f>SUM(M61:N61)</f>
        <v>0</v>
      </c>
      <c r="P61" s="673"/>
      <c r="Q61" s="673">
        <f t="shared" si="7"/>
        <v>49363025</v>
      </c>
      <c r="R61"/>
      <c r="S61" s="1554"/>
    </row>
    <row r="62" spans="1:21" s="345" customFormat="1" ht="45.75" customHeight="1" thickBot="1">
      <c r="A62" s="1306">
        <v>120</v>
      </c>
      <c r="B62" s="1425"/>
      <c r="C62" s="660" t="s">
        <v>213</v>
      </c>
      <c r="D62" s="661"/>
      <c r="E62" s="661"/>
      <c r="F62" s="438" t="s">
        <v>210</v>
      </c>
      <c r="G62" s="438">
        <v>1</v>
      </c>
      <c r="H62" s="438"/>
      <c r="I62" s="662">
        <f t="shared" ref="I62:O62" si="12">+I63</f>
        <v>596835617.95200002</v>
      </c>
      <c r="J62" s="662">
        <f t="shared" si="12"/>
        <v>0</v>
      </c>
      <c r="K62" s="662">
        <f t="shared" si="12"/>
        <v>109080192</v>
      </c>
      <c r="L62" s="663">
        <f t="shared" si="12"/>
        <v>705915809.95200002</v>
      </c>
      <c r="M62" s="662">
        <f t="shared" si="12"/>
        <v>0</v>
      </c>
      <c r="N62" s="662">
        <f t="shared" si="12"/>
        <v>84616519</v>
      </c>
      <c r="O62" s="663">
        <f t="shared" si="12"/>
        <v>84616519</v>
      </c>
      <c r="P62" s="663">
        <f>+P63</f>
        <v>33094998</v>
      </c>
      <c r="Q62" s="663">
        <f t="shared" si="7"/>
        <v>823627326.95200002</v>
      </c>
      <c r="R62"/>
      <c r="S62" s="1513"/>
    </row>
    <row r="63" spans="1:21" ht="51.75" customHeight="1">
      <c r="A63" s="1306"/>
      <c r="B63" s="1425" t="s">
        <v>1049</v>
      </c>
      <c r="C63" s="667" t="s">
        <v>441</v>
      </c>
      <c r="D63" s="629"/>
      <c r="E63" s="629"/>
      <c r="F63" s="629" t="s">
        <v>210</v>
      </c>
      <c r="G63" s="629">
        <v>1</v>
      </c>
      <c r="H63" s="629"/>
      <c r="I63" s="659">
        <f>SUM(I64:I70)</f>
        <v>596835617.95200002</v>
      </c>
      <c r="J63" s="659">
        <f>SUM(J64:J69)</f>
        <v>0</v>
      </c>
      <c r="K63" s="659">
        <f t="shared" ref="K63:P63" si="13">SUM(K64:K70)</f>
        <v>109080192</v>
      </c>
      <c r="L63" s="668">
        <f t="shared" si="13"/>
        <v>705915809.95200002</v>
      </c>
      <c r="M63" s="659">
        <f t="shared" si="13"/>
        <v>0</v>
      </c>
      <c r="N63" s="659">
        <f t="shared" si="13"/>
        <v>84616519</v>
      </c>
      <c r="O63" s="668">
        <f t="shared" si="13"/>
        <v>84616519</v>
      </c>
      <c r="P63" s="668">
        <f t="shared" si="13"/>
        <v>33094998</v>
      </c>
      <c r="Q63" s="668">
        <f t="shared" si="7"/>
        <v>823627326.95200002</v>
      </c>
    </row>
    <row r="64" spans="1:21" s="508" customFormat="1" ht="36" customHeight="1">
      <c r="B64" s="1427"/>
      <c r="C64" s="1182" t="s">
        <v>626</v>
      </c>
      <c r="D64" s="576" t="s">
        <v>235</v>
      </c>
      <c r="E64" s="576">
        <v>83931</v>
      </c>
      <c r="F64" s="576" t="s">
        <v>209</v>
      </c>
      <c r="G64" s="576">
        <v>1</v>
      </c>
      <c r="H64" s="2230"/>
      <c r="I64" s="1190">
        <v>19082282</v>
      </c>
      <c r="J64" s="576"/>
      <c r="K64" s="576"/>
      <c r="L64" s="674">
        <f>SUM(I64:K64)</f>
        <v>19082282</v>
      </c>
      <c r="M64" s="1190"/>
      <c r="N64" s="576">
        <f>82824691+1791828</f>
        <v>84616519</v>
      </c>
      <c r="O64" s="674">
        <f t="shared" ref="O64:O70" si="14">SUM(M64:N64)</f>
        <v>84616519</v>
      </c>
      <c r="P64" s="674"/>
      <c r="Q64" s="674">
        <f t="shared" si="7"/>
        <v>103698801</v>
      </c>
      <c r="R64"/>
    </row>
    <row r="65" spans="1:25" s="508" customFormat="1" ht="54.75" customHeight="1">
      <c r="B65" s="1427"/>
      <c r="C65" s="2246" t="s">
        <v>1442</v>
      </c>
      <c r="D65" s="576" t="s">
        <v>591</v>
      </c>
      <c r="E65" s="576">
        <v>83990</v>
      </c>
      <c r="F65" s="576" t="s">
        <v>207</v>
      </c>
      <c r="G65" s="576">
        <v>2</v>
      </c>
      <c r="H65" s="2230"/>
      <c r="I65" s="1190">
        <f>11969173.952+13962405</f>
        <v>25931578.952</v>
      </c>
      <c r="J65" s="576"/>
      <c r="K65" s="576"/>
      <c r="L65" s="674">
        <f>SUM(I65:K65)</f>
        <v>25931578.952</v>
      </c>
      <c r="M65" s="1190"/>
      <c r="N65" s="576"/>
      <c r="O65" s="674"/>
      <c r="P65" s="674"/>
      <c r="Q65" s="674">
        <f t="shared" si="7"/>
        <v>25931578.952</v>
      </c>
      <c r="R65"/>
    </row>
    <row r="66" spans="1:25" s="508" customFormat="1" ht="36" customHeight="1">
      <c r="B66" s="1427"/>
      <c r="C66" s="1182" t="s">
        <v>627</v>
      </c>
      <c r="D66" s="576" t="s">
        <v>235</v>
      </c>
      <c r="E66" s="576">
        <v>83931</v>
      </c>
      <c r="F66" s="576" t="s">
        <v>209</v>
      </c>
      <c r="G66" s="576">
        <v>1</v>
      </c>
      <c r="H66" s="2230"/>
      <c r="I66" s="1190">
        <v>247338593</v>
      </c>
      <c r="J66" s="576"/>
      <c r="K66" s="576"/>
      <c r="L66" s="674">
        <f>SUM(I66:K66)</f>
        <v>247338593</v>
      </c>
      <c r="M66" s="1190"/>
      <c r="N66" s="576"/>
      <c r="O66" s="674">
        <f t="shared" si="14"/>
        <v>0</v>
      </c>
      <c r="P66" s="674"/>
      <c r="Q66" s="674">
        <f t="shared" si="7"/>
        <v>247338593</v>
      </c>
      <c r="R66"/>
      <c r="S66"/>
      <c r="T66"/>
      <c r="U66"/>
      <c r="V66"/>
      <c r="W66"/>
      <c r="X66"/>
      <c r="Y66"/>
    </row>
    <row r="67" spans="1:25" s="508" customFormat="1" ht="36" customHeight="1">
      <c r="B67" s="1427"/>
      <c r="C67" s="1182" t="s">
        <v>628</v>
      </c>
      <c r="D67" s="2230" t="s">
        <v>235</v>
      </c>
      <c r="E67" s="2230">
        <v>83990</v>
      </c>
      <c r="F67" s="2230" t="s">
        <v>209</v>
      </c>
      <c r="G67" s="2230">
        <v>1</v>
      </c>
      <c r="H67" s="1465"/>
      <c r="I67" s="575"/>
      <c r="K67" s="575">
        <v>12758923</v>
      </c>
      <c r="L67" s="674">
        <f>SUM(I67:K67)</f>
        <v>12758923</v>
      </c>
      <c r="M67" s="575"/>
      <c r="O67" s="674">
        <f t="shared" si="14"/>
        <v>0</v>
      </c>
      <c r="P67" s="674"/>
      <c r="Q67" s="674">
        <f t="shared" si="7"/>
        <v>12758923</v>
      </c>
      <c r="R67"/>
      <c r="S67"/>
      <c r="T67"/>
      <c r="U67"/>
      <c r="V67"/>
      <c r="W67"/>
      <c r="X67"/>
      <c r="Y67"/>
    </row>
    <row r="68" spans="1:25" s="508" customFormat="1" ht="36" customHeight="1">
      <c r="B68" s="1427"/>
      <c r="C68" s="1182" t="s">
        <v>630</v>
      </c>
      <c r="D68" s="576" t="s">
        <v>235</v>
      </c>
      <c r="E68" s="576">
        <v>83990</v>
      </c>
      <c r="F68" s="576" t="s">
        <v>209</v>
      </c>
      <c r="G68" s="576">
        <v>1</v>
      </c>
      <c r="H68" s="2230"/>
      <c r="J68" s="576"/>
      <c r="K68" s="1190">
        <f>24733859-1183697</f>
        <v>23550162</v>
      </c>
      <c r="L68" s="674">
        <f>SUM(J68:K68)</f>
        <v>23550162</v>
      </c>
      <c r="N68" s="576"/>
      <c r="O68" s="674">
        <f t="shared" si="14"/>
        <v>0</v>
      </c>
      <c r="P68" s="674"/>
      <c r="Q68" s="674">
        <f t="shared" si="7"/>
        <v>23550162</v>
      </c>
      <c r="R68"/>
      <c r="S68"/>
      <c r="T68"/>
      <c r="U68"/>
      <c r="V68"/>
      <c r="W68"/>
      <c r="X68"/>
      <c r="Y68"/>
    </row>
    <row r="69" spans="1:25" s="507" customFormat="1" ht="36" customHeight="1">
      <c r="B69" s="1418"/>
      <c r="C69" s="1182" t="s">
        <v>629</v>
      </c>
      <c r="D69" s="576" t="s">
        <v>235</v>
      </c>
      <c r="E69" s="576">
        <v>83931</v>
      </c>
      <c r="F69" s="576" t="s">
        <v>209</v>
      </c>
      <c r="G69" s="576">
        <v>1</v>
      </c>
      <c r="H69" s="2230"/>
      <c r="I69" s="1190">
        <v>304483164</v>
      </c>
      <c r="J69" s="576"/>
      <c r="K69" s="576"/>
      <c r="L69" s="674">
        <f>SUM(I69:K69)</f>
        <v>304483164</v>
      </c>
      <c r="M69" s="1190"/>
      <c r="N69" s="576"/>
      <c r="O69" s="674">
        <f t="shared" si="14"/>
        <v>0</v>
      </c>
      <c r="P69" s="674"/>
      <c r="Q69" s="674">
        <f t="shared" si="7"/>
        <v>304483164</v>
      </c>
      <c r="R69"/>
      <c r="S69"/>
      <c r="T69"/>
      <c r="U69"/>
      <c r="V69"/>
      <c r="W69"/>
      <c r="X69"/>
      <c r="Y69"/>
    </row>
    <row r="70" spans="1:25" s="507" customFormat="1" ht="36" customHeight="1" thickBot="1">
      <c r="B70" s="1418"/>
      <c r="C70" s="1189" t="s">
        <v>630</v>
      </c>
      <c r="D70" s="576" t="s">
        <v>235</v>
      </c>
      <c r="E70" s="576">
        <v>83990</v>
      </c>
      <c r="F70" s="576" t="s">
        <v>209</v>
      </c>
      <c r="G70" s="576">
        <v>1</v>
      </c>
      <c r="H70" s="2230"/>
      <c r="J70" s="576"/>
      <c r="K70" s="576">
        <v>72771107</v>
      </c>
      <c r="L70" s="674">
        <f>SUM(J70:K70)</f>
        <v>72771107</v>
      </c>
      <c r="N70" s="576"/>
      <c r="O70" s="674">
        <f t="shared" si="14"/>
        <v>0</v>
      </c>
      <c r="P70" s="674">
        <v>33094998</v>
      </c>
      <c r="Q70" s="674">
        <f t="shared" si="7"/>
        <v>105866105</v>
      </c>
      <c r="R70"/>
      <c r="S70"/>
      <c r="T70"/>
      <c r="U70"/>
      <c r="V70"/>
      <c r="W70"/>
      <c r="X70"/>
      <c r="Y70"/>
    </row>
    <row r="71" spans="1:25" s="345" customFormat="1" ht="30" customHeight="1" thickBot="1">
      <c r="A71" s="1306">
        <v>121</v>
      </c>
      <c r="B71" s="1425"/>
      <c r="C71" s="660" t="s">
        <v>34</v>
      </c>
      <c r="D71" s="661"/>
      <c r="E71" s="661"/>
      <c r="F71" s="438" t="s">
        <v>214</v>
      </c>
      <c r="G71" s="438">
        <v>100</v>
      </c>
      <c r="H71" s="438"/>
      <c r="I71" s="662">
        <f>+I72</f>
        <v>20080000</v>
      </c>
      <c r="J71" s="662">
        <f>+J72</f>
        <v>0</v>
      </c>
      <c r="K71" s="662">
        <f>+K72</f>
        <v>0</v>
      </c>
      <c r="L71" s="663">
        <f>+L72</f>
        <v>20080000</v>
      </c>
      <c r="M71" s="662"/>
      <c r="N71" s="662"/>
      <c r="O71" s="663">
        <f>+O72</f>
        <v>0</v>
      </c>
      <c r="P71" s="663"/>
      <c r="Q71" s="663">
        <f t="shared" si="7"/>
        <v>20080000</v>
      </c>
      <c r="R71"/>
      <c r="S71"/>
      <c r="T71"/>
      <c r="U71"/>
      <c r="V71"/>
      <c r="W71"/>
      <c r="X71"/>
      <c r="Y71"/>
    </row>
    <row r="72" spans="1:25" s="345" customFormat="1" ht="32.25" customHeight="1">
      <c r="A72" s="1306"/>
      <c r="B72" s="1425" t="s">
        <v>1050</v>
      </c>
      <c r="C72" s="667" t="s">
        <v>215</v>
      </c>
      <c r="D72" s="629"/>
      <c r="E72" s="629"/>
      <c r="F72" s="629" t="s">
        <v>209</v>
      </c>
      <c r="G72" s="629">
        <v>0</v>
      </c>
      <c r="H72" s="629"/>
      <c r="I72" s="659">
        <f>SUM(I73:I74)</f>
        <v>20080000</v>
      </c>
      <c r="J72" s="659">
        <f>SUM(J73:J74)</f>
        <v>0</v>
      </c>
      <c r="K72" s="659">
        <f>SUM(K73:K74)</f>
        <v>0</v>
      </c>
      <c r="L72" s="668">
        <f>SUM(L73:L74)</f>
        <v>20080000</v>
      </c>
      <c r="M72" s="659"/>
      <c r="N72" s="659"/>
      <c r="O72" s="668">
        <f>SUM(O73:O74)</f>
        <v>0</v>
      </c>
      <c r="P72" s="668"/>
      <c r="Q72" s="668">
        <f t="shared" si="7"/>
        <v>20080000</v>
      </c>
      <c r="R72"/>
      <c r="S72"/>
      <c r="T72"/>
      <c r="U72"/>
      <c r="V72"/>
      <c r="W72"/>
      <c r="X72"/>
      <c r="Y72"/>
    </row>
    <row r="73" spans="1:25" s="508" customFormat="1" ht="39" customHeight="1">
      <c r="B73" s="1427"/>
      <c r="C73" s="1182" t="s">
        <v>1265</v>
      </c>
      <c r="D73" s="576" t="s">
        <v>235</v>
      </c>
      <c r="E73" s="576">
        <v>83931</v>
      </c>
      <c r="F73" s="576" t="s">
        <v>631</v>
      </c>
      <c r="G73" s="576">
        <v>1</v>
      </c>
      <c r="H73" s="576"/>
      <c r="I73" s="575">
        <f>(40000000*1.004)/4</f>
        <v>10040000</v>
      </c>
      <c r="J73" s="576"/>
      <c r="K73" s="576"/>
      <c r="L73" s="674">
        <f t="shared" ref="L73:L74" si="15">SUM(I73:K73)</f>
        <v>10040000</v>
      </c>
      <c r="M73" s="575"/>
      <c r="N73" s="576"/>
      <c r="O73" s="674">
        <f t="shared" ref="O73:O74" si="16">SUM(M73:N73)</f>
        <v>0</v>
      </c>
      <c r="P73" s="674"/>
      <c r="Q73" s="674">
        <f t="shared" si="7"/>
        <v>10040000</v>
      </c>
      <c r="R73"/>
    </row>
    <row r="74" spans="1:25" s="508" customFormat="1" ht="39" customHeight="1" thickBot="1">
      <c r="B74" s="1427"/>
      <c r="C74" s="1182" t="s">
        <v>1266</v>
      </c>
      <c r="D74" s="576" t="s">
        <v>235</v>
      </c>
      <c r="E74" s="576">
        <v>83931</v>
      </c>
      <c r="F74" s="576" t="s">
        <v>631</v>
      </c>
      <c r="G74" s="576">
        <v>1</v>
      </c>
      <c r="H74" s="576"/>
      <c r="I74" s="575">
        <f>(40000000*1.004)/4</f>
        <v>10040000</v>
      </c>
      <c r="J74" s="576"/>
      <c r="K74" s="576"/>
      <c r="L74" s="674">
        <f t="shared" si="15"/>
        <v>10040000</v>
      </c>
      <c r="M74" s="575"/>
      <c r="N74" s="576"/>
      <c r="O74" s="674">
        <f t="shared" si="16"/>
        <v>0</v>
      </c>
      <c r="P74" s="674"/>
      <c r="Q74" s="674">
        <f t="shared" si="7"/>
        <v>10040000</v>
      </c>
      <c r="R74"/>
    </row>
    <row r="75" spans="1:25" s="345" customFormat="1" ht="36.75" customHeight="1" thickBot="1">
      <c r="A75" s="1306">
        <v>122</v>
      </c>
      <c r="B75" s="1425"/>
      <c r="C75" s="666" t="s">
        <v>35</v>
      </c>
      <c r="D75" s="634"/>
      <c r="E75" s="634"/>
      <c r="F75" s="634" t="s">
        <v>214</v>
      </c>
      <c r="G75" s="451">
        <v>100</v>
      </c>
      <c r="H75" s="451"/>
      <c r="I75" s="664">
        <f>+I76</f>
        <v>48275369.516000003</v>
      </c>
      <c r="J75" s="664">
        <f>+J76</f>
        <v>0</v>
      </c>
      <c r="K75" s="664">
        <f>+K76</f>
        <v>0</v>
      </c>
      <c r="L75" s="665">
        <f>+L76</f>
        <v>48275369.516000003</v>
      </c>
      <c r="M75" s="664"/>
      <c r="N75" s="664"/>
      <c r="O75" s="665">
        <f>+O76</f>
        <v>0</v>
      </c>
      <c r="P75" s="665"/>
      <c r="Q75" s="665">
        <f t="shared" si="7"/>
        <v>48275369.516000003</v>
      </c>
      <c r="R75"/>
    </row>
    <row r="76" spans="1:25" s="345" customFormat="1" ht="54" customHeight="1">
      <c r="A76" s="1306"/>
      <c r="B76" s="1425" t="s">
        <v>1051</v>
      </c>
      <c r="C76" s="667" t="s">
        <v>216</v>
      </c>
      <c r="D76" s="629"/>
      <c r="E76" s="629"/>
      <c r="F76" s="629" t="s">
        <v>209</v>
      </c>
      <c r="G76" s="629">
        <v>1</v>
      </c>
      <c r="H76" s="629"/>
      <c r="I76" s="659">
        <f>SUM(I77:I78)</f>
        <v>48275369.516000003</v>
      </c>
      <c r="J76" s="659">
        <f>SUM(J77:J78)</f>
        <v>0</v>
      </c>
      <c r="K76" s="659">
        <f>SUM(K77:K78)</f>
        <v>0</v>
      </c>
      <c r="L76" s="659">
        <f>SUM(L77:L78)</f>
        <v>48275369.516000003</v>
      </c>
      <c r="M76" s="659"/>
      <c r="N76" s="659"/>
      <c r="O76" s="659">
        <f>SUM(O77:O78)</f>
        <v>0</v>
      </c>
      <c r="P76" s="659"/>
      <c r="Q76" s="659">
        <f t="shared" si="7"/>
        <v>48275369.516000003</v>
      </c>
      <c r="R76"/>
    </row>
    <row r="77" spans="1:25" s="345" customFormat="1" ht="47.25" customHeight="1">
      <c r="B77" s="1417"/>
      <c r="C77" s="1182" t="s">
        <v>632</v>
      </c>
      <c r="D77" s="576" t="s">
        <v>235</v>
      </c>
      <c r="E77" s="576">
        <v>83990</v>
      </c>
      <c r="F77" s="576" t="s">
        <v>207</v>
      </c>
      <c r="G77" s="576">
        <v>8</v>
      </c>
      <c r="H77" s="1557"/>
      <c r="I77" s="575">
        <v>33466461.515999999</v>
      </c>
      <c r="J77" s="575"/>
      <c r="K77" s="509"/>
      <c r="L77" s="672">
        <f>SUM(I77:K77)</f>
        <v>33466461.515999999</v>
      </c>
      <c r="M77" s="575"/>
      <c r="N77" s="575"/>
      <c r="O77" s="672">
        <f>SUM(M77:N77)</f>
        <v>0</v>
      </c>
      <c r="P77" s="672"/>
      <c r="Q77" s="672">
        <f t="shared" si="7"/>
        <v>33466461.515999999</v>
      </c>
      <c r="R77"/>
    </row>
    <row r="78" spans="1:25" s="345" customFormat="1" ht="23.25" customHeight="1" thickBot="1">
      <c r="B78" s="1417"/>
      <c r="C78" s="1182" t="s">
        <v>1206</v>
      </c>
      <c r="D78" s="576" t="s">
        <v>235</v>
      </c>
      <c r="E78" s="576">
        <v>83990</v>
      </c>
      <c r="F78" s="576" t="s">
        <v>207</v>
      </c>
      <c r="G78" s="576"/>
      <c r="H78" s="1557"/>
      <c r="I78" s="575">
        <v>14808908</v>
      </c>
      <c r="J78" s="575"/>
      <c r="K78" s="509"/>
      <c r="L78" s="672">
        <f t="shared" ref="L78" si="17">SUM(I78:K78)</f>
        <v>14808908</v>
      </c>
      <c r="M78" s="575"/>
      <c r="N78" s="575"/>
      <c r="O78" s="672">
        <f>SUM(M78:N78)</f>
        <v>0</v>
      </c>
      <c r="P78" s="672"/>
      <c r="Q78" s="672">
        <f t="shared" si="7"/>
        <v>14808908</v>
      </c>
      <c r="R78"/>
    </row>
    <row r="79" spans="1:25" s="345" customFormat="1" ht="42.75" customHeight="1" thickBot="1">
      <c r="A79" s="1306">
        <v>123</v>
      </c>
      <c r="B79" s="1425"/>
      <c r="C79" s="666" t="s">
        <v>217</v>
      </c>
      <c r="D79" s="634"/>
      <c r="E79" s="634"/>
      <c r="F79" s="451" t="s">
        <v>214</v>
      </c>
      <c r="G79" s="455">
        <v>100</v>
      </c>
      <c r="H79" s="455"/>
      <c r="I79" s="664">
        <f t="shared" ref="I79:O79" si="18">+I80+I85+I139</f>
        <v>1264623262.1640005</v>
      </c>
      <c r="J79" s="664">
        <f t="shared" si="18"/>
        <v>0</v>
      </c>
      <c r="K79" s="664">
        <f t="shared" si="18"/>
        <v>19820050</v>
      </c>
      <c r="L79" s="665">
        <f t="shared" si="18"/>
        <v>1284443312.1640005</v>
      </c>
      <c r="M79" s="664">
        <f t="shared" si="18"/>
        <v>19650829.399999999</v>
      </c>
      <c r="N79" s="664">
        <f t="shared" si="18"/>
        <v>107583217.8</v>
      </c>
      <c r="O79" s="665">
        <f t="shared" si="18"/>
        <v>127234047.2</v>
      </c>
      <c r="P79" s="665"/>
      <c r="Q79" s="665">
        <f t="shared" si="7"/>
        <v>1411677359.3640006</v>
      </c>
      <c r="R79"/>
    </row>
    <row r="80" spans="1:25" s="345" customFormat="1" ht="46.5" customHeight="1">
      <c r="A80" s="1306"/>
      <c r="B80" s="1425" t="s">
        <v>1021</v>
      </c>
      <c r="C80" s="667" t="s">
        <v>218</v>
      </c>
      <c r="D80" s="629"/>
      <c r="E80" s="629"/>
      <c r="F80" s="629" t="s">
        <v>209</v>
      </c>
      <c r="G80" s="629">
        <v>1</v>
      </c>
      <c r="H80" s="629"/>
      <c r="I80" s="659">
        <f t="shared" ref="I80:O80" si="19">SUM(I81:I84)</f>
        <v>150600000.36399999</v>
      </c>
      <c r="J80" s="659">
        <f t="shared" si="19"/>
        <v>0</v>
      </c>
      <c r="K80" s="659">
        <f t="shared" si="19"/>
        <v>0</v>
      </c>
      <c r="L80" s="668">
        <f t="shared" si="19"/>
        <v>150600000.36399999</v>
      </c>
      <c r="M80" s="659">
        <f t="shared" si="19"/>
        <v>0</v>
      </c>
      <c r="N80" s="659">
        <f t="shared" si="19"/>
        <v>3512675</v>
      </c>
      <c r="O80" s="668">
        <f t="shared" si="19"/>
        <v>3512675</v>
      </c>
      <c r="P80" s="668"/>
      <c r="Q80" s="668">
        <f t="shared" si="7"/>
        <v>154112675.36399999</v>
      </c>
      <c r="R80"/>
    </row>
    <row r="81" spans="1:19" s="812" customFormat="1" ht="23.25" customHeight="1">
      <c r="B81" s="1423"/>
      <c r="C81" s="1182" t="s">
        <v>633</v>
      </c>
      <c r="D81" s="573" t="s">
        <v>235</v>
      </c>
      <c r="E81" s="357">
        <v>83990</v>
      </c>
      <c r="F81" s="357" t="s">
        <v>207</v>
      </c>
      <c r="G81" s="357">
        <v>11</v>
      </c>
      <c r="H81" s="2231"/>
      <c r="I81" s="576">
        <f>55468071-5268070.672</f>
        <v>50200000.328000002</v>
      </c>
      <c r="J81" s="2231"/>
      <c r="K81" s="2231"/>
      <c r="L81" s="675">
        <f>SUM(I81:K81)</f>
        <v>50200000.328000002</v>
      </c>
      <c r="M81" s="576"/>
      <c r="N81" s="2231"/>
      <c r="O81" s="675">
        <f>SUM(M81:N81)</f>
        <v>0</v>
      </c>
      <c r="P81" s="675"/>
      <c r="Q81" s="675">
        <f t="shared" si="7"/>
        <v>50200000.328000002</v>
      </c>
      <c r="R81"/>
      <c r="S81" s="1555"/>
    </row>
    <row r="82" spans="1:19" s="812" customFormat="1" ht="23.25" customHeight="1">
      <c r="B82" s="1423"/>
      <c r="C82" s="1182" t="s">
        <v>634</v>
      </c>
      <c r="D82" s="573" t="s">
        <v>235</v>
      </c>
      <c r="E82" s="357">
        <v>83990</v>
      </c>
      <c r="F82" s="357" t="s">
        <v>207</v>
      </c>
      <c r="G82" s="357">
        <v>11</v>
      </c>
      <c r="H82" s="2231"/>
      <c r="I82" s="576">
        <f>55468070.4-5268070</f>
        <v>50200000.399999999</v>
      </c>
      <c r="J82" s="2231"/>
      <c r="K82" s="2231"/>
      <c r="L82" s="675">
        <f>SUM(I82:K82)</f>
        <v>50200000.399999999</v>
      </c>
      <c r="M82" s="576"/>
      <c r="N82" s="2231"/>
      <c r="O82" s="675">
        <f>SUM(M82:N82)</f>
        <v>0</v>
      </c>
      <c r="P82" s="675"/>
      <c r="Q82" s="675">
        <f t="shared" si="7"/>
        <v>50200000.399999999</v>
      </c>
      <c r="R82"/>
    </row>
    <row r="83" spans="1:19" s="812" customFormat="1" ht="23.25" customHeight="1">
      <c r="B83" s="1423"/>
      <c r="C83" s="1182" t="s">
        <v>635</v>
      </c>
      <c r="D83" s="576" t="s">
        <v>235</v>
      </c>
      <c r="E83" s="576">
        <v>83990</v>
      </c>
      <c r="F83" s="576" t="s">
        <v>207</v>
      </c>
      <c r="G83" s="576">
        <v>11</v>
      </c>
      <c r="H83" s="2230"/>
      <c r="I83" s="576">
        <f>55468070-5268070</f>
        <v>50200000</v>
      </c>
      <c r="J83" s="575"/>
      <c r="K83" s="575"/>
      <c r="L83" s="675">
        <f>SUM(I83:K83)</f>
        <v>50200000</v>
      </c>
      <c r="M83" s="576"/>
      <c r="N83" s="575"/>
      <c r="O83" s="675">
        <f>SUM(M83:N83)</f>
        <v>0</v>
      </c>
      <c r="P83" s="675"/>
      <c r="Q83" s="675">
        <f t="shared" si="7"/>
        <v>50200000</v>
      </c>
      <c r="R83"/>
    </row>
    <row r="84" spans="1:19" s="812" customFormat="1" ht="23.25" customHeight="1">
      <c r="B84" s="1423"/>
      <c r="C84" s="1182" t="s">
        <v>1430</v>
      </c>
      <c r="D84" s="576" t="s">
        <v>235</v>
      </c>
      <c r="E84" s="576">
        <v>83931</v>
      </c>
      <c r="F84" s="576"/>
      <c r="G84" s="576"/>
      <c r="H84" s="2230"/>
      <c r="I84" s="576">
        <f>70935817.636-70935818</f>
        <v>-0.36399999260902405</v>
      </c>
      <c r="J84" s="575"/>
      <c r="K84" s="575"/>
      <c r="L84" s="675">
        <f>SUM(I84:K84)</f>
        <v>-0.36399999260902405</v>
      </c>
      <c r="M84" s="576"/>
      <c r="N84" s="575">
        <f>6929370-3416695</f>
        <v>3512675</v>
      </c>
      <c r="O84" s="675">
        <f>SUM(M84:N84)</f>
        <v>3512675</v>
      </c>
      <c r="P84" s="675"/>
      <c r="Q84" s="675">
        <f t="shared" si="7"/>
        <v>3512674.6360000074</v>
      </c>
      <c r="R84"/>
      <c r="S84" s="812">
        <v>70935818</v>
      </c>
    </row>
    <row r="85" spans="1:19" s="345" customFormat="1" ht="42.75" customHeight="1">
      <c r="A85" s="1306"/>
      <c r="B85" s="1425" t="s">
        <v>1052</v>
      </c>
      <c r="C85" s="670" t="s">
        <v>219</v>
      </c>
      <c r="D85" s="174"/>
      <c r="E85" s="174"/>
      <c r="F85" s="174" t="s">
        <v>209</v>
      </c>
      <c r="G85" s="174">
        <v>1</v>
      </c>
      <c r="H85" s="174"/>
      <c r="I85" s="391">
        <f t="shared" ref="I85:O85" si="20">SUM(I86:I138)</f>
        <v>953517918.0000006</v>
      </c>
      <c r="J85" s="391">
        <f t="shared" si="20"/>
        <v>0</v>
      </c>
      <c r="K85" s="391">
        <f t="shared" si="20"/>
        <v>0</v>
      </c>
      <c r="L85" s="391">
        <f t="shared" si="20"/>
        <v>953517918.0000006</v>
      </c>
      <c r="M85" s="391">
        <f t="shared" si="20"/>
        <v>0</v>
      </c>
      <c r="N85" s="391">
        <f t="shared" si="20"/>
        <v>29722946.800000001</v>
      </c>
      <c r="O85" s="391">
        <f t="shared" si="20"/>
        <v>29722946.800000001</v>
      </c>
      <c r="P85" s="671"/>
      <c r="Q85" s="671">
        <f t="shared" si="7"/>
        <v>983240864.80000055</v>
      </c>
      <c r="R85"/>
      <c r="S85" s="345">
        <v>74352513</v>
      </c>
    </row>
    <row r="86" spans="1:19" s="812" customFormat="1" ht="30" customHeight="1">
      <c r="B86" s="1423"/>
      <c r="C86" s="2230" t="s">
        <v>636</v>
      </c>
      <c r="D86" s="2230" t="s">
        <v>235</v>
      </c>
      <c r="E86" s="2230">
        <v>83990</v>
      </c>
      <c r="F86" s="2230" t="s">
        <v>207</v>
      </c>
      <c r="G86" s="2230">
        <v>11</v>
      </c>
      <c r="H86" s="2231"/>
      <c r="I86" s="576">
        <f>55468070-5268070</f>
        <v>50200000</v>
      </c>
      <c r="J86" s="2231"/>
      <c r="K86" s="2231"/>
      <c r="L86" s="299">
        <f>SUM(I86:K86)</f>
        <v>50200000</v>
      </c>
      <c r="M86" s="576"/>
      <c r="N86" s="2231"/>
      <c r="O86" s="299">
        <f t="shared" ref="O86:O138" si="21">SUM(M86:N86)</f>
        <v>0</v>
      </c>
      <c r="P86" s="299"/>
      <c r="Q86" s="299">
        <f t="shared" si="7"/>
        <v>50200000</v>
      </c>
      <c r="R86"/>
    </row>
    <row r="87" spans="1:19" s="812" customFormat="1" ht="30" customHeight="1">
      <c r="B87" s="1423"/>
      <c r="C87" s="2230" t="s">
        <v>637</v>
      </c>
      <c r="D87" s="2230" t="s">
        <v>235</v>
      </c>
      <c r="E87" s="2230">
        <v>83990</v>
      </c>
      <c r="F87" s="2230" t="s">
        <v>207</v>
      </c>
      <c r="G87" s="2230">
        <v>11</v>
      </c>
      <c r="H87" s="2231"/>
      <c r="I87" s="576">
        <f>55468072.4-5268072</f>
        <v>50200000.399999999</v>
      </c>
      <c r="J87" s="2231"/>
      <c r="K87" s="2231"/>
      <c r="L87" s="299">
        <f t="shared" ref="L87:L138" si="22">SUM(I87:K87)</f>
        <v>50200000.399999999</v>
      </c>
      <c r="M87" s="576"/>
      <c r="N87" s="2231"/>
      <c r="O87" s="299">
        <f t="shared" si="21"/>
        <v>0</v>
      </c>
      <c r="P87" s="299"/>
      <c r="Q87" s="299">
        <f t="shared" si="7"/>
        <v>50200000.399999999</v>
      </c>
      <c r="R87"/>
      <c r="S87" s="812">
        <f>+S85-S84</f>
        <v>3416695</v>
      </c>
    </row>
    <row r="88" spans="1:19" s="812" customFormat="1" ht="30" customHeight="1">
      <c r="B88" s="1423"/>
      <c r="C88" s="2230" t="s">
        <v>638</v>
      </c>
      <c r="D88" s="2230" t="s">
        <v>235</v>
      </c>
      <c r="E88" s="2230">
        <v>83990</v>
      </c>
      <c r="F88" s="2230" t="s">
        <v>207</v>
      </c>
      <c r="G88" s="2230">
        <v>11</v>
      </c>
      <c r="H88" s="2231"/>
      <c r="I88" s="576">
        <f>55468070-5268070</f>
        <v>50200000</v>
      </c>
      <c r="J88" s="2231"/>
      <c r="K88" s="2231"/>
      <c r="L88" s="299">
        <f t="shared" si="22"/>
        <v>50200000</v>
      </c>
      <c r="M88" s="576"/>
      <c r="N88" s="2231"/>
      <c r="O88" s="299">
        <f t="shared" si="21"/>
        <v>0</v>
      </c>
      <c r="P88" s="299"/>
      <c r="Q88" s="299">
        <f t="shared" ref="Q88:Q138" si="23">+P88+O88+L88</f>
        <v>50200000</v>
      </c>
      <c r="R88"/>
    </row>
    <row r="89" spans="1:19" s="812" customFormat="1" ht="30" customHeight="1">
      <c r="B89" s="1423"/>
      <c r="C89" s="2230" t="s">
        <v>639</v>
      </c>
      <c r="D89" s="2230" t="s">
        <v>235</v>
      </c>
      <c r="E89" s="2230">
        <v>83990</v>
      </c>
      <c r="F89" s="2230" t="s">
        <v>207</v>
      </c>
      <c r="G89" s="2230">
        <v>11</v>
      </c>
      <c r="H89" s="2231"/>
      <c r="I89" s="576">
        <f>55468070.4-5268070</f>
        <v>50200000.399999999</v>
      </c>
      <c r="J89" s="2231"/>
      <c r="K89" s="2231"/>
      <c r="L89" s="299">
        <f t="shared" si="22"/>
        <v>50200000.399999999</v>
      </c>
      <c r="M89" s="576"/>
      <c r="N89" s="2231"/>
      <c r="O89" s="299">
        <f t="shared" si="21"/>
        <v>0</v>
      </c>
      <c r="P89" s="299"/>
      <c r="Q89" s="299">
        <f t="shared" si="23"/>
        <v>50200000.399999999</v>
      </c>
      <c r="R89"/>
    </row>
    <row r="90" spans="1:19" s="812" customFormat="1" ht="30" customHeight="1">
      <c r="B90" s="1423"/>
      <c r="C90" s="2230" t="s">
        <v>640</v>
      </c>
      <c r="D90" s="2230" t="s">
        <v>235</v>
      </c>
      <c r="E90" s="2230">
        <v>83990</v>
      </c>
      <c r="F90" s="2230" t="s">
        <v>207</v>
      </c>
      <c r="G90" s="2230">
        <v>11</v>
      </c>
      <c r="H90" s="2231"/>
      <c r="I90" s="576">
        <f>55468070-5268070</f>
        <v>50200000</v>
      </c>
      <c r="J90" s="2231"/>
      <c r="K90" s="2231"/>
      <c r="L90" s="299">
        <f t="shared" si="22"/>
        <v>50200000</v>
      </c>
      <c r="M90" s="576"/>
      <c r="N90" s="2231"/>
      <c r="O90" s="299">
        <f t="shared" si="21"/>
        <v>0</v>
      </c>
      <c r="P90" s="299"/>
      <c r="Q90" s="299">
        <f t="shared" si="23"/>
        <v>50200000</v>
      </c>
      <c r="R90"/>
    </row>
    <row r="91" spans="1:19" s="812" customFormat="1" ht="30" customHeight="1">
      <c r="B91" s="1423"/>
      <c r="C91" s="2230" t="s">
        <v>641</v>
      </c>
      <c r="D91" s="2230" t="s">
        <v>235</v>
      </c>
      <c r="E91" s="2230">
        <v>83990</v>
      </c>
      <c r="F91" s="2230" t="s">
        <v>207</v>
      </c>
      <c r="G91" s="2230">
        <v>11</v>
      </c>
      <c r="H91" s="2231"/>
      <c r="I91" s="576">
        <f>55468070-5268070</f>
        <v>50200000</v>
      </c>
      <c r="J91" s="2231"/>
      <c r="K91" s="2231"/>
      <c r="L91" s="299">
        <f t="shared" si="22"/>
        <v>50200000</v>
      </c>
      <c r="M91" s="576"/>
      <c r="N91" s="2231"/>
      <c r="O91" s="299">
        <f t="shared" si="21"/>
        <v>0</v>
      </c>
      <c r="P91" s="299"/>
      <c r="Q91" s="299">
        <f t="shared" si="23"/>
        <v>50200000</v>
      </c>
      <c r="R91"/>
    </row>
    <row r="92" spans="1:19" s="812" customFormat="1" ht="30" customHeight="1">
      <c r="B92" s="1423"/>
      <c r="C92" s="2230" t="s">
        <v>642</v>
      </c>
      <c r="D92" s="2230" t="s">
        <v>235</v>
      </c>
      <c r="E92" s="2230">
        <v>83931</v>
      </c>
      <c r="F92" s="2230" t="s">
        <v>209</v>
      </c>
      <c r="G92" s="2230">
        <v>1</v>
      </c>
      <c r="H92" s="2231"/>
      <c r="I92" s="1190">
        <f>1018820358.2-31392297+707484+16686245-827504047-20160000-34538133-60820282.684+4424634.25999998-66223961.776</f>
        <v>0</v>
      </c>
      <c r="J92" s="577"/>
      <c r="K92" s="1462">
        <f>31392297-18018869-13373428</f>
        <v>0</v>
      </c>
      <c r="L92" s="299">
        <f t="shared" si="22"/>
        <v>0</v>
      </c>
      <c r="M92" s="1190"/>
      <c r="N92" s="2231">
        <f>4190936-4190936</f>
        <v>0</v>
      </c>
      <c r="O92" s="299">
        <f t="shared" si="21"/>
        <v>0</v>
      </c>
      <c r="P92" s="299"/>
      <c r="Q92" s="299">
        <f t="shared" si="23"/>
        <v>0</v>
      </c>
      <c r="R92" s="501"/>
      <c r="S92" s="1464"/>
    </row>
    <row r="93" spans="1:19" s="812" customFormat="1" ht="30" customHeight="1">
      <c r="B93" s="1423"/>
      <c r="C93" s="2230" t="s">
        <v>1278</v>
      </c>
      <c r="D93" s="2230" t="s">
        <v>235</v>
      </c>
      <c r="E93" s="2230">
        <v>83990</v>
      </c>
      <c r="F93" s="2230" t="s">
        <v>207</v>
      </c>
      <c r="G93" s="2230">
        <v>8</v>
      </c>
      <c r="H93" s="2231"/>
      <c r="I93" s="1190">
        <f>28866052.192-5412385</f>
        <v>23453667.192000002</v>
      </c>
      <c r="J93" s="577"/>
      <c r="K93" s="1462"/>
      <c r="L93" s="299">
        <f t="shared" si="22"/>
        <v>23453667.192000002</v>
      </c>
      <c r="M93" s="1190"/>
      <c r="N93" s="2231"/>
      <c r="O93" s="299">
        <f t="shared" si="21"/>
        <v>0</v>
      </c>
      <c r="P93" s="299"/>
      <c r="Q93" s="299">
        <f t="shared" si="23"/>
        <v>23453667.192000002</v>
      </c>
      <c r="R93" s="501"/>
      <c r="S93" s="1464"/>
    </row>
    <row r="94" spans="1:19" s="812" customFormat="1" ht="30" customHeight="1">
      <c r="B94" s="1423"/>
      <c r="C94" s="2230" t="s">
        <v>1279</v>
      </c>
      <c r="D94" s="2230" t="s">
        <v>235</v>
      </c>
      <c r="E94" s="2230">
        <v>83990</v>
      </c>
      <c r="F94" s="2230" t="s">
        <v>207</v>
      </c>
      <c r="G94" s="2230">
        <v>8</v>
      </c>
      <c r="H94" s="2231"/>
      <c r="I94" s="1190">
        <f>15126625.44-2836424-945232</f>
        <v>11344969.439999999</v>
      </c>
      <c r="J94" s="2132"/>
      <c r="K94" s="1462"/>
      <c r="L94" s="299">
        <f t="shared" si="22"/>
        <v>11344969.439999999</v>
      </c>
      <c r="M94" s="1190"/>
      <c r="N94" s="2231"/>
      <c r="O94" s="299">
        <f t="shared" si="21"/>
        <v>0</v>
      </c>
      <c r="P94" s="299"/>
      <c r="Q94" s="299">
        <f t="shared" si="23"/>
        <v>11344969.439999999</v>
      </c>
      <c r="R94" s="501"/>
      <c r="S94" s="1464"/>
    </row>
    <row r="95" spans="1:19" s="812" customFormat="1" ht="30" customHeight="1">
      <c r="B95" s="1423"/>
      <c r="C95" s="2230" t="s">
        <v>1280</v>
      </c>
      <c r="D95" s="2230" t="s">
        <v>235</v>
      </c>
      <c r="E95" s="2230">
        <v>83990</v>
      </c>
      <c r="F95" s="2230" t="s">
        <v>207</v>
      </c>
      <c r="G95" s="2230">
        <v>8</v>
      </c>
      <c r="H95" s="2231"/>
      <c r="I95" s="1190">
        <f>15126625.44-2836424-237</f>
        <v>12289964.439999999</v>
      </c>
      <c r="J95" s="577"/>
      <c r="K95" s="1462"/>
      <c r="L95" s="299">
        <f t="shared" si="22"/>
        <v>12289964.439999999</v>
      </c>
      <c r="M95" s="1190"/>
      <c r="N95" s="2231"/>
      <c r="O95" s="299">
        <f t="shared" si="21"/>
        <v>0</v>
      </c>
      <c r="P95" s="299"/>
      <c r="Q95" s="299">
        <f t="shared" si="23"/>
        <v>12289964.439999999</v>
      </c>
      <c r="R95" s="501"/>
      <c r="S95" s="1464"/>
    </row>
    <row r="96" spans="1:19" s="812" customFormat="1" ht="30" customHeight="1">
      <c r="B96" s="1423"/>
      <c r="C96" s="2230" t="s">
        <v>1281</v>
      </c>
      <c r="D96" s="2230" t="s">
        <v>235</v>
      </c>
      <c r="E96" s="2230">
        <v>83990</v>
      </c>
      <c r="F96" s="2230" t="s">
        <v>207</v>
      </c>
      <c r="G96" s="2230">
        <v>8</v>
      </c>
      <c r="H96" s="2231"/>
      <c r="I96" s="1190">
        <f>15126625.44-2836424-947009</f>
        <v>11343192.439999999</v>
      </c>
      <c r="J96" s="577"/>
      <c r="K96" s="1462"/>
      <c r="L96" s="299">
        <f t="shared" si="22"/>
        <v>11343192.439999999</v>
      </c>
      <c r="M96" s="1190"/>
      <c r="N96" s="2231"/>
      <c r="O96" s="299">
        <f t="shared" si="21"/>
        <v>0</v>
      </c>
      <c r="P96" s="299"/>
      <c r="Q96" s="299">
        <f t="shared" si="23"/>
        <v>11343192.439999999</v>
      </c>
      <c r="R96" s="501"/>
      <c r="S96" s="1464"/>
    </row>
    <row r="97" spans="2:19" s="812" customFormat="1" ht="30" customHeight="1">
      <c r="B97" s="1423"/>
      <c r="C97" s="2230" t="s">
        <v>1282</v>
      </c>
      <c r="D97" s="2230" t="s">
        <v>235</v>
      </c>
      <c r="E97" s="2230">
        <v>83990</v>
      </c>
      <c r="F97" s="2230" t="s">
        <v>207</v>
      </c>
      <c r="G97" s="2230">
        <v>8</v>
      </c>
      <c r="H97" s="2231"/>
      <c r="I97" s="1190">
        <f>28866052.192-5412385</f>
        <v>23453667.192000002</v>
      </c>
      <c r="J97" s="577"/>
      <c r="K97" s="1462"/>
      <c r="L97" s="299">
        <f t="shared" si="22"/>
        <v>23453667.192000002</v>
      </c>
      <c r="M97" s="1190"/>
      <c r="N97" s="2231"/>
      <c r="O97" s="299">
        <f t="shared" si="21"/>
        <v>0</v>
      </c>
      <c r="P97" s="299"/>
      <c r="Q97" s="299">
        <f t="shared" si="23"/>
        <v>23453667.192000002</v>
      </c>
      <c r="R97" s="501"/>
      <c r="S97" s="1464"/>
    </row>
    <row r="98" spans="2:19" s="812" customFormat="1" ht="30" customHeight="1">
      <c r="B98" s="1423"/>
      <c r="C98" s="2230" t="s">
        <v>1283</v>
      </c>
      <c r="D98" s="2230" t="s">
        <v>235</v>
      </c>
      <c r="E98" s="2230">
        <v>83990</v>
      </c>
      <c r="F98" s="2230" t="s">
        <v>207</v>
      </c>
      <c r="G98" s="2230">
        <v>8</v>
      </c>
      <c r="H98" s="2231"/>
      <c r="I98" s="1190">
        <f>28866052.192-5412385</f>
        <v>23453667.192000002</v>
      </c>
      <c r="J98" s="577"/>
      <c r="K98" s="1462"/>
      <c r="L98" s="299">
        <f t="shared" si="22"/>
        <v>23453667.192000002</v>
      </c>
      <c r="M98" s="1190"/>
      <c r="N98" s="2231"/>
      <c r="O98" s="299">
        <f t="shared" si="21"/>
        <v>0</v>
      </c>
      <c r="P98" s="299"/>
      <c r="Q98" s="299">
        <f t="shared" si="23"/>
        <v>23453667.192000002</v>
      </c>
      <c r="R98" s="501"/>
      <c r="S98" s="1464"/>
    </row>
    <row r="99" spans="2:19" s="812" customFormat="1" ht="30" customHeight="1">
      <c r="B99" s="1423"/>
      <c r="C99" s="2230" t="s">
        <v>1284</v>
      </c>
      <c r="D99" s="2230" t="s">
        <v>235</v>
      </c>
      <c r="E99" s="2230">
        <v>83990</v>
      </c>
      <c r="F99" s="2230" t="s">
        <v>207</v>
      </c>
      <c r="G99" s="2230">
        <v>8</v>
      </c>
      <c r="H99" s="2231"/>
      <c r="I99" s="1190">
        <f>28866052.192-5412385</f>
        <v>23453667.192000002</v>
      </c>
      <c r="J99" s="577"/>
      <c r="K99" s="1462"/>
      <c r="L99" s="299">
        <f t="shared" si="22"/>
        <v>23453667.192000002</v>
      </c>
      <c r="M99" s="1190"/>
      <c r="N99" s="2231"/>
      <c r="O99" s="299">
        <f t="shared" si="21"/>
        <v>0</v>
      </c>
      <c r="P99" s="299"/>
      <c r="Q99" s="299">
        <f t="shared" si="23"/>
        <v>23453667.192000002</v>
      </c>
      <c r="R99" s="501"/>
      <c r="S99" s="1464"/>
    </row>
    <row r="100" spans="2:19" s="812" customFormat="1" ht="30" customHeight="1">
      <c r="B100" s="1423"/>
      <c r="C100" s="2230" t="s">
        <v>1285</v>
      </c>
      <c r="D100" s="2230" t="s">
        <v>235</v>
      </c>
      <c r="E100" s="2230">
        <v>83990</v>
      </c>
      <c r="F100" s="2230" t="s">
        <v>207</v>
      </c>
      <c r="G100" s="2230">
        <v>8</v>
      </c>
      <c r="H100" s="2231"/>
      <c r="I100" s="1190">
        <f>15126625.44-2836424-1045401</f>
        <v>11244800.439999999</v>
      </c>
      <c r="J100" s="577"/>
      <c r="K100" s="1462"/>
      <c r="L100" s="299">
        <f t="shared" si="22"/>
        <v>11244800.439999999</v>
      </c>
      <c r="M100" s="1190"/>
      <c r="N100" s="2231"/>
      <c r="O100" s="299">
        <f t="shared" si="21"/>
        <v>0</v>
      </c>
      <c r="P100" s="299"/>
      <c r="Q100" s="299">
        <f t="shared" si="23"/>
        <v>11244800.439999999</v>
      </c>
      <c r="R100" s="501"/>
      <c r="S100" s="1464"/>
    </row>
    <row r="101" spans="2:19" s="812" customFormat="1" ht="30" customHeight="1">
      <c r="B101" s="1423"/>
      <c r="C101" s="2230" t="s">
        <v>1286</v>
      </c>
      <c r="D101" s="2230" t="s">
        <v>235</v>
      </c>
      <c r="E101" s="2230">
        <v>83990</v>
      </c>
      <c r="F101" s="2230" t="s">
        <v>207</v>
      </c>
      <c r="G101" s="2230">
        <v>8</v>
      </c>
      <c r="H101" s="2231"/>
      <c r="I101" s="1190">
        <f>28866052.192-7216513</f>
        <v>21649539.192000002</v>
      </c>
      <c r="J101" s="577"/>
      <c r="K101" s="1462"/>
      <c r="L101" s="299">
        <f t="shared" si="22"/>
        <v>21649539.192000002</v>
      </c>
      <c r="M101" s="1190"/>
      <c r="N101" s="2231"/>
      <c r="O101" s="299">
        <f t="shared" si="21"/>
        <v>0</v>
      </c>
      <c r="P101" s="299"/>
      <c r="Q101" s="299">
        <f t="shared" si="23"/>
        <v>21649539.192000002</v>
      </c>
      <c r="R101" s="501"/>
      <c r="S101" s="1464"/>
    </row>
    <row r="102" spans="2:19" s="812" customFormat="1" ht="30" customHeight="1">
      <c r="B102" s="1423"/>
      <c r="C102" s="2230" t="s">
        <v>1287</v>
      </c>
      <c r="D102" s="2230" t="s">
        <v>235</v>
      </c>
      <c r="E102" s="2230">
        <v>83990</v>
      </c>
      <c r="F102" s="2230" t="s">
        <v>207</v>
      </c>
      <c r="G102" s="2230">
        <v>8</v>
      </c>
      <c r="H102" s="2231"/>
      <c r="I102" s="1476">
        <f>15126625.44-2836424-946005</f>
        <v>11344196.439999999</v>
      </c>
      <c r="J102" s="577"/>
      <c r="K102" s="1462"/>
      <c r="L102" s="299">
        <f t="shared" si="22"/>
        <v>11344196.439999999</v>
      </c>
      <c r="M102" s="1190"/>
      <c r="N102" s="2231"/>
      <c r="O102" s="299">
        <f t="shared" si="21"/>
        <v>0</v>
      </c>
      <c r="P102" s="299"/>
      <c r="Q102" s="299">
        <f t="shared" si="23"/>
        <v>11344196.439999999</v>
      </c>
      <c r="R102" s="501"/>
      <c r="S102" s="1464"/>
    </row>
    <row r="103" spans="2:19" s="812" customFormat="1" ht="30" customHeight="1">
      <c r="B103" s="1423"/>
      <c r="C103" s="2230" t="s">
        <v>1288</v>
      </c>
      <c r="D103" s="2230" t="s">
        <v>235</v>
      </c>
      <c r="E103" s="2230">
        <v>83990</v>
      </c>
      <c r="F103" s="2230" t="s">
        <v>207</v>
      </c>
      <c r="G103" s="2230">
        <v>8</v>
      </c>
      <c r="H103" s="2231"/>
      <c r="I103" s="1190">
        <f>15126625.44-2836424-1025321</f>
        <v>11264880.439999999</v>
      </c>
      <c r="J103" s="577"/>
      <c r="K103" s="1462"/>
      <c r="L103" s="299">
        <f t="shared" si="22"/>
        <v>11264880.439999999</v>
      </c>
      <c r="M103" s="1190"/>
      <c r="N103" s="2231"/>
      <c r="O103" s="299">
        <f t="shared" si="21"/>
        <v>0</v>
      </c>
      <c r="P103" s="299"/>
      <c r="Q103" s="299">
        <f t="shared" si="23"/>
        <v>11264880.439999999</v>
      </c>
      <c r="R103" s="501"/>
      <c r="S103" s="1464"/>
    </row>
    <row r="104" spans="2:19" s="812" customFormat="1" ht="30" customHeight="1">
      <c r="B104" s="1423"/>
      <c r="C104" s="2230" t="s">
        <v>1289</v>
      </c>
      <c r="D104" s="2230" t="s">
        <v>235</v>
      </c>
      <c r="E104" s="2230">
        <v>83990</v>
      </c>
      <c r="F104" s="2230" t="s">
        <v>207</v>
      </c>
      <c r="G104" s="2230">
        <v>8</v>
      </c>
      <c r="H104" s="2231"/>
      <c r="I104" s="1190">
        <f>15126625.44-2836424-3781475-2836242</f>
        <v>5672484.4399999995</v>
      </c>
      <c r="J104" s="577"/>
      <c r="K104" s="1462"/>
      <c r="L104" s="299">
        <f t="shared" si="22"/>
        <v>5672484.4399999995</v>
      </c>
      <c r="M104" s="1190"/>
      <c r="N104" s="2231"/>
      <c r="O104" s="299">
        <f t="shared" si="21"/>
        <v>0</v>
      </c>
      <c r="P104" s="299"/>
      <c r="Q104" s="299">
        <f t="shared" si="23"/>
        <v>5672484.4399999995</v>
      </c>
      <c r="R104" s="501"/>
      <c r="S104" s="1464"/>
    </row>
    <row r="105" spans="2:19" s="812" customFormat="1" ht="30" customHeight="1">
      <c r="B105" s="1423"/>
      <c r="C105" s="2230" t="s">
        <v>1290</v>
      </c>
      <c r="D105" s="2230" t="s">
        <v>235</v>
      </c>
      <c r="E105" s="2230">
        <v>83990</v>
      </c>
      <c r="F105" s="2230" t="s">
        <v>207</v>
      </c>
      <c r="G105" s="2230">
        <v>8</v>
      </c>
      <c r="H105" s="2231"/>
      <c r="I105" s="1190">
        <f>28866052.192-5412385</f>
        <v>23453667.192000002</v>
      </c>
      <c r="J105" s="577"/>
      <c r="K105" s="1462"/>
      <c r="L105" s="299">
        <f t="shared" si="22"/>
        <v>23453667.192000002</v>
      </c>
      <c r="M105" s="1190"/>
      <c r="N105" s="2231"/>
      <c r="O105" s="299">
        <f t="shared" si="21"/>
        <v>0</v>
      </c>
      <c r="P105" s="299"/>
      <c r="Q105" s="299">
        <f t="shared" si="23"/>
        <v>23453667.192000002</v>
      </c>
      <c r="R105" s="501"/>
      <c r="S105" s="1464"/>
    </row>
    <row r="106" spans="2:19" s="812" customFormat="1" ht="30" customHeight="1">
      <c r="B106" s="1423"/>
      <c r="C106" s="2230" t="s">
        <v>1291</v>
      </c>
      <c r="D106" s="2230" t="s">
        <v>235</v>
      </c>
      <c r="E106" s="2230">
        <v>83990</v>
      </c>
      <c r="F106" s="2230" t="s">
        <v>207</v>
      </c>
      <c r="G106" s="2230">
        <v>8</v>
      </c>
      <c r="H106" s="2231"/>
      <c r="I106" s="1190">
        <f>28866052.192-5412385-1804128</f>
        <v>21649539.192000002</v>
      </c>
      <c r="J106" s="577"/>
      <c r="K106" s="1462"/>
      <c r="L106" s="299">
        <f t="shared" si="22"/>
        <v>21649539.192000002</v>
      </c>
      <c r="M106" s="1190"/>
      <c r="N106" s="2231"/>
      <c r="O106" s="299">
        <f t="shared" si="21"/>
        <v>0</v>
      </c>
      <c r="P106" s="299"/>
      <c r="Q106" s="299">
        <f t="shared" si="23"/>
        <v>21649539.192000002</v>
      </c>
      <c r="R106" s="501"/>
      <c r="S106" s="1464"/>
    </row>
    <row r="107" spans="2:19" s="812" customFormat="1" ht="30" customHeight="1">
      <c r="B107" s="1423"/>
      <c r="C107" s="2230" t="s">
        <v>1292</v>
      </c>
      <c r="D107" s="2230" t="s">
        <v>235</v>
      </c>
      <c r="E107" s="2230">
        <v>83990</v>
      </c>
      <c r="F107" s="2230" t="s">
        <v>207</v>
      </c>
      <c r="G107" s="2230">
        <v>8</v>
      </c>
      <c r="H107" s="2231"/>
      <c r="I107" s="1190">
        <f>28866052.192-5412385</f>
        <v>23453667.192000002</v>
      </c>
      <c r="J107" s="577"/>
      <c r="K107" s="1462"/>
      <c r="L107" s="299">
        <f t="shared" si="22"/>
        <v>23453667.192000002</v>
      </c>
      <c r="M107" s="1190"/>
      <c r="N107" s="2231"/>
      <c r="O107" s="299">
        <f t="shared" si="21"/>
        <v>0</v>
      </c>
      <c r="P107" s="299"/>
      <c r="Q107" s="299">
        <f t="shared" si="23"/>
        <v>23453667.192000002</v>
      </c>
      <c r="R107" s="501"/>
      <c r="S107" s="1464"/>
    </row>
    <row r="108" spans="2:19" s="812" customFormat="1" ht="30" customHeight="1">
      <c r="B108" s="1423"/>
      <c r="C108" s="2230" t="s">
        <v>1293</v>
      </c>
      <c r="D108" s="2230" t="s">
        <v>235</v>
      </c>
      <c r="E108" s="2230">
        <v>83990</v>
      </c>
      <c r="F108" s="2230" t="s">
        <v>207</v>
      </c>
      <c r="G108" s="2230">
        <v>8</v>
      </c>
      <c r="H108" s="2231"/>
      <c r="I108" s="1190">
        <f>15126625.44-2836424-1266281</f>
        <v>11023920.439999999</v>
      </c>
      <c r="J108" s="577"/>
      <c r="K108" s="1462"/>
      <c r="L108" s="299">
        <f t="shared" si="22"/>
        <v>11023920.439999999</v>
      </c>
      <c r="M108" s="1190"/>
      <c r="N108" s="2231"/>
      <c r="O108" s="299">
        <f t="shared" si="21"/>
        <v>0</v>
      </c>
      <c r="P108" s="299"/>
      <c r="Q108" s="299">
        <f t="shared" si="23"/>
        <v>11023920.439999999</v>
      </c>
      <c r="R108" s="501"/>
      <c r="S108" s="1464"/>
    </row>
    <row r="109" spans="2:19" s="812" customFormat="1" ht="30" customHeight="1">
      <c r="B109" s="1423"/>
      <c r="C109" s="2230" t="s">
        <v>1294</v>
      </c>
      <c r="D109" s="2230" t="s">
        <v>235</v>
      </c>
      <c r="E109" s="2230">
        <v>83990</v>
      </c>
      <c r="F109" s="2230" t="s">
        <v>207</v>
      </c>
      <c r="G109" s="2230">
        <v>8</v>
      </c>
      <c r="H109" s="2231"/>
      <c r="I109" s="1190">
        <f>28866052.192-5412385</f>
        <v>23453667.192000002</v>
      </c>
      <c r="J109" s="577"/>
      <c r="K109" s="1462"/>
      <c r="L109" s="299">
        <f t="shared" si="22"/>
        <v>23453667.192000002</v>
      </c>
      <c r="M109" s="1190"/>
      <c r="N109" s="2231"/>
      <c r="O109" s="299">
        <f t="shared" si="21"/>
        <v>0</v>
      </c>
      <c r="P109" s="299"/>
      <c r="Q109" s="299">
        <f t="shared" si="23"/>
        <v>23453667.192000002</v>
      </c>
      <c r="R109" s="501"/>
      <c r="S109" s="1464"/>
    </row>
    <row r="110" spans="2:19" s="812" customFormat="1" ht="30" customHeight="1">
      <c r="B110" s="1423"/>
      <c r="C110" s="2230" t="s">
        <v>1295</v>
      </c>
      <c r="D110" s="2230" t="s">
        <v>235</v>
      </c>
      <c r="E110" s="2230">
        <v>83990</v>
      </c>
      <c r="F110" s="2230" t="s">
        <v>207</v>
      </c>
      <c r="G110" s="2230">
        <v>8</v>
      </c>
      <c r="H110" s="2231"/>
      <c r="I110" s="1190">
        <f>15126625.44-2836424-1045401</f>
        <v>11244800.439999999</v>
      </c>
      <c r="J110" s="577"/>
      <c r="K110" s="1462"/>
      <c r="L110" s="299">
        <f t="shared" si="22"/>
        <v>11244800.439999999</v>
      </c>
      <c r="M110" s="1190"/>
      <c r="N110" s="2231"/>
      <c r="O110" s="299">
        <f t="shared" si="21"/>
        <v>0</v>
      </c>
      <c r="P110" s="299"/>
      <c r="Q110" s="299">
        <f t="shared" si="23"/>
        <v>11244800.439999999</v>
      </c>
      <c r="R110" s="501"/>
      <c r="S110" s="1464"/>
    </row>
    <row r="111" spans="2:19" s="812" customFormat="1" ht="30" customHeight="1">
      <c r="B111" s="1423"/>
      <c r="C111" s="2230" t="s">
        <v>1296</v>
      </c>
      <c r="D111" s="2230" t="s">
        <v>235</v>
      </c>
      <c r="E111" s="2230">
        <v>83990</v>
      </c>
      <c r="F111" s="2230" t="s">
        <v>207</v>
      </c>
      <c r="G111" s="2230">
        <v>8</v>
      </c>
      <c r="H111" s="2231"/>
      <c r="I111" s="1190">
        <f>15126625.44-2836424-559001-406080</f>
        <v>11325120.439999999</v>
      </c>
      <c r="J111" s="577"/>
      <c r="K111" s="1462"/>
      <c r="L111" s="299">
        <f t="shared" si="22"/>
        <v>11325120.439999999</v>
      </c>
      <c r="M111" s="1190"/>
      <c r="N111" s="2231"/>
      <c r="O111" s="299">
        <f t="shared" si="21"/>
        <v>0</v>
      </c>
      <c r="P111" s="299"/>
      <c r="Q111" s="299">
        <f t="shared" si="23"/>
        <v>11325120.439999999</v>
      </c>
      <c r="R111" s="501"/>
      <c r="S111" s="1464"/>
    </row>
    <row r="112" spans="2:19" s="812" customFormat="1" ht="30" customHeight="1">
      <c r="B112" s="1423"/>
      <c r="C112" s="2230" t="s">
        <v>1297</v>
      </c>
      <c r="D112" s="2230" t="s">
        <v>235</v>
      </c>
      <c r="E112" s="2230">
        <v>83990</v>
      </c>
      <c r="F112" s="2230" t="s">
        <v>207</v>
      </c>
      <c r="G112" s="2230">
        <v>8</v>
      </c>
      <c r="H112" s="2231"/>
      <c r="I112" s="1190">
        <f>28866052.192-5412385</f>
        <v>23453667.192000002</v>
      </c>
      <c r="J112" s="577"/>
      <c r="K112" s="1462"/>
      <c r="L112" s="299">
        <f t="shared" si="22"/>
        <v>23453667.192000002</v>
      </c>
      <c r="M112" s="1190"/>
      <c r="N112" s="2231"/>
      <c r="O112" s="299">
        <f t="shared" si="21"/>
        <v>0</v>
      </c>
      <c r="P112" s="299"/>
      <c r="Q112" s="299">
        <f t="shared" si="23"/>
        <v>23453667.192000002</v>
      </c>
      <c r="R112" s="501"/>
      <c r="S112" s="1464"/>
    </row>
    <row r="113" spans="2:19" s="812" customFormat="1" ht="30" customHeight="1">
      <c r="B113" s="1423"/>
      <c r="C113" s="2230" t="s">
        <v>1298</v>
      </c>
      <c r="D113" s="2230" t="s">
        <v>235</v>
      </c>
      <c r="E113" s="2230">
        <v>83990</v>
      </c>
      <c r="F113" s="2230" t="s">
        <v>207</v>
      </c>
      <c r="G113" s="2230">
        <v>8</v>
      </c>
      <c r="H113" s="2231"/>
      <c r="I113" s="1190">
        <f>15126625.44-2836424-2836061+1</f>
        <v>9454141.4399999995</v>
      </c>
      <c r="J113" s="577"/>
      <c r="K113" s="1462"/>
      <c r="L113" s="299">
        <f t="shared" si="22"/>
        <v>9454141.4399999995</v>
      </c>
      <c r="M113" s="1190"/>
      <c r="N113" s="2231"/>
      <c r="O113" s="299">
        <f t="shared" si="21"/>
        <v>0</v>
      </c>
      <c r="P113" s="299"/>
      <c r="Q113" s="299">
        <f t="shared" si="23"/>
        <v>9454141.4399999995</v>
      </c>
      <c r="R113" s="501"/>
      <c r="S113" s="1464"/>
    </row>
    <row r="114" spans="2:19" s="812" customFormat="1" ht="30" customHeight="1">
      <c r="B114" s="1423"/>
      <c r="C114" s="2230" t="s">
        <v>1299</v>
      </c>
      <c r="D114" s="2230" t="s">
        <v>235</v>
      </c>
      <c r="E114" s="2230">
        <v>83990</v>
      </c>
      <c r="F114" s="2230" t="s">
        <v>207</v>
      </c>
      <c r="G114" s="2230">
        <v>8</v>
      </c>
      <c r="H114" s="2231"/>
      <c r="I114" s="1190">
        <f>15126625.44-2836424-2863060</f>
        <v>9427141.4399999995</v>
      </c>
      <c r="J114" s="577"/>
      <c r="K114" s="1462"/>
      <c r="L114" s="299">
        <f t="shared" si="22"/>
        <v>9427141.4399999995</v>
      </c>
      <c r="M114" s="1190"/>
      <c r="N114" s="2231"/>
      <c r="O114" s="299">
        <f t="shared" si="21"/>
        <v>0</v>
      </c>
      <c r="P114" s="299"/>
      <c r="Q114" s="299">
        <f t="shared" si="23"/>
        <v>9427141.4399999995</v>
      </c>
      <c r="R114" s="501"/>
      <c r="S114" s="1464"/>
    </row>
    <row r="115" spans="2:19" s="812" customFormat="1" ht="30" customHeight="1">
      <c r="B115" s="1423"/>
      <c r="C115" s="2230" t="s">
        <v>1300</v>
      </c>
      <c r="D115" s="2230" t="s">
        <v>235</v>
      </c>
      <c r="E115" s="2230">
        <v>83990</v>
      </c>
      <c r="F115" s="2230" t="s">
        <v>207</v>
      </c>
      <c r="G115" s="2230">
        <v>8</v>
      </c>
      <c r="H115" s="2231"/>
      <c r="I115" s="1190">
        <f>28866052.192-5412385-1804128</f>
        <v>21649539.192000002</v>
      </c>
      <c r="J115" s="577"/>
      <c r="K115" s="1462"/>
      <c r="L115" s="299">
        <f t="shared" si="22"/>
        <v>21649539.192000002</v>
      </c>
      <c r="M115" s="1190"/>
      <c r="N115" s="2231"/>
      <c r="O115" s="299">
        <f t="shared" si="21"/>
        <v>0</v>
      </c>
      <c r="P115" s="299"/>
      <c r="Q115" s="299">
        <f t="shared" si="23"/>
        <v>21649539.192000002</v>
      </c>
      <c r="R115" s="501"/>
      <c r="S115" s="1464"/>
    </row>
    <row r="116" spans="2:19" s="812" customFormat="1" ht="30" customHeight="1">
      <c r="B116" s="1423"/>
      <c r="C116" s="2230" t="s">
        <v>1372</v>
      </c>
      <c r="D116" s="2230" t="s">
        <v>235</v>
      </c>
      <c r="E116" s="2230">
        <v>83990</v>
      </c>
      <c r="F116" s="2230" t="s">
        <v>207</v>
      </c>
      <c r="G116" s="2230">
        <v>8</v>
      </c>
      <c r="H116" s="2231"/>
      <c r="I116" s="1190">
        <f>25821369.984-6455342</f>
        <v>19366027.984000001</v>
      </c>
      <c r="J116" s="577"/>
      <c r="K116" s="1462"/>
      <c r="L116" s="299">
        <f t="shared" si="22"/>
        <v>19366027.984000001</v>
      </c>
      <c r="M116" s="1190"/>
      <c r="N116" s="2231"/>
      <c r="O116" s="299">
        <f t="shared" si="21"/>
        <v>0</v>
      </c>
      <c r="P116" s="299"/>
      <c r="Q116" s="299">
        <f t="shared" si="23"/>
        <v>19366027.984000001</v>
      </c>
      <c r="R116" s="501"/>
      <c r="S116" s="1464"/>
    </row>
    <row r="117" spans="2:19" s="812" customFormat="1" ht="30" customHeight="1">
      <c r="B117" s="1423"/>
      <c r="C117" s="2230" t="s">
        <v>1301</v>
      </c>
      <c r="D117" s="2230" t="s">
        <v>235</v>
      </c>
      <c r="E117" s="2230">
        <v>83990</v>
      </c>
      <c r="F117" s="2230" t="s">
        <v>207</v>
      </c>
      <c r="G117" s="2230">
        <v>8</v>
      </c>
      <c r="H117" s="2231"/>
      <c r="I117" s="1190">
        <f>15126625.44-2836424+182</f>
        <v>12290383.439999999</v>
      </c>
      <c r="J117" s="577"/>
      <c r="K117" s="1462"/>
      <c r="L117" s="299">
        <f t="shared" si="22"/>
        <v>12290383.439999999</v>
      </c>
      <c r="M117" s="1190"/>
      <c r="N117" s="2231"/>
      <c r="O117" s="299">
        <f t="shared" si="21"/>
        <v>0</v>
      </c>
      <c r="P117" s="299"/>
      <c r="Q117" s="299">
        <f t="shared" si="23"/>
        <v>12290383.439999999</v>
      </c>
      <c r="R117" s="501"/>
      <c r="S117" s="1464"/>
    </row>
    <row r="118" spans="2:19" s="812" customFormat="1" ht="30" customHeight="1">
      <c r="B118" s="1423"/>
      <c r="C118" s="2230" t="s">
        <v>1302</v>
      </c>
      <c r="D118" s="2230" t="s">
        <v>235</v>
      </c>
      <c r="E118" s="2230">
        <v>83990</v>
      </c>
      <c r="F118" s="2230" t="s">
        <v>207</v>
      </c>
      <c r="G118" s="2230">
        <v>8</v>
      </c>
      <c r="H118" s="2231"/>
      <c r="I118" s="1190">
        <f>15126625.44-1890828.18-52732.2599999997+52732.2599999997</f>
        <v>13235797.26</v>
      </c>
      <c r="J118" s="577"/>
      <c r="K118" s="1462"/>
      <c r="L118" s="299">
        <f t="shared" si="22"/>
        <v>13235797.26</v>
      </c>
      <c r="M118" s="1190"/>
      <c r="N118" s="2231"/>
      <c r="O118" s="299">
        <f t="shared" si="21"/>
        <v>0</v>
      </c>
      <c r="P118" s="299"/>
      <c r="Q118" s="299">
        <f t="shared" si="23"/>
        <v>13235797.26</v>
      </c>
      <c r="R118" s="501"/>
      <c r="S118" s="1464"/>
    </row>
    <row r="119" spans="2:19" s="812" customFormat="1" ht="30" customHeight="1">
      <c r="B119" s="1423"/>
      <c r="C119" s="2230" t="s">
        <v>1373</v>
      </c>
      <c r="D119" s="2230" t="s">
        <v>235</v>
      </c>
      <c r="E119" s="2230">
        <v>83990</v>
      </c>
      <c r="F119" s="2230" t="s">
        <v>207</v>
      </c>
      <c r="G119" s="2230">
        <v>8</v>
      </c>
      <c r="H119" s="2231"/>
      <c r="I119" s="1190">
        <v>13235797.4</v>
      </c>
      <c r="J119" s="577"/>
      <c r="K119" s="1462"/>
      <c r="L119" s="299">
        <f t="shared" si="22"/>
        <v>13235797.4</v>
      </c>
      <c r="M119" s="1190"/>
      <c r="N119" s="2231"/>
      <c r="O119" s="299"/>
      <c r="P119" s="299"/>
      <c r="Q119" s="299">
        <f t="shared" si="23"/>
        <v>13235797.4</v>
      </c>
      <c r="R119" s="501"/>
      <c r="S119" s="1464"/>
    </row>
    <row r="120" spans="2:19" s="812" customFormat="1" ht="30" customHeight="1">
      <c r="B120" s="1423"/>
      <c r="C120" s="2230" t="s">
        <v>1374</v>
      </c>
      <c r="D120" s="2230" t="s">
        <v>235</v>
      </c>
      <c r="E120" s="2230">
        <v>83990</v>
      </c>
      <c r="F120" s="2230" t="s">
        <v>207</v>
      </c>
      <c r="G120" s="2230">
        <v>8</v>
      </c>
      <c r="H120" s="2231"/>
      <c r="I120" s="1190">
        <v>11344969.439999999</v>
      </c>
      <c r="J120" s="577"/>
      <c r="K120" s="1462"/>
      <c r="L120" s="299">
        <f t="shared" si="22"/>
        <v>11344969.439999999</v>
      </c>
      <c r="M120" s="1190"/>
      <c r="N120" s="2231"/>
      <c r="O120" s="299"/>
      <c r="P120" s="299"/>
      <c r="Q120" s="299">
        <f t="shared" si="23"/>
        <v>11344969.439999999</v>
      </c>
      <c r="R120" s="501"/>
      <c r="S120" s="1464"/>
    </row>
    <row r="121" spans="2:19" s="812" customFormat="1" ht="30" customHeight="1">
      <c r="B121" s="1423"/>
      <c r="C121" s="2230" t="s">
        <v>1303</v>
      </c>
      <c r="D121" s="2230" t="s">
        <v>235</v>
      </c>
      <c r="E121" s="2230">
        <v>83990</v>
      </c>
      <c r="F121" s="2230" t="s">
        <v>207</v>
      </c>
      <c r="G121" s="2230">
        <v>8</v>
      </c>
      <c r="H121" s="2231"/>
      <c r="I121" s="1190">
        <f>28866052.192-5412385</f>
        <v>23453667.192000002</v>
      </c>
      <c r="J121" s="577"/>
      <c r="K121" s="1462"/>
      <c r="L121" s="299">
        <f t="shared" si="22"/>
        <v>23453667.192000002</v>
      </c>
      <c r="M121" s="1190"/>
      <c r="N121" s="2231"/>
      <c r="O121" s="299">
        <f t="shared" si="21"/>
        <v>0</v>
      </c>
      <c r="P121" s="299"/>
      <c r="Q121" s="299">
        <f t="shared" si="23"/>
        <v>23453667.192000002</v>
      </c>
      <c r="R121" s="501"/>
      <c r="S121" s="1464"/>
    </row>
    <row r="122" spans="2:19" s="812" customFormat="1" ht="30" customHeight="1">
      <c r="B122" s="1423"/>
      <c r="C122" s="2230" t="s">
        <v>1304</v>
      </c>
      <c r="D122" s="2230" t="s">
        <v>235</v>
      </c>
      <c r="E122" s="2230">
        <v>83990</v>
      </c>
      <c r="F122" s="2230" t="s">
        <v>207</v>
      </c>
      <c r="G122" s="2230">
        <v>8</v>
      </c>
      <c r="H122" s="2231"/>
      <c r="I122" s="1190">
        <f>15126625.44-2836424-3254201</f>
        <v>9036000.4399999995</v>
      </c>
      <c r="J122" s="577"/>
      <c r="K122" s="1462"/>
      <c r="L122" s="299">
        <f t="shared" si="22"/>
        <v>9036000.4399999995</v>
      </c>
      <c r="M122" s="1190"/>
      <c r="N122" s="2231"/>
      <c r="O122" s="299">
        <f t="shared" si="21"/>
        <v>0</v>
      </c>
      <c r="P122" s="299"/>
      <c r="Q122" s="299">
        <f t="shared" si="23"/>
        <v>9036000.4399999995</v>
      </c>
      <c r="R122" s="501"/>
      <c r="S122" s="1464"/>
    </row>
    <row r="123" spans="2:19" s="812" customFormat="1" ht="30" customHeight="1">
      <c r="B123" s="1423"/>
      <c r="C123" s="2230" t="s">
        <v>1305</v>
      </c>
      <c r="D123" s="2230" t="s">
        <v>235</v>
      </c>
      <c r="E123" s="2230">
        <v>83990</v>
      </c>
      <c r="F123" s="2230" t="s">
        <v>207</v>
      </c>
      <c r="G123" s="2230">
        <v>8</v>
      </c>
      <c r="H123" s="2231"/>
      <c r="I123" s="1190">
        <f>15126625.44-2836424-4728073</f>
        <v>7562128.4399999995</v>
      </c>
      <c r="J123" s="577"/>
      <c r="K123" s="1462"/>
      <c r="L123" s="299">
        <f t="shared" si="22"/>
        <v>7562128.4399999995</v>
      </c>
      <c r="M123" s="1190"/>
      <c r="N123" s="2231"/>
      <c r="O123" s="299">
        <f t="shared" si="21"/>
        <v>0</v>
      </c>
      <c r="P123" s="299"/>
      <c r="Q123" s="299">
        <f t="shared" si="23"/>
        <v>7562128.4399999995</v>
      </c>
      <c r="R123" s="501"/>
      <c r="S123" s="1464"/>
    </row>
    <row r="124" spans="2:19" s="812" customFormat="1" ht="30" customHeight="1">
      <c r="B124" s="1423"/>
      <c r="C124" s="2230" t="s">
        <v>1306</v>
      </c>
      <c r="D124" s="2230" t="s">
        <v>235</v>
      </c>
      <c r="E124" s="2230">
        <v>83990</v>
      </c>
      <c r="F124" s="2230" t="s">
        <v>207</v>
      </c>
      <c r="G124" s="2230">
        <v>8</v>
      </c>
      <c r="H124" s="2231"/>
      <c r="I124" s="1190">
        <f>28866052.4-7216513-3608256.208</f>
        <v>18041283.191999998</v>
      </c>
      <c r="J124" s="577"/>
      <c r="K124" s="1462"/>
      <c r="L124" s="299">
        <f t="shared" si="22"/>
        <v>18041283.191999998</v>
      </c>
      <c r="M124" s="1190"/>
      <c r="N124" s="2231"/>
      <c r="O124" s="299">
        <f t="shared" si="21"/>
        <v>0</v>
      </c>
      <c r="P124" s="299"/>
      <c r="Q124" s="299">
        <f t="shared" si="23"/>
        <v>18041283.191999998</v>
      </c>
      <c r="R124" s="501"/>
      <c r="S124" s="1464"/>
    </row>
    <row r="125" spans="2:19" s="812" customFormat="1" ht="30" customHeight="1">
      <c r="B125" s="1423"/>
      <c r="C125" s="2230" t="s">
        <v>1307</v>
      </c>
      <c r="D125" s="2230" t="s">
        <v>235</v>
      </c>
      <c r="E125" s="2230">
        <v>83990</v>
      </c>
      <c r="F125" s="2230" t="s">
        <v>207</v>
      </c>
      <c r="G125" s="2230">
        <v>8</v>
      </c>
      <c r="H125" s="2231"/>
      <c r="I125" s="1190">
        <f>15126625.44-2836424-2836537</f>
        <v>9453664.4399999995</v>
      </c>
      <c r="J125" s="577"/>
      <c r="K125" s="1462"/>
      <c r="L125" s="299">
        <f t="shared" si="22"/>
        <v>9453664.4399999995</v>
      </c>
      <c r="M125" s="1190"/>
      <c r="N125" s="2231"/>
      <c r="O125" s="299">
        <f t="shared" si="21"/>
        <v>0</v>
      </c>
      <c r="P125" s="299"/>
      <c r="Q125" s="299">
        <f t="shared" si="23"/>
        <v>9453664.4399999995</v>
      </c>
      <c r="R125" s="501"/>
      <c r="S125" s="1464"/>
    </row>
    <row r="126" spans="2:19" s="812" customFormat="1" ht="30" customHeight="1">
      <c r="B126" s="1423"/>
      <c r="C126" s="2230" t="s">
        <v>1308</v>
      </c>
      <c r="D126" s="2230" t="s">
        <v>235</v>
      </c>
      <c r="E126" s="2230">
        <v>83990</v>
      </c>
      <c r="F126" s="2230" t="s">
        <v>207</v>
      </c>
      <c r="G126" s="2230">
        <v>8</v>
      </c>
      <c r="H126" s="2231"/>
      <c r="I126" s="1190">
        <f>15126625.44-2836424-946005</f>
        <v>11344196.439999999</v>
      </c>
      <c r="J126" s="577"/>
      <c r="K126" s="1462"/>
      <c r="L126" s="299">
        <f t="shared" si="22"/>
        <v>11344196.439999999</v>
      </c>
      <c r="M126" s="1190"/>
      <c r="N126" s="2231"/>
      <c r="O126" s="299">
        <f t="shared" si="21"/>
        <v>0</v>
      </c>
      <c r="P126" s="299"/>
      <c r="Q126" s="299">
        <f t="shared" si="23"/>
        <v>11344196.439999999</v>
      </c>
      <c r="R126" s="501"/>
      <c r="S126" s="1464"/>
    </row>
    <row r="127" spans="2:19" s="812" customFormat="1" ht="30" customHeight="1">
      <c r="B127" s="1423"/>
      <c r="C127" s="2230" t="s">
        <v>616</v>
      </c>
      <c r="D127" s="2230" t="s">
        <v>235</v>
      </c>
      <c r="E127" s="2230">
        <v>83990</v>
      </c>
      <c r="F127" s="2230" t="s">
        <v>207</v>
      </c>
      <c r="G127" s="2230">
        <v>6</v>
      </c>
      <c r="H127" s="2231"/>
      <c r="I127" s="1190">
        <v>18000000.399999999</v>
      </c>
      <c r="J127" s="577"/>
      <c r="K127" s="2231"/>
      <c r="L127" s="299">
        <f t="shared" si="22"/>
        <v>18000000.399999999</v>
      </c>
      <c r="M127" s="1190"/>
      <c r="N127" s="2231"/>
      <c r="O127" s="299">
        <f t="shared" si="21"/>
        <v>0</v>
      </c>
      <c r="P127" s="299"/>
      <c r="Q127" s="299">
        <f t="shared" si="23"/>
        <v>18000000.399999999</v>
      </c>
      <c r="R127"/>
    </row>
    <row r="128" spans="2:19" s="812" customFormat="1" ht="30" customHeight="1">
      <c r="B128" s="1423"/>
      <c r="C128" s="2230" t="s">
        <v>643</v>
      </c>
      <c r="D128" s="2230" t="s">
        <v>235</v>
      </c>
      <c r="E128" s="2230">
        <v>83990</v>
      </c>
      <c r="F128" s="2230" t="s">
        <v>207</v>
      </c>
      <c r="G128" s="2230">
        <v>11</v>
      </c>
      <c r="H128" s="2231"/>
      <c r="I128" s="1190">
        <f>39690822.4-2383432</f>
        <v>37307390.399999999</v>
      </c>
      <c r="J128" s="577"/>
      <c r="K128" s="2231"/>
      <c r="L128" s="299">
        <f t="shared" si="22"/>
        <v>37307390.399999999</v>
      </c>
      <c r="M128" s="1190"/>
      <c r="N128" s="2231"/>
      <c r="O128" s="299">
        <f t="shared" si="21"/>
        <v>0</v>
      </c>
      <c r="P128" s="299"/>
      <c r="Q128" s="299">
        <f t="shared" si="23"/>
        <v>37307390.399999999</v>
      </c>
      <c r="R128"/>
      <c r="S128" s="1555"/>
    </row>
    <row r="129" spans="1:32" s="812" customFormat="1" ht="30" customHeight="1">
      <c r="B129" s="1423"/>
      <c r="C129" s="2230" t="s">
        <v>1425</v>
      </c>
      <c r="D129" s="2230" t="s">
        <v>235</v>
      </c>
      <c r="E129" s="2230">
        <v>83990</v>
      </c>
      <c r="F129" s="2230" t="s">
        <v>207</v>
      </c>
      <c r="G129" s="2230">
        <v>10</v>
      </c>
      <c r="H129" s="2231"/>
      <c r="I129" s="1190">
        <f>20080000+7530000-17437241-6142758.76</f>
        <v>4030000.24</v>
      </c>
      <c r="J129" s="577"/>
      <c r="K129" s="2231"/>
      <c r="L129" s="299">
        <f t="shared" si="22"/>
        <v>4030000.24</v>
      </c>
      <c r="M129" s="1190"/>
      <c r="N129" s="2231"/>
      <c r="O129" s="299">
        <f t="shared" si="21"/>
        <v>0</v>
      </c>
      <c r="P129" s="299"/>
      <c r="Q129" s="299">
        <f t="shared" si="23"/>
        <v>4030000.24</v>
      </c>
      <c r="R129"/>
    </row>
    <row r="130" spans="1:32" s="812" customFormat="1" ht="30" customHeight="1">
      <c r="B130" s="1423"/>
      <c r="C130" s="2230" t="s">
        <v>1426</v>
      </c>
      <c r="D130" s="2230" t="s">
        <v>235</v>
      </c>
      <c r="E130" s="2230">
        <v>83990</v>
      </c>
      <c r="F130" s="2230" t="s">
        <v>207</v>
      </c>
      <c r="G130" s="2230">
        <v>7.5</v>
      </c>
      <c r="H130" s="575"/>
      <c r="I130" s="1190">
        <f>37650000-12550000-13530000</f>
        <v>11570000</v>
      </c>
      <c r="J130" s="577"/>
      <c r="K130" s="2231"/>
      <c r="L130" s="299">
        <f t="shared" si="22"/>
        <v>11570000</v>
      </c>
      <c r="M130" s="1190"/>
      <c r="N130" s="2231"/>
      <c r="O130" s="299">
        <f t="shared" si="21"/>
        <v>0</v>
      </c>
      <c r="P130" s="299"/>
      <c r="Q130" s="299">
        <f t="shared" si="23"/>
        <v>11570000</v>
      </c>
      <c r="R130"/>
    </row>
    <row r="131" spans="1:32" s="812" customFormat="1" ht="30" customHeight="1">
      <c r="B131" s="1423"/>
      <c r="C131" s="2230" t="s">
        <v>1427</v>
      </c>
      <c r="D131" s="2230" t="s">
        <v>235</v>
      </c>
      <c r="E131" s="2230">
        <v>83990</v>
      </c>
      <c r="F131" s="2230" t="s">
        <v>207</v>
      </c>
      <c r="G131" s="2230">
        <v>7.5</v>
      </c>
      <c r="H131" s="575"/>
      <c r="I131" s="1190">
        <f>37650000-12550000-13530000</f>
        <v>11570000</v>
      </c>
      <c r="J131" s="577"/>
      <c r="K131" s="2231"/>
      <c r="L131" s="299">
        <f t="shared" si="22"/>
        <v>11570000</v>
      </c>
      <c r="M131" s="1190"/>
      <c r="N131" s="2231"/>
      <c r="O131" s="299">
        <f t="shared" si="21"/>
        <v>0</v>
      </c>
      <c r="P131" s="299"/>
      <c r="Q131" s="299">
        <f t="shared" si="23"/>
        <v>11570000</v>
      </c>
      <c r="R131"/>
    </row>
    <row r="132" spans="1:32" s="812" customFormat="1" ht="30" customHeight="1">
      <c r="B132" s="1423"/>
      <c r="C132" s="2230" t="s">
        <v>1431</v>
      </c>
      <c r="D132" s="2230" t="s">
        <v>235</v>
      </c>
      <c r="E132" s="2230">
        <v>83990</v>
      </c>
      <c r="F132" s="2230" t="s">
        <v>207</v>
      </c>
      <c r="G132" s="2230"/>
      <c r="H132" s="575"/>
      <c r="I132" s="1190">
        <v>13371472.800000001</v>
      </c>
      <c r="J132" s="577"/>
      <c r="K132" s="2231"/>
      <c r="L132" s="299">
        <f t="shared" si="22"/>
        <v>13371472.800000001</v>
      </c>
      <c r="M132" s="1190"/>
      <c r="N132" s="2231"/>
      <c r="O132" s="299">
        <f t="shared" si="21"/>
        <v>0</v>
      </c>
      <c r="P132" s="299"/>
      <c r="Q132" s="299">
        <f t="shared" si="23"/>
        <v>13371472.800000001</v>
      </c>
      <c r="R132"/>
    </row>
    <row r="133" spans="1:32" s="812" customFormat="1" ht="30" customHeight="1">
      <c r="B133" s="1423"/>
      <c r="C133" s="2230" t="s">
        <v>599</v>
      </c>
      <c r="D133" s="2230" t="s">
        <v>235</v>
      </c>
      <c r="E133" s="2230">
        <v>83990</v>
      </c>
      <c r="F133" s="2230" t="s">
        <v>207</v>
      </c>
      <c r="G133" s="2230">
        <v>7</v>
      </c>
      <c r="H133" s="575"/>
      <c r="I133" s="1190"/>
      <c r="J133" s="357"/>
      <c r="K133" s="2231"/>
      <c r="L133" s="299">
        <f t="shared" si="22"/>
        <v>0</v>
      </c>
      <c r="M133" s="1190"/>
      <c r="N133" s="1463">
        <f>12542790+1.4</f>
        <v>12542791.4</v>
      </c>
      <c r="O133" s="299">
        <f t="shared" si="21"/>
        <v>12542791.4</v>
      </c>
      <c r="P133" s="299"/>
      <c r="Q133" s="299">
        <f t="shared" si="23"/>
        <v>12542791.4</v>
      </c>
      <c r="R133"/>
    </row>
    <row r="134" spans="1:32" s="812" customFormat="1" ht="30" customHeight="1">
      <c r="B134" s="1423"/>
      <c r="C134" s="1415" t="s">
        <v>1276</v>
      </c>
      <c r="D134" s="2230" t="s">
        <v>235</v>
      </c>
      <c r="E134" s="2230">
        <v>83990</v>
      </c>
      <c r="F134" s="2230" t="s">
        <v>207</v>
      </c>
      <c r="G134" s="2230">
        <v>7</v>
      </c>
      <c r="H134" s="575"/>
      <c r="I134" s="1190"/>
      <c r="J134" s="357"/>
      <c r="K134" s="2231"/>
      <c r="L134" s="299">
        <f t="shared" si="22"/>
        <v>0</v>
      </c>
      <c r="M134" s="1190"/>
      <c r="N134" s="1463">
        <f>12542790.276+1-1791827.9-826997.096000001</f>
        <v>9923966.2799999993</v>
      </c>
      <c r="O134" s="299">
        <f t="shared" si="21"/>
        <v>9923966.2799999993</v>
      </c>
      <c r="P134" s="299"/>
      <c r="Q134" s="299">
        <f t="shared" si="23"/>
        <v>9923966.2799999993</v>
      </c>
      <c r="R134"/>
    </row>
    <row r="135" spans="1:32" s="812" customFormat="1" ht="30" customHeight="1">
      <c r="B135" s="1423"/>
      <c r="C135" s="1415" t="s">
        <v>1309</v>
      </c>
      <c r="D135" s="2230" t="s">
        <v>235</v>
      </c>
      <c r="E135" s="2230">
        <v>83990</v>
      </c>
      <c r="F135" s="2230" t="s">
        <v>207</v>
      </c>
      <c r="G135" s="2230">
        <v>7</v>
      </c>
      <c r="H135" s="2011"/>
      <c r="I135" s="1190"/>
      <c r="J135" s="357"/>
      <c r="K135" s="2231"/>
      <c r="L135" s="299">
        <f t="shared" si="22"/>
        <v>0</v>
      </c>
      <c r="M135" s="1190"/>
      <c r="N135" s="1463">
        <v>7256189.1200000001</v>
      </c>
      <c r="O135" s="299">
        <f t="shared" si="21"/>
        <v>7256189.1200000001</v>
      </c>
      <c r="P135" s="299"/>
      <c r="Q135" s="299">
        <f t="shared" si="23"/>
        <v>7256189.1200000001</v>
      </c>
      <c r="R135"/>
    </row>
    <row r="136" spans="1:32" s="812" customFormat="1" ht="30" customHeight="1">
      <c r="B136" s="1423"/>
      <c r="C136" s="2230" t="s">
        <v>1310</v>
      </c>
      <c r="D136" s="2230" t="s">
        <v>235</v>
      </c>
      <c r="E136" s="2230">
        <v>83990</v>
      </c>
      <c r="F136" s="2230" t="s">
        <v>207</v>
      </c>
      <c r="G136" s="2230">
        <v>7.5</v>
      </c>
      <c r="H136" s="2231"/>
      <c r="I136" s="1190">
        <f>42821355.3-14273785</f>
        <v>28547570.299999997</v>
      </c>
      <c r="J136" s="357"/>
      <c r="K136" s="2231"/>
      <c r="L136" s="299">
        <f t="shared" si="22"/>
        <v>28547570.299999997</v>
      </c>
      <c r="M136" s="1190"/>
      <c r="N136" s="2231"/>
      <c r="O136" s="299">
        <f t="shared" si="21"/>
        <v>0</v>
      </c>
      <c r="P136" s="299"/>
      <c r="Q136" s="299">
        <f t="shared" si="23"/>
        <v>28547570.299999997</v>
      </c>
      <c r="R136"/>
    </row>
    <row r="137" spans="1:32" s="812" customFormat="1" ht="30" customHeight="1">
      <c r="B137" s="1423"/>
      <c r="C137" s="1415" t="s">
        <v>1267</v>
      </c>
      <c r="D137" s="2230" t="s">
        <v>235</v>
      </c>
      <c r="E137" s="2230">
        <v>83990</v>
      </c>
      <c r="F137" s="2230" t="s">
        <v>207</v>
      </c>
      <c r="G137" s="2230">
        <v>8</v>
      </c>
      <c r="H137" s="2231"/>
      <c r="I137" s="509"/>
      <c r="J137" s="2231"/>
      <c r="K137" s="2231"/>
      <c r="L137" s="299">
        <f t="shared" si="22"/>
        <v>0</v>
      </c>
      <c r="M137" s="509"/>
      <c r="N137" s="2231">
        <f>16170887-16170887</f>
        <v>0</v>
      </c>
      <c r="O137" s="299">
        <f t="shared" si="21"/>
        <v>0</v>
      </c>
      <c r="P137" s="299"/>
      <c r="Q137" s="299">
        <f t="shared" si="23"/>
        <v>0</v>
      </c>
      <c r="R137"/>
    </row>
    <row r="138" spans="1:32" s="812" customFormat="1" ht="30" customHeight="1">
      <c r="B138" s="1423"/>
      <c r="C138" s="1415" t="s">
        <v>1268</v>
      </c>
      <c r="D138" s="2230" t="s">
        <v>235</v>
      </c>
      <c r="E138" s="2230">
        <v>83990</v>
      </c>
      <c r="F138" s="2230" t="s">
        <v>207</v>
      </c>
      <c r="G138" s="2230">
        <v>8</v>
      </c>
      <c r="H138" s="2231"/>
      <c r="I138" s="509"/>
      <c r="J138" s="2231"/>
      <c r="K138" s="2231"/>
      <c r="L138" s="299">
        <f t="shared" si="22"/>
        <v>0</v>
      </c>
      <c r="M138" s="509"/>
      <c r="N138" s="2231">
        <f>16170887-16170887</f>
        <v>0</v>
      </c>
      <c r="O138" s="299">
        <f t="shared" si="21"/>
        <v>0</v>
      </c>
      <c r="P138" s="299"/>
      <c r="Q138" s="299">
        <f t="shared" si="23"/>
        <v>0</v>
      </c>
      <c r="R138"/>
      <c r="S138"/>
      <c r="T138"/>
      <c r="U138"/>
      <c r="V138"/>
      <c r="W138"/>
      <c r="X138"/>
      <c r="Y138"/>
      <c r="Z138"/>
      <c r="AA138"/>
      <c r="AB138"/>
      <c r="AC138"/>
      <c r="AD138"/>
      <c r="AE138"/>
      <c r="AF138"/>
    </row>
    <row r="139" spans="1:32" ht="48" customHeight="1">
      <c r="A139" s="1306"/>
      <c r="B139" s="1425" t="s">
        <v>1053</v>
      </c>
      <c r="C139" s="670" t="s">
        <v>220</v>
      </c>
      <c r="D139" s="174"/>
      <c r="E139" s="174"/>
      <c r="F139" s="174" t="s">
        <v>209</v>
      </c>
      <c r="G139" s="174">
        <v>1</v>
      </c>
      <c r="H139" s="174"/>
      <c r="I139" s="391">
        <f t="shared" ref="I139:O139" si="24">SUM(I140:I154)</f>
        <v>160505343.80000001</v>
      </c>
      <c r="J139" s="391">
        <f t="shared" si="24"/>
        <v>0</v>
      </c>
      <c r="K139" s="391">
        <f t="shared" si="24"/>
        <v>19820050</v>
      </c>
      <c r="L139" s="391">
        <f t="shared" si="24"/>
        <v>180325393.80000001</v>
      </c>
      <c r="M139" s="391">
        <f t="shared" si="24"/>
        <v>19650829.399999999</v>
      </c>
      <c r="N139" s="391">
        <f t="shared" si="24"/>
        <v>74347596</v>
      </c>
      <c r="O139" s="671">
        <f t="shared" si="24"/>
        <v>93998425.400000006</v>
      </c>
      <c r="P139" s="671"/>
      <c r="Q139" s="671">
        <f t="shared" ref="Q139:Q187" si="25">+P139+O139+L139</f>
        <v>274323819.20000005</v>
      </c>
      <c r="S139"/>
      <c r="T139"/>
      <c r="U139"/>
      <c r="V139"/>
      <c r="W139"/>
      <c r="X139"/>
      <c r="Y139"/>
      <c r="Z139"/>
      <c r="AA139"/>
      <c r="AB139"/>
      <c r="AC139"/>
      <c r="AD139"/>
      <c r="AE139"/>
      <c r="AF139"/>
    </row>
    <row r="140" spans="1:32" s="508" customFormat="1" ht="49.5" customHeight="1">
      <c r="B140" s="1427"/>
      <c r="C140" s="1182" t="s">
        <v>1246</v>
      </c>
      <c r="D140" s="576" t="s">
        <v>617</v>
      </c>
      <c r="E140" s="1578" t="s">
        <v>618</v>
      </c>
      <c r="F140" s="576" t="s">
        <v>209</v>
      </c>
      <c r="G140" s="332">
        <v>1</v>
      </c>
      <c r="H140" s="2230"/>
      <c r="I140" s="867">
        <f>161573358.4-2560059.40000001-(161573358.4-2560059.40000001)</f>
        <v>0</v>
      </c>
      <c r="J140" s="867"/>
      <c r="K140" s="867"/>
      <c r="L140" s="676">
        <f>SUM(I140:K140)</f>
        <v>0</v>
      </c>
      <c r="M140" s="867"/>
      <c r="N140" s="867"/>
      <c r="O140" s="676">
        <f>SUM(M140:N140)</f>
        <v>0</v>
      </c>
      <c r="P140" s="676"/>
      <c r="Q140" s="676">
        <f t="shared" si="25"/>
        <v>0</v>
      </c>
      <c r="R140"/>
      <c r="S140"/>
      <c r="T140"/>
      <c r="U140"/>
      <c r="V140"/>
      <c r="W140"/>
      <c r="X140"/>
      <c r="Y140"/>
      <c r="Z140"/>
      <c r="AA140"/>
      <c r="AB140"/>
      <c r="AC140"/>
      <c r="AD140"/>
      <c r="AE140"/>
      <c r="AF140"/>
    </row>
    <row r="141" spans="1:32" s="508" customFormat="1" ht="49.5" customHeight="1">
      <c r="B141" s="1427"/>
      <c r="C141" s="2523" t="s">
        <v>1393</v>
      </c>
      <c r="D141" s="2230" t="s">
        <v>557</v>
      </c>
      <c r="E141" s="2230">
        <v>1121.0126</v>
      </c>
      <c r="F141" s="2230" t="s">
        <v>209</v>
      </c>
      <c r="G141" s="2230">
        <v>1</v>
      </c>
      <c r="H141" s="575"/>
      <c r="I141" s="575">
        <v>23861184</v>
      </c>
      <c r="J141" s="867"/>
      <c r="K141" s="867"/>
      <c r="L141" s="676">
        <f t="shared" ref="L141:L144" si="26">SUM(I141:K141)</f>
        <v>23861184</v>
      </c>
      <c r="M141" s="867"/>
      <c r="N141" s="867"/>
      <c r="O141" s="676"/>
      <c r="P141" s="676"/>
      <c r="Q141" s="676">
        <f t="shared" si="25"/>
        <v>23861184</v>
      </c>
      <c r="R141"/>
      <c r="S141"/>
      <c r="T141"/>
      <c r="U141"/>
      <c r="V141"/>
      <c r="W141"/>
      <c r="X141"/>
      <c r="Y141"/>
      <c r="Z141"/>
      <c r="AA141"/>
      <c r="AB141"/>
      <c r="AC141"/>
      <c r="AD141"/>
      <c r="AE141"/>
      <c r="AF141"/>
    </row>
    <row r="142" spans="1:32" s="508" customFormat="1" ht="49.5" customHeight="1">
      <c r="B142" s="1427"/>
      <c r="C142" s="2524"/>
      <c r="D142" s="2230" t="s">
        <v>934</v>
      </c>
      <c r="E142" s="2230" t="s">
        <v>1388</v>
      </c>
      <c r="F142" s="2230" t="s">
        <v>209</v>
      </c>
      <c r="G142" s="2230">
        <v>1</v>
      </c>
      <c r="H142" s="575"/>
      <c r="I142" s="575">
        <v>1354838</v>
      </c>
      <c r="J142" s="867"/>
      <c r="K142" s="867"/>
      <c r="L142" s="676">
        <f t="shared" si="26"/>
        <v>1354838</v>
      </c>
      <c r="M142" s="867"/>
      <c r="N142" s="867"/>
      <c r="O142" s="676"/>
      <c r="P142" s="676"/>
      <c r="Q142" s="676">
        <f t="shared" si="25"/>
        <v>1354838</v>
      </c>
      <c r="R142"/>
      <c r="S142"/>
      <c r="T142"/>
      <c r="U142"/>
      <c r="V142"/>
      <c r="W142"/>
      <c r="X142"/>
      <c r="Y142"/>
      <c r="Z142"/>
      <c r="AA142"/>
      <c r="AB142"/>
      <c r="AC142"/>
      <c r="AD142"/>
      <c r="AE142"/>
      <c r="AF142"/>
    </row>
    <row r="143" spans="1:32" s="508" customFormat="1" ht="49.5" customHeight="1">
      <c r="B143" s="1427"/>
      <c r="C143" s="2524"/>
      <c r="D143" s="2230" t="s">
        <v>729</v>
      </c>
      <c r="E143" s="2230" t="s">
        <v>1394</v>
      </c>
      <c r="F143" s="2230" t="s">
        <v>209</v>
      </c>
      <c r="G143" s="2230">
        <v>1</v>
      </c>
      <c r="H143" s="575"/>
      <c r="I143" s="575">
        <f>126334846+1213535-719567</f>
        <v>126828814</v>
      </c>
      <c r="J143" s="867"/>
      <c r="K143" s="867"/>
      <c r="L143" s="676">
        <f t="shared" si="26"/>
        <v>126828814</v>
      </c>
      <c r="M143" s="867"/>
      <c r="N143" s="867"/>
      <c r="O143" s="676"/>
      <c r="P143" s="676"/>
      <c r="Q143" s="676">
        <f t="shared" si="25"/>
        <v>126828814</v>
      </c>
      <c r="R143"/>
      <c r="S143"/>
      <c r="T143"/>
      <c r="U143"/>
      <c r="V143"/>
      <c r="W143"/>
      <c r="X143"/>
      <c r="Y143"/>
      <c r="Z143"/>
      <c r="AA143"/>
      <c r="AB143"/>
      <c r="AC143"/>
      <c r="AD143"/>
      <c r="AE143"/>
      <c r="AF143"/>
    </row>
    <row r="144" spans="1:32" s="508" customFormat="1" ht="49.5" customHeight="1">
      <c r="B144" s="1427"/>
      <c r="C144" s="2525"/>
      <c r="D144" s="2230" t="s">
        <v>1335</v>
      </c>
      <c r="E144" s="2230" t="s">
        <v>1395</v>
      </c>
      <c r="F144" s="2230" t="s">
        <v>209</v>
      </c>
      <c r="G144" s="2230">
        <v>1</v>
      </c>
      <c r="H144" s="575"/>
      <c r="I144" s="575">
        <f>6248896+719567</f>
        <v>6968463</v>
      </c>
      <c r="J144" s="867"/>
      <c r="K144" s="867"/>
      <c r="L144" s="676">
        <f t="shared" si="26"/>
        <v>6968463</v>
      </c>
      <c r="M144" s="867"/>
      <c r="N144" s="867"/>
      <c r="O144" s="676"/>
      <c r="P144" s="676"/>
      <c r="Q144" s="676">
        <f t="shared" si="25"/>
        <v>6968463</v>
      </c>
      <c r="R144"/>
      <c r="S144"/>
      <c r="T144"/>
      <c r="U144"/>
      <c r="V144"/>
      <c r="W144"/>
      <c r="X144"/>
      <c r="Y144"/>
      <c r="Z144"/>
      <c r="AA144"/>
      <c r="AB144"/>
      <c r="AC144"/>
      <c r="AD144"/>
      <c r="AE144"/>
      <c r="AF144"/>
    </row>
    <row r="145" spans="1:32" s="508" customFormat="1" ht="48" customHeight="1">
      <c r="B145" s="1427"/>
      <c r="C145" s="1182" t="s">
        <v>645</v>
      </c>
      <c r="D145" s="1184" t="s">
        <v>557</v>
      </c>
      <c r="E145" s="1578" t="s">
        <v>1409</v>
      </c>
      <c r="F145" s="576" t="s">
        <v>209</v>
      </c>
      <c r="G145" s="332">
        <v>1</v>
      </c>
      <c r="H145" s="2230"/>
      <c r="I145" s="867"/>
      <c r="J145" s="867"/>
      <c r="K145" s="867"/>
      <c r="L145" s="676">
        <f t="shared" ref="L145:L152" si="27">SUM(I145:K145)</f>
        <v>0</v>
      </c>
      <c r="M145" s="867"/>
      <c r="N145" s="867">
        <f>15000000-5100560</f>
        <v>9899440</v>
      </c>
      <c r="O145" s="676">
        <f>SUM(N145:N145)</f>
        <v>9899440</v>
      </c>
      <c r="P145" s="676"/>
      <c r="Q145" s="676">
        <f t="shared" si="25"/>
        <v>9899440</v>
      </c>
      <c r="R145"/>
      <c r="S145"/>
      <c r="T145"/>
      <c r="U145"/>
      <c r="V145"/>
      <c r="W145"/>
      <c r="X145"/>
      <c r="Y145"/>
      <c r="Z145"/>
      <c r="AA145"/>
      <c r="AB145"/>
      <c r="AC145"/>
      <c r="AD145"/>
      <c r="AE145"/>
      <c r="AF145"/>
    </row>
    <row r="146" spans="1:32" s="508" customFormat="1" ht="48" customHeight="1">
      <c r="B146" s="1427"/>
      <c r="C146" s="1182" t="s">
        <v>1410</v>
      </c>
      <c r="D146" s="1184" t="s">
        <v>557</v>
      </c>
      <c r="E146" s="1578" t="s">
        <v>736</v>
      </c>
      <c r="F146" s="576" t="s">
        <v>209</v>
      </c>
      <c r="G146" s="332">
        <v>2</v>
      </c>
      <c r="H146" s="2230"/>
      <c r="I146" s="867"/>
      <c r="J146" s="867"/>
      <c r="K146" s="867"/>
      <c r="L146" s="676">
        <f t="shared" si="27"/>
        <v>0</v>
      </c>
      <c r="M146" s="867"/>
      <c r="N146" s="867">
        <v>909624</v>
      </c>
      <c r="O146" s="676">
        <f>SUM(N146:N146)</f>
        <v>909624</v>
      </c>
      <c r="P146" s="676"/>
      <c r="Q146" s="676">
        <f t="shared" si="25"/>
        <v>909624</v>
      </c>
      <c r="R146"/>
      <c r="S146"/>
      <c r="T146"/>
      <c r="U146"/>
      <c r="V146"/>
      <c r="W146"/>
      <c r="X146"/>
      <c r="Y146"/>
      <c r="Z146"/>
      <c r="AA146"/>
      <c r="AB146"/>
      <c r="AC146"/>
      <c r="AD146"/>
      <c r="AE146"/>
      <c r="AF146"/>
    </row>
    <row r="147" spans="1:32" s="508" customFormat="1" ht="23.25" customHeight="1">
      <c r="B147" s="1427"/>
      <c r="C147" s="1182" t="s">
        <v>646</v>
      </c>
      <c r="D147" s="576" t="s">
        <v>568</v>
      </c>
      <c r="E147" s="1578">
        <v>63391</v>
      </c>
      <c r="F147" s="576" t="s">
        <v>209</v>
      </c>
      <c r="G147" s="332">
        <v>1</v>
      </c>
      <c r="H147" s="2230"/>
      <c r="I147" s="867"/>
      <c r="J147" s="867"/>
      <c r="K147" s="867"/>
      <c r="L147" s="676">
        <f t="shared" si="27"/>
        <v>0</v>
      </c>
      <c r="M147" s="867">
        <f>12048000+5230-283901</f>
        <v>11769329</v>
      </c>
      <c r="N147" s="867"/>
      <c r="O147" s="676">
        <f t="shared" ref="O147:O152" si="28">SUM(M147:N147)</f>
        <v>11769329</v>
      </c>
      <c r="P147" s="676"/>
      <c r="Q147" s="676">
        <f t="shared" si="25"/>
        <v>11769329</v>
      </c>
      <c r="R147" s="1550"/>
      <c r="S147"/>
      <c r="T147"/>
      <c r="U147"/>
      <c r="V147"/>
      <c r="W147"/>
      <c r="X147"/>
      <c r="Y147"/>
      <c r="Z147"/>
      <c r="AA147"/>
      <c r="AB147"/>
      <c r="AC147"/>
      <c r="AD147"/>
      <c r="AE147"/>
      <c r="AF147"/>
    </row>
    <row r="148" spans="1:32" s="508" customFormat="1" ht="23.25" customHeight="1">
      <c r="B148" s="1427"/>
      <c r="C148" s="1189" t="s">
        <v>1392</v>
      </c>
      <c r="D148" s="576" t="s">
        <v>729</v>
      </c>
      <c r="E148" s="1578">
        <v>62165</v>
      </c>
      <c r="F148" s="576" t="s">
        <v>209</v>
      </c>
      <c r="G148" s="332">
        <v>1</v>
      </c>
      <c r="H148" s="2230"/>
      <c r="I148" s="867">
        <f>1451000.2-226622.2</f>
        <v>1224378</v>
      </c>
      <c r="J148" s="867"/>
      <c r="K148" s="1186">
        <f>14151220-14151220</f>
        <v>0</v>
      </c>
      <c r="L148" s="676">
        <f t="shared" si="27"/>
        <v>1224378</v>
      </c>
      <c r="M148" s="867">
        <f>6000000+1040330+841170.4</f>
        <v>7881500.4000000004</v>
      </c>
      <c r="N148" s="867"/>
      <c r="O148" s="676">
        <f t="shared" si="28"/>
        <v>7881500.4000000004</v>
      </c>
      <c r="P148" s="676"/>
      <c r="Q148" s="676">
        <f t="shared" si="25"/>
        <v>9105878.4000000004</v>
      </c>
      <c r="R148"/>
      <c r="S148"/>
      <c r="T148"/>
      <c r="U148"/>
      <c r="V148"/>
      <c r="W148"/>
      <c r="X148"/>
      <c r="Y148"/>
      <c r="Z148"/>
      <c r="AA148"/>
      <c r="AB148"/>
      <c r="AC148"/>
      <c r="AD148"/>
      <c r="AE148"/>
      <c r="AF148"/>
    </row>
    <row r="149" spans="1:32" s="508" customFormat="1" ht="23.25" customHeight="1">
      <c r="B149" s="1427"/>
      <c r="C149" s="1189" t="s">
        <v>1392</v>
      </c>
      <c r="D149" s="576" t="s">
        <v>1335</v>
      </c>
      <c r="E149" s="1578">
        <v>62165</v>
      </c>
      <c r="F149" s="576" t="s">
        <v>209</v>
      </c>
      <c r="G149" s="332">
        <v>1</v>
      </c>
      <c r="H149" s="2230"/>
      <c r="I149" s="867">
        <v>50602</v>
      </c>
      <c r="J149" s="867"/>
      <c r="K149" s="1186"/>
      <c r="L149" s="676">
        <f t="shared" si="27"/>
        <v>50602</v>
      </c>
      <c r="M149" s="867"/>
      <c r="N149" s="867"/>
      <c r="O149" s="676">
        <f t="shared" si="28"/>
        <v>0</v>
      </c>
      <c r="P149" s="676"/>
      <c r="Q149" s="676">
        <f t="shared" si="25"/>
        <v>50602</v>
      </c>
      <c r="R149"/>
      <c r="S149"/>
      <c r="T149"/>
      <c r="U149"/>
      <c r="V149"/>
      <c r="W149"/>
      <c r="X149"/>
      <c r="Y149"/>
      <c r="Z149"/>
      <c r="AA149"/>
      <c r="AB149"/>
      <c r="AC149"/>
      <c r="AD149"/>
      <c r="AE149"/>
      <c r="AF149"/>
    </row>
    <row r="150" spans="1:32" s="508" customFormat="1" ht="23.25" customHeight="1">
      <c r="B150" s="1427"/>
      <c r="C150" s="1189" t="s">
        <v>1392</v>
      </c>
      <c r="D150" s="576" t="s">
        <v>1335</v>
      </c>
      <c r="E150" s="1578">
        <v>62165</v>
      </c>
      <c r="F150" s="576" t="s">
        <v>209</v>
      </c>
      <c r="G150" s="332">
        <v>1</v>
      </c>
      <c r="H150" s="2230"/>
      <c r="I150" s="867">
        <v>217064.8</v>
      </c>
      <c r="J150" s="867"/>
      <c r="K150" s="1186"/>
      <c r="L150" s="676">
        <f t="shared" si="27"/>
        <v>217064.8</v>
      </c>
      <c r="M150" s="867"/>
      <c r="N150" s="867"/>
      <c r="O150" s="676">
        <f t="shared" si="28"/>
        <v>0</v>
      </c>
      <c r="P150" s="676"/>
      <c r="Q150" s="676">
        <f t="shared" si="25"/>
        <v>217064.8</v>
      </c>
      <c r="R150"/>
      <c r="S150"/>
      <c r="T150"/>
      <c r="U150"/>
      <c r="V150"/>
      <c r="W150"/>
      <c r="X150"/>
      <c r="Y150"/>
      <c r="Z150"/>
      <c r="AA150"/>
      <c r="AB150"/>
      <c r="AC150"/>
      <c r="AD150"/>
      <c r="AE150"/>
      <c r="AF150"/>
    </row>
    <row r="151" spans="1:32" s="508" customFormat="1" ht="26.25" customHeight="1">
      <c r="B151" s="1427"/>
      <c r="C151" s="1189" t="s">
        <v>1208</v>
      </c>
      <c r="D151" s="2234" t="s">
        <v>1207</v>
      </c>
      <c r="E151" s="1579">
        <v>54590</v>
      </c>
      <c r="F151" s="576" t="s">
        <v>209</v>
      </c>
      <c r="G151" s="332"/>
      <c r="H151" s="2230"/>
      <c r="I151" s="867"/>
      <c r="J151" s="867"/>
      <c r="K151" s="1560">
        <f>16170343-70</f>
        <v>16170273</v>
      </c>
      <c r="L151" s="676">
        <f t="shared" si="27"/>
        <v>16170273</v>
      </c>
      <c r="M151" s="867"/>
      <c r="N151" s="867"/>
      <c r="O151" s="676">
        <f t="shared" si="28"/>
        <v>0</v>
      </c>
      <c r="P151" s="676"/>
      <c r="Q151" s="676">
        <f t="shared" si="25"/>
        <v>16170273</v>
      </c>
      <c r="R151"/>
      <c r="S151"/>
      <c r="T151"/>
      <c r="U151"/>
      <c r="V151"/>
      <c r="W151"/>
      <c r="X151"/>
      <c r="Y151"/>
      <c r="Z151"/>
      <c r="AA151"/>
      <c r="AB151"/>
      <c r="AC151"/>
      <c r="AD151"/>
      <c r="AE151"/>
      <c r="AF151"/>
    </row>
    <row r="152" spans="1:32" s="508" customFormat="1" ht="31.5" customHeight="1">
      <c r="B152" s="1427"/>
      <c r="C152" s="1189" t="s">
        <v>1209</v>
      </c>
      <c r="D152" s="2234" t="s">
        <v>235</v>
      </c>
      <c r="E152" s="222">
        <v>83990</v>
      </c>
      <c r="F152" s="576" t="s">
        <v>209</v>
      </c>
      <c r="G152" s="332"/>
      <c r="H152" s="2230"/>
      <c r="I152" s="867"/>
      <c r="J152" s="867"/>
      <c r="K152" s="1561">
        <v>3649777</v>
      </c>
      <c r="L152" s="676">
        <f t="shared" si="27"/>
        <v>3649777</v>
      </c>
      <c r="M152" s="867"/>
      <c r="N152" s="867"/>
      <c r="O152" s="676">
        <f t="shared" si="28"/>
        <v>0</v>
      </c>
      <c r="P152" s="676"/>
      <c r="Q152" s="676">
        <f t="shared" si="25"/>
        <v>3649777</v>
      </c>
      <c r="R152"/>
      <c r="S152"/>
      <c r="T152"/>
      <c r="U152"/>
      <c r="V152"/>
      <c r="W152"/>
      <c r="X152"/>
      <c r="Y152"/>
      <c r="Z152"/>
      <c r="AA152"/>
      <c r="AB152"/>
      <c r="AC152"/>
      <c r="AD152"/>
      <c r="AE152"/>
      <c r="AF152"/>
    </row>
    <row r="153" spans="1:32" s="508" customFormat="1" ht="23.25" customHeight="1">
      <c r="B153" s="1427"/>
      <c r="C153" s="1189" t="s">
        <v>647</v>
      </c>
      <c r="D153" s="576" t="s">
        <v>235</v>
      </c>
      <c r="E153" s="1578">
        <v>83931</v>
      </c>
      <c r="F153" s="576" t="s">
        <v>209</v>
      </c>
      <c r="G153" s="332">
        <v>1</v>
      </c>
      <c r="H153" s="2230"/>
      <c r="I153" s="867"/>
      <c r="J153" s="867"/>
      <c r="K153" s="867"/>
      <c r="L153" s="676">
        <f t="shared" ref="L153" si="29">SUM(I153:K153)</f>
        <v>0</v>
      </c>
      <c r="M153" s="867"/>
      <c r="N153" s="867">
        <f>65449965+4-(65449965+4)</f>
        <v>0</v>
      </c>
      <c r="O153" s="676">
        <f t="shared" ref="O153:O154" si="30">SUM(M153:N153)</f>
        <v>0</v>
      </c>
      <c r="P153" s="676"/>
      <c r="Q153" s="676">
        <f t="shared" si="25"/>
        <v>0</v>
      </c>
      <c r="R153"/>
      <c r="S153"/>
      <c r="T153"/>
      <c r="U153"/>
      <c r="V153"/>
      <c r="W153"/>
      <c r="X153"/>
      <c r="Y153"/>
      <c r="Z153"/>
      <c r="AA153"/>
      <c r="AB153"/>
      <c r="AC153"/>
      <c r="AD153"/>
      <c r="AE153"/>
      <c r="AF153"/>
    </row>
    <row r="154" spans="1:32" s="508" customFormat="1" ht="23.25" customHeight="1" thickBot="1">
      <c r="B154" s="1427"/>
      <c r="C154" s="1189" t="s">
        <v>1432</v>
      </c>
      <c r="D154" s="576" t="s">
        <v>235</v>
      </c>
      <c r="E154" s="1578">
        <v>83931</v>
      </c>
      <c r="F154" s="576" t="s">
        <v>209</v>
      </c>
      <c r="G154" s="332">
        <v>1</v>
      </c>
      <c r="H154" s="2230"/>
      <c r="I154" s="867"/>
      <c r="J154" s="867"/>
      <c r="K154" s="867"/>
      <c r="L154" s="676">
        <f t="shared" ref="L154" si="31">SUM(I154:K154)</f>
        <v>0</v>
      </c>
      <c r="M154" s="867"/>
      <c r="N154" s="867">
        <v>63538532</v>
      </c>
      <c r="O154" s="676">
        <f t="shared" si="30"/>
        <v>63538532</v>
      </c>
      <c r="P154" s="676"/>
      <c r="Q154" s="676">
        <f t="shared" si="25"/>
        <v>63538532</v>
      </c>
      <c r="R154"/>
      <c r="S154"/>
      <c r="T154"/>
      <c r="U154"/>
      <c r="V154"/>
      <c r="W154"/>
      <c r="X154"/>
      <c r="Y154"/>
      <c r="Z154"/>
      <c r="AA154"/>
      <c r="AB154"/>
      <c r="AC154"/>
      <c r="AD154"/>
      <c r="AE154"/>
      <c r="AF154"/>
    </row>
    <row r="155" spans="1:32" ht="45.75" customHeight="1" thickBot="1">
      <c r="A155" s="1306">
        <v>124</v>
      </c>
      <c r="B155" s="1425"/>
      <c r="C155" s="666" t="s">
        <v>36</v>
      </c>
      <c r="D155" s="634"/>
      <c r="E155" s="634"/>
      <c r="F155" s="451" t="s">
        <v>214</v>
      </c>
      <c r="G155" s="455">
        <v>25</v>
      </c>
      <c r="H155" s="455"/>
      <c r="I155" s="664">
        <f t="shared" ref="I155:O155" si="32">+I156+I163</f>
        <v>82521622.184</v>
      </c>
      <c r="J155" s="664">
        <f t="shared" si="32"/>
        <v>242203458.53599998</v>
      </c>
      <c r="K155" s="664">
        <f t="shared" si="32"/>
        <v>0</v>
      </c>
      <c r="L155" s="665">
        <f t="shared" si="32"/>
        <v>324725080.71999997</v>
      </c>
      <c r="M155" s="664">
        <f t="shared" si="32"/>
        <v>27288147.894000001</v>
      </c>
      <c r="N155" s="664">
        <f t="shared" si="32"/>
        <v>72269155</v>
      </c>
      <c r="O155" s="665">
        <f t="shared" si="32"/>
        <v>99557302.893999994</v>
      </c>
      <c r="P155" s="665"/>
      <c r="Q155" s="665">
        <f t="shared" si="25"/>
        <v>424282383.61399996</v>
      </c>
      <c r="S155"/>
      <c r="T155"/>
      <c r="U155"/>
      <c r="V155"/>
      <c r="W155"/>
      <c r="X155"/>
      <c r="Y155"/>
      <c r="Z155"/>
      <c r="AA155"/>
      <c r="AB155"/>
      <c r="AC155"/>
      <c r="AD155"/>
      <c r="AE155"/>
      <c r="AF155"/>
    </row>
    <row r="156" spans="1:32" s="345" customFormat="1" ht="51" customHeight="1">
      <c r="A156" s="1306"/>
      <c r="B156" s="1425" t="s">
        <v>1054</v>
      </c>
      <c r="C156" s="667" t="s">
        <v>221</v>
      </c>
      <c r="D156" s="629"/>
      <c r="E156" s="629"/>
      <c r="F156" s="629" t="s">
        <v>209</v>
      </c>
      <c r="G156" s="629">
        <v>1</v>
      </c>
      <c r="H156" s="629"/>
      <c r="I156" s="659">
        <f>SUM(I157:I162)</f>
        <v>82521622.184</v>
      </c>
      <c r="J156" s="659">
        <f>SUM(J157:J162)</f>
        <v>0</v>
      </c>
      <c r="K156" s="659">
        <f>SUM(K157:K162)</f>
        <v>0</v>
      </c>
      <c r="L156" s="668">
        <f>SUM(L157:L162)</f>
        <v>82521622.184</v>
      </c>
      <c r="M156" s="659"/>
      <c r="N156" s="659">
        <f>SUM(N157:N162)</f>
        <v>13177731</v>
      </c>
      <c r="O156" s="668">
        <f>SUM(O157:O162)</f>
        <v>13177731</v>
      </c>
      <c r="P156" s="668"/>
      <c r="Q156" s="668">
        <f t="shared" si="25"/>
        <v>95699353.184</v>
      </c>
      <c r="R156"/>
      <c r="S156"/>
      <c r="T156"/>
      <c r="U156"/>
      <c r="V156"/>
      <c r="W156"/>
      <c r="X156"/>
      <c r="Y156"/>
      <c r="Z156"/>
      <c r="AA156"/>
      <c r="AB156"/>
      <c r="AC156"/>
      <c r="AD156"/>
      <c r="AE156"/>
      <c r="AF156"/>
    </row>
    <row r="157" spans="1:32" s="812" customFormat="1" ht="23.25" customHeight="1">
      <c r="B157" s="1423"/>
      <c r="C157" s="1182" t="s">
        <v>648</v>
      </c>
      <c r="D157" s="576" t="s">
        <v>235</v>
      </c>
      <c r="E157" s="576">
        <v>83990</v>
      </c>
      <c r="F157" s="576" t="s">
        <v>207</v>
      </c>
      <c r="G157" s="576">
        <v>10</v>
      </c>
      <c r="H157" s="2230"/>
      <c r="I157" s="1191">
        <f>50425519.4-35616611</f>
        <v>14808908.399999999</v>
      </c>
      <c r="J157" s="575"/>
      <c r="K157" s="575"/>
      <c r="L157" s="677">
        <f>SUM(I157:K157)</f>
        <v>14808908.399999999</v>
      </c>
      <c r="M157" s="1191"/>
      <c r="N157" s="575"/>
      <c r="O157" s="677">
        <f t="shared" ref="O157:O162" si="33">SUM(M157:N157)</f>
        <v>0</v>
      </c>
      <c r="P157" s="677"/>
      <c r="Q157" s="677">
        <f t="shared" si="25"/>
        <v>14808908.399999999</v>
      </c>
      <c r="R157"/>
      <c r="S157"/>
      <c r="T157"/>
      <c r="U157"/>
      <c r="V157"/>
      <c r="W157"/>
      <c r="X157"/>
      <c r="Y157"/>
      <c r="Z157"/>
      <c r="AA157"/>
      <c r="AB157"/>
      <c r="AC157"/>
      <c r="AD157"/>
      <c r="AE157"/>
      <c r="AF157"/>
    </row>
    <row r="158" spans="1:32" s="812" customFormat="1" ht="36.75" customHeight="1">
      <c r="B158" s="1423"/>
      <c r="C158" s="1182" t="s">
        <v>649</v>
      </c>
      <c r="D158" s="576" t="s">
        <v>235</v>
      </c>
      <c r="E158" s="576">
        <v>83990</v>
      </c>
      <c r="F158" s="576" t="s">
        <v>207</v>
      </c>
      <c r="G158" s="576">
        <v>11</v>
      </c>
      <c r="H158" s="2230"/>
      <c r="I158" s="1191">
        <f>55468070.4-1168742</f>
        <v>54299328.399999999</v>
      </c>
      <c r="J158" s="575"/>
      <c r="K158" s="575"/>
      <c r="L158" s="677">
        <f>SUM(I158:K158)</f>
        <v>54299328.399999999</v>
      </c>
      <c r="M158" s="1191"/>
      <c r="N158" s="575"/>
      <c r="O158" s="677">
        <f t="shared" si="33"/>
        <v>0</v>
      </c>
      <c r="P158" s="677"/>
      <c r="Q158" s="677">
        <f t="shared" si="25"/>
        <v>54299328.399999999</v>
      </c>
      <c r="R158"/>
      <c r="S158"/>
      <c r="T158"/>
      <c r="U158"/>
      <c r="V158"/>
      <c r="W158"/>
      <c r="X158"/>
      <c r="Y158"/>
      <c r="Z158"/>
      <c r="AA158"/>
      <c r="AB158"/>
      <c r="AC158"/>
      <c r="AD158"/>
      <c r="AE158"/>
      <c r="AF158"/>
    </row>
    <row r="159" spans="1:32" s="812" customFormat="1" ht="36.75" customHeight="1">
      <c r="B159" s="1423"/>
      <c r="C159" s="1182" t="s">
        <v>1311</v>
      </c>
      <c r="D159" s="576" t="s">
        <v>235</v>
      </c>
      <c r="E159" s="576">
        <v>83991</v>
      </c>
      <c r="F159" s="576"/>
      <c r="G159" s="576">
        <v>6</v>
      </c>
      <c r="H159" s="2230"/>
      <c r="I159" s="1191">
        <v>8413385.3839999996</v>
      </c>
      <c r="J159" s="575"/>
      <c r="K159" s="575"/>
      <c r="L159" s="677">
        <f t="shared" ref="L159:L162" si="34">SUM(I159:K159)</f>
        <v>8413385.3839999996</v>
      </c>
      <c r="M159" s="1191"/>
      <c r="N159" s="575">
        <v>3137731</v>
      </c>
      <c r="O159" s="677">
        <f t="shared" si="33"/>
        <v>3137731</v>
      </c>
      <c r="P159" s="677"/>
      <c r="Q159" s="677">
        <f t="shared" si="25"/>
        <v>11551116.384</v>
      </c>
      <c r="R159"/>
      <c r="S159"/>
      <c r="T159"/>
      <c r="U159"/>
      <c r="V159"/>
      <c r="W159"/>
      <c r="X159"/>
      <c r="Y159"/>
      <c r="Z159"/>
      <c r="AA159"/>
      <c r="AB159"/>
      <c r="AC159"/>
      <c r="AD159"/>
      <c r="AE159"/>
      <c r="AF159"/>
    </row>
    <row r="160" spans="1:32" s="812" customFormat="1" ht="40.5" customHeight="1">
      <c r="B160" s="1423"/>
      <c r="C160" s="1182" t="s">
        <v>644</v>
      </c>
      <c r="D160" s="576" t="s">
        <v>235</v>
      </c>
      <c r="E160" s="576">
        <v>83990</v>
      </c>
      <c r="F160" s="576" t="s">
        <v>207</v>
      </c>
      <c r="G160" s="576">
        <v>10</v>
      </c>
      <c r="H160" s="2230"/>
      <c r="I160" s="1191">
        <f>10040000-10040000</f>
        <v>0</v>
      </c>
      <c r="J160" s="575"/>
      <c r="K160" s="575"/>
      <c r="L160" s="677">
        <f t="shared" ref="L160:L161" si="35">SUM(I160:K160)</f>
        <v>0</v>
      </c>
      <c r="M160" s="1191"/>
      <c r="N160" s="575">
        <v>10040000</v>
      </c>
      <c r="O160" s="677">
        <f t="shared" si="33"/>
        <v>10040000</v>
      </c>
      <c r="P160" s="677"/>
      <c r="Q160" s="677">
        <f t="shared" si="25"/>
        <v>10040000</v>
      </c>
      <c r="R160"/>
      <c r="S160"/>
      <c r="T160"/>
      <c r="U160"/>
      <c r="V160"/>
      <c r="W160"/>
      <c r="X160"/>
      <c r="Y160"/>
      <c r="Z160"/>
      <c r="AA160"/>
      <c r="AB160"/>
      <c r="AC160"/>
      <c r="AD160"/>
      <c r="AE160"/>
      <c r="AF160"/>
    </row>
    <row r="161" spans="1:32" s="812" customFormat="1" ht="36.75" customHeight="1">
      <c r="B161" s="1423"/>
      <c r="C161" s="1182" t="s">
        <v>1426</v>
      </c>
      <c r="D161" s="576" t="s">
        <v>235</v>
      </c>
      <c r="E161" s="576">
        <v>83990</v>
      </c>
      <c r="F161" s="576"/>
      <c r="G161" s="576"/>
      <c r="H161" s="2230"/>
      <c r="I161" s="1191">
        <v>2500000</v>
      </c>
      <c r="J161" s="575"/>
      <c r="K161" s="575"/>
      <c r="L161" s="677">
        <f t="shared" si="35"/>
        <v>2500000</v>
      </c>
      <c r="M161" s="1191"/>
      <c r="N161" s="575"/>
      <c r="O161" s="677">
        <f t="shared" si="33"/>
        <v>0</v>
      </c>
      <c r="P161" s="677"/>
      <c r="Q161" s="677">
        <f t="shared" si="25"/>
        <v>2500000</v>
      </c>
      <c r="R161"/>
      <c r="S161"/>
      <c r="T161"/>
      <c r="U161"/>
      <c r="V161"/>
      <c r="W161"/>
      <c r="X161"/>
      <c r="Y161"/>
      <c r="Z161"/>
      <c r="AA161"/>
      <c r="AB161"/>
      <c r="AC161"/>
      <c r="AD161"/>
      <c r="AE161"/>
      <c r="AF161"/>
    </row>
    <row r="162" spans="1:32" s="812" customFormat="1" ht="40.5" customHeight="1">
      <c r="B162" s="1423"/>
      <c r="C162" s="1182" t="s">
        <v>1427</v>
      </c>
      <c r="D162" s="576" t="s">
        <v>235</v>
      </c>
      <c r="E162" s="576">
        <v>83990</v>
      </c>
      <c r="F162" s="576"/>
      <c r="G162" s="576"/>
      <c r="H162" s="2230"/>
      <c r="I162" s="1191">
        <v>2500000</v>
      </c>
      <c r="J162" s="575"/>
      <c r="K162" s="575"/>
      <c r="L162" s="677">
        <f t="shared" si="34"/>
        <v>2500000</v>
      </c>
      <c r="M162" s="1191"/>
      <c r="N162" s="575"/>
      <c r="O162" s="677">
        <f t="shared" si="33"/>
        <v>0</v>
      </c>
      <c r="P162" s="677"/>
      <c r="Q162" s="677">
        <f t="shared" si="25"/>
        <v>2500000</v>
      </c>
      <c r="R162"/>
      <c r="S162"/>
      <c r="T162"/>
      <c r="U162"/>
      <c r="V162"/>
      <c r="W162"/>
      <c r="X162"/>
      <c r="Y162"/>
      <c r="Z162"/>
      <c r="AA162"/>
      <c r="AB162"/>
      <c r="AC162"/>
      <c r="AD162"/>
      <c r="AE162"/>
      <c r="AF162"/>
    </row>
    <row r="163" spans="1:32" ht="60.75" customHeight="1">
      <c r="A163" s="1306"/>
      <c r="B163" s="1425" t="s">
        <v>1023</v>
      </c>
      <c r="C163" s="670" t="s">
        <v>222</v>
      </c>
      <c r="D163" s="174"/>
      <c r="E163" s="174"/>
      <c r="F163" s="174" t="s">
        <v>209</v>
      </c>
      <c r="G163" s="174">
        <v>1</v>
      </c>
      <c r="H163" s="174"/>
      <c r="I163" s="391">
        <f>SUM(I164:I169)</f>
        <v>0</v>
      </c>
      <c r="J163" s="391">
        <f t="shared" ref="J163:K163" si="36">SUM(J164:J168)</f>
        <v>242203458.53599998</v>
      </c>
      <c r="K163" s="391">
        <f t="shared" si="36"/>
        <v>0</v>
      </c>
      <c r="L163" s="671">
        <f>SUM(L164:L169)</f>
        <v>242203458.53599998</v>
      </c>
      <c r="M163" s="391">
        <f>SUM(M164:M169)</f>
        <v>27288147.894000001</v>
      </c>
      <c r="N163" s="391">
        <f>SUM(N164:N169)</f>
        <v>59091424</v>
      </c>
      <c r="O163" s="671">
        <f>SUM(O164:O169)</f>
        <v>86379571.893999994</v>
      </c>
      <c r="P163" s="671"/>
      <c r="Q163" s="671">
        <f t="shared" si="25"/>
        <v>328583030.42999995</v>
      </c>
      <c r="S163"/>
      <c r="T163"/>
      <c r="U163"/>
      <c r="V163"/>
      <c r="W163"/>
      <c r="X163"/>
      <c r="Y163"/>
      <c r="Z163"/>
      <c r="AA163"/>
      <c r="AB163"/>
      <c r="AC163"/>
      <c r="AD163"/>
      <c r="AE163"/>
      <c r="AF163"/>
    </row>
    <row r="164" spans="1:32" s="812" customFormat="1" ht="28.5" customHeight="1">
      <c r="B164" s="1423"/>
      <c r="C164" s="1182" t="s">
        <v>619</v>
      </c>
      <c r="D164" s="357" t="s">
        <v>598</v>
      </c>
      <c r="E164" s="357"/>
      <c r="F164" s="357" t="s">
        <v>209</v>
      </c>
      <c r="G164" s="357">
        <v>5</v>
      </c>
      <c r="H164" s="2231"/>
      <c r="I164" s="512"/>
      <c r="J164" s="1562">
        <f>31496318+155797377</f>
        <v>187293695</v>
      </c>
      <c r="K164" s="1193"/>
      <c r="L164" s="678">
        <f t="shared" ref="L164:L169" si="37">SUM(I164:K164)</f>
        <v>187293695</v>
      </c>
      <c r="M164" s="512"/>
      <c r="N164" s="1562"/>
      <c r="O164" s="678">
        <f t="shared" ref="O164:O169" si="38">SUM(M164:N164)</f>
        <v>0</v>
      </c>
      <c r="P164" s="678"/>
      <c r="Q164" s="678">
        <f t="shared" si="25"/>
        <v>187293695</v>
      </c>
      <c r="R164"/>
      <c r="S164"/>
      <c r="T164"/>
      <c r="U164"/>
      <c r="V164"/>
      <c r="W164"/>
      <c r="X164"/>
      <c r="Y164"/>
      <c r="Z164"/>
      <c r="AA164"/>
      <c r="AB164"/>
      <c r="AC164"/>
      <c r="AD164"/>
      <c r="AE164"/>
      <c r="AF164"/>
    </row>
    <row r="165" spans="1:32" s="812" customFormat="1" ht="42.75" customHeight="1">
      <c r="B165" s="1423"/>
      <c r="C165" s="1182" t="s">
        <v>1217</v>
      </c>
      <c r="D165" s="357" t="s">
        <v>235</v>
      </c>
      <c r="E165" s="357">
        <v>83990</v>
      </c>
      <c r="F165" s="357" t="s">
        <v>209</v>
      </c>
      <c r="G165" s="357">
        <v>10</v>
      </c>
      <c r="H165" s="2231"/>
      <c r="I165" s="512"/>
      <c r="J165" s="575"/>
      <c r="K165" s="575"/>
      <c r="L165" s="678">
        <f t="shared" si="37"/>
        <v>0</v>
      </c>
      <c r="M165" s="512">
        <f>18729369.534+0.36</f>
        <v>18729369.894000001</v>
      </c>
      <c r="N165" s="575"/>
      <c r="O165" s="678">
        <f t="shared" si="38"/>
        <v>18729369.894000001</v>
      </c>
      <c r="P165" s="678"/>
      <c r="Q165" s="678">
        <f t="shared" si="25"/>
        <v>18729369.894000001</v>
      </c>
      <c r="R165"/>
    </row>
    <row r="166" spans="1:32" s="812" customFormat="1" ht="28.5" customHeight="1">
      <c r="B166" s="1423"/>
      <c r="C166" s="1182" t="s">
        <v>620</v>
      </c>
      <c r="D166" s="357" t="s">
        <v>585</v>
      </c>
      <c r="E166" s="357">
        <v>54342</v>
      </c>
      <c r="F166" s="357" t="s">
        <v>209</v>
      </c>
      <c r="G166" s="357">
        <v>10</v>
      </c>
      <c r="H166" s="2231"/>
      <c r="I166" s="512"/>
      <c r="J166" s="575">
        <f>56971613-2061849.46400001</f>
        <v>54909763.535999991</v>
      </c>
      <c r="K166" s="575"/>
      <c r="L166" s="678">
        <f t="shared" si="37"/>
        <v>54909763.535999991</v>
      </c>
      <c r="M166" s="512"/>
      <c r="N166" s="575"/>
      <c r="O166" s="678">
        <f t="shared" si="38"/>
        <v>0</v>
      </c>
      <c r="P166" s="678"/>
      <c r="Q166" s="678">
        <f t="shared" si="25"/>
        <v>54909763.535999991</v>
      </c>
      <c r="R166"/>
    </row>
    <row r="167" spans="1:32" s="812" customFormat="1" ht="28.5" customHeight="1">
      <c r="B167" s="1423"/>
      <c r="C167" s="1958" t="s">
        <v>621</v>
      </c>
      <c r="D167" s="1192" t="s">
        <v>235</v>
      </c>
      <c r="E167" s="1192">
        <v>83990</v>
      </c>
      <c r="F167" s="357" t="s">
        <v>209</v>
      </c>
      <c r="G167" s="357">
        <v>1</v>
      </c>
      <c r="H167" s="2231"/>
      <c r="I167" s="509"/>
      <c r="J167" s="575"/>
      <c r="K167" s="575">
        <f>5697161-5697161</f>
        <v>0</v>
      </c>
      <c r="L167" s="678">
        <f t="shared" si="37"/>
        <v>0</v>
      </c>
      <c r="M167" s="509">
        <f>5697161-206184.646400001+3067801.6464</f>
        <v>8558778</v>
      </c>
      <c r="N167" s="575"/>
      <c r="O167" s="678">
        <f t="shared" si="38"/>
        <v>8558778</v>
      </c>
      <c r="P167" s="678"/>
      <c r="Q167" s="678">
        <f t="shared" si="25"/>
        <v>8558778</v>
      </c>
      <c r="R167"/>
    </row>
    <row r="168" spans="1:32" s="812" customFormat="1" ht="28.5" customHeight="1">
      <c r="B168" s="1423"/>
      <c r="C168" s="1958" t="s">
        <v>650</v>
      </c>
      <c r="D168" s="1192" t="s">
        <v>235</v>
      </c>
      <c r="E168" s="1192">
        <v>83990</v>
      </c>
      <c r="F168" s="357" t="s">
        <v>631</v>
      </c>
      <c r="G168" s="357">
        <v>1</v>
      </c>
      <c r="H168" s="2231"/>
      <c r="I168" s="509"/>
      <c r="J168" s="866"/>
      <c r="K168" s="575"/>
      <c r="L168" s="678">
        <f t="shared" si="37"/>
        <v>0</v>
      </c>
      <c r="M168" s="509"/>
      <c r="N168" s="866">
        <f>60000000-908576</f>
        <v>59091424</v>
      </c>
      <c r="O168" s="678">
        <f t="shared" si="38"/>
        <v>59091424</v>
      </c>
      <c r="P168" s="678"/>
      <c r="Q168" s="678">
        <f t="shared" si="25"/>
        <v>59091424</v>
      </c>
      <c r="R168"/>
    </row>
    <row r="169" spans="1:32" s="812" customFormat="1" ht="28.5" customHeight="1" thickBot="1">
      <c r="B169" s="1423"/>
      <c r="C169" s="2150" t="s">
        <v>1377</v>
      </c>
      <c r="D169" s="2133" t="s">
        <v>235</v>
      </c>
      <c r="E169" s="2133">
        <v>83990</v>
      </c>
      <c r="F169" s="2134" t="s">
        <v>209</v>
      </c>
      <c r="G169" s="2134">
        <v>1</v>
      </c>
      <c r="H169" s="2235"/>
      <c r="I169" s="2135">
        <f>44762336-44762336</f>
        <v>0</v>
      </c>
      <c r="J169" s="2136"/>
      <c r="K169" s="2137"/>
      <c r="L169" s="678">
        <f t="shared" si="37"/>
        <v>0</v>
      </c>
      <c r="M169" s="2135"/>
      <c r="N169" s="2136"/>
      <c r="O169" s="678">
        <f t="shared" si="38"/>
        <v>0</v>
      </c>
      <c r="P169" s="2138"/>
      <c r="Q169" s="678">
        <f t="shared" si="25"/>
        <v>0</v>
      </c>
      <c r="R169"/>
    </row>
    <row r="170" spans="1:32" s="345" customFormat="1" ht="42.75" customHeight="1" thickBot="1">
      <c r="A170" s="1306">
        <v>125</v>
      </c>
      <c r="B170" s="1425"/>
      <c r="C170" s="666" t="s">
        <v>37</v>
      </c>
      <c r="D170" s="634"/>
      <c r="E170" s="634"/>
      <c r="F170" s="451" t="s">
        <v>214</v>
      </c>
      <c r="G170" s="455">
        <v>100</v>
      </c>
      <c r="H170" s="455"/>
      <c r="I170" s="664">
        <f t="shared" ref="I170:O170" si="39">+I171+I178</f>
        <v>209339037.23999998</v>
      </c>
      <c r="J170" s="664">
        <f t="shared" si="39"/>
        <v>0</v>
      </c>
      <c r="K170" s="664">
        <f t="shared" si="39"/>
        <v>0</v>
      </c>
      <c r="L170" s="665">
        <f t="shared" si="39"/>
        <v>209339037.23999998</v>
      </c>
      <c r="M170" s="664">
        <f t="shared" si="39"/>
        <v>49443571</v>
      </c>
      <c r="N170" s="664">
        <f t="shared" si="39"/>
        <v>37022269.079999998</v>
      </c>
      <c r="O170" s="665">
        <f t="shared" si="39"/>
        <v>86465840.079999998</v>
      </c>
      <c r="P170" s="665"/>
      <c r="Q170" s="665">
        <f t="shared" si="25"/>
        <v>295804877.31999999</v>
      </c>
      <c r="R170"/>
    </row>
    <row r="171" spans="1:32" s="345" customFormat="1" ht="37.5" customHeight="1">
      <c r="A171" s="1306"/>
      <c r="B171" s="1425" t="s">
        <v>1055</v>
      </c>
      <c r="C171" s="667" t="s">
        <v>223</v>
      </c>
      <c r="D171" s="629"/>
      <c r="E171" s="629"/>
      <c r="F171" s="629" t="s">
        <v>209</v>
      </c>
      <c r="G171" s="629">
        <v>1</v>
      </c>
      <c r="H171" s="629"/>
      <c r="I171" s="1181">
        <f>SUM(I172:I177)</f>
        <v>189179037.23999998</v>
      </c>
      <c r="J171" s="659">
        <f>SUM(J172:J177)</f>
        <v>0</v>
      </c>
      <c r="K171" s="659">
        <f>SUM(K172:K177)</f>
        <v>0</v>
      </c>
      <c r="L171" s="668">
        <f>SUM(L172:L177)</f>
        <v>189179037.23999998</v>
      </c>
      <c r="M171" s="1181"/>
      <c r="N171" s="659">
        <f>SUM(N172:N177)</f>
        <v>37022269.079999998</v>
      </c>
      <c r="O171" s="668">
        <f>SUM(O172:O177)</f>
        <v>37022269.079999998</v>
      </c>
      <c r="P171" s="668"/>
      <c r="Q171" s="668">
        <f t="shared" si="25"/>
        <v>226201306.31999999</v>
      </c>
      <c r="R171"/>
    </row>
    <row r="172" spans="1:32" s="812" customFormat="1" ht="36" customHeight="1">
      <c r="B172" s="1423"/>
      <c r="C172" s="1182" t="s">
        <v>651</v>
      </c>
      <c r="D172" s="357" t="s">
        <v>235</v>
      </c>
      <c r="E172" s="357">
        <v>83990</v>
      </c>
      <c r="F172" s="357" t="s">
        <v>207</v>
      </c>
      <c r="G172" s="357">
        <v>11</v>
      </c>
      <c r="H172" s="2231"/>
      <c r="I172" s="1183">
        <f>55468070.4-1168742</f>
        <v>54299328.399999999</v>
      </c>
      <c r="J172" s="2231"/>
      <c r="K172" s="2231"/>
      <c r="L172" s="677">
        <f t="shared" ref="L172:L177" si="40">SUM(I172:K172)</f>
        <v>54299328.399999999</v>
      </c>
      <c r="M172" s="1183"/>
      <c r="N172" s="2231"/>
      <c r="O172" s="679">
        <f t="shared" ref="O172:O177" si="41">SUM(M172:N172)</f>
        <v>0</v>
      </c>
      <c r="P172" s="679"/>
      <c r="Q172" s="679">
        <f t="shared" si="25"/>
        <v>54299328.399999999</v>
      </c>
      <c r="R172"/>
      <c r="S172" s="1555"/>
    </row>
    <row r="173" spans="1:32" s="510" customFormat="1" ht="36" customHeight="1">
      <c r="B173" s="1426"/>
      <c r="C173" s="1182" t="s">
        <v>652</v>
      </c>
      <c r="D173" s="357" t="s">
        <v>235</v>
      </c>
      <c r="E173" s="357">
        <v>83990</v>
      </c>
      <c r="F173" s="357" t="s">
        <v>207</v>
      </c>
      <c r="G173" s="357">
        <v>11</v>
      </c>
      <c r="H173" s="2231"/>
      <c r="I173" s="1183">
        <f>55468070.2-1168742</f>
        <v>54299328.200000003</v>
      </c>
      <c r="J173" s="2231"/>
      <c r="K173" s="2231"/>
      <c r="L173" s="677">
        <f t="shared" si="40"/>
        <v>54299328.200000003</v>
      </c>
      <c r="M173" s="1183"/>
      <c r="N173" s="2231"/>
      <c r="O173" s="679">
        <f t="shared" si="41"/>
        <v>0</v>
      </c>
      <c r="P173" s="679"/>
      <c r="Q173" s="679">
        <f t="shared" si="25"/>
        <v>54299328.200000003</v>
      </c>
      <c r="R173"/>
      <c r="S173" s="1556"/>
    </row>
    <row r="174" spans="1:32" s="510" customFormat="1" ht="36" customHeight="1">
      <c r="B174" s="1426"/>
      <c r="C174" s="1182" t="s">
        <v>1312</v>
      </c>
      <c r="D174" s="357" t="s">
        <v>235</v>
      </c>
      <c r="E174" s="357">
        <v>83990</v>
      </c>
      <c r="F174" s="357" t="s">
        <v>207</v>
      </c>
      <c r="G174" s="357">
        <v>7.5</v>
      </c>
      <c r="H174" s="2231"/>
      <c r="I174" s="1183"/>
      <c r="J174" s="2231"/>
      <c r="K174" s="2231"/>
      <c r="L174" s="677">
        <f t="shared" si="40"/>
        <v>0</v>
      </c>
      <c r="M174" s="1183"/>
      <c r="N174" s="2231">
        <v>37022269.079999998</v>
      </c>
      <c r="O174" s="679">
        <f t="shared" si="41"/>
        <v>37022269.079999998</v>
      </c>
      <c r="P174" s="679"/>
      <c r="Q174" s="679">
        <f t="shared" si="25"/>
        <v>37022269.079999998</v>
      </c>
      <c r="R174"/>
      <c r="S174" s="1556"/>
    </row>
    <row r="175" spans="1:32" s="510" customFormat="1" ht="36" customHeight="1">
      <c r="B175" s="1426"/>
      <c r="C175" s="1182" t="s">
        <v>653</v>
      </c>
      <c r="D175" s="357" t="s">
        <v>235</v>
      </c>
      <c r="E175" s="357">
        <v>83990</v>
      </c>
      <c r="F175" s="357" t="s">
        <v>207</v>
      </c>
      <c r="G175" s="357">
        <v>8</v>
      </c>
      <c r="H175" s="2231"/>
      <c r="I175" s="1183"/>
      <c r="J175" s="2231"/>
      <c r="K175" s="2231"/>
      <c r="L175" s="677">
        <f t="shared" si="40"/>
        <v>0</v>
      </c>
      <c r="M175" s="1183"/>
      <c r="N175" s="2231">
        <f>40160000-40160000</f>
        <v>0</v>
      </c>
      <c r="O175" s="679">
        <f t="shared" si="41"/>
        <v>0</v>
      </c>
      <c r="P175" s="679"/>
      <c r="Q175" s="679">
        <f t="shared" si="25"/>
        <v>0</v>
      </c>
      <c r="R175"/>
    </row>
    <row r="176" spans="1:32" s="510" customFormat="1" ht="36" customHeight="1">
      <c r="B176" s="1426"/>
      <c r="C176" s="1182" t="s">
        <v>653</v>
      </c>
      <c r="D176" s="357" t="s">
        <v>235</v>
      </c>
      <c r="E176" s="357">
        <v>83990</v>
      </c>
      <c r="F176" s="357" t="s">
        <v>207</v>
      </c>
      <c r="G176" s="357">
        <v>10</v>
      </c>
      <c r="H176" s="2231"/>
      <c r="I176" s="1183">
        <f>25212759.4-100449.16</f>
        <v>25112310.239999998</v>
      </c>
      <c r="J176" s="577"/>
      <c r="K176" s="2231"/>
      <c r="L176" s="677">
        <f t="shared" si="40"/>
        <v>25112310.239999998</v>
      </c>
      <c r="M176" s="1183"/>
      <c r="N176" s="2231"/>
      <c r="O176" s="679">
        <f t="shared" si="41"/>
        <v>0</v>
      </c>
      <c r="P176" s="679"/>
      <c r="Q176" s="679">
        <f t="shared" si="25"/>
        <v>25112310.239999998</v>
      </c>
      <c r="R176"/>
    </row>
    <row r="177" spans="1:18" s="812" customFormat="1" ht="36" customHeight="1">
      <c r="B177" s="1423"/>
      <c r="C177" s="1194" t="s">
        <v>654</v>
      </c>
      <c r="D177" s="357" t="s">
        <v>235</v>
      </c>
      <c r="E177" s="357">
        <v>83990</v>
      </c>
      <c r="F177" s="357" t="s">
        <v>207</v>
      </c>
      <c r="G177" s="357">
        <v>11</v>
      </c>
      <c r="H177" s="2231"/>
      <c r="I177" s="1183">
        <v>55468070.399999999</v>
      </c>
      <c r="J177" s="2231"/>
      <c r="K177" s="512"/>
      <c r="L177" s="677">
        <f t="shared" si="40"/>
        <v>55468070.399999999</v>
      </c>
      <c r="M177" s="1183"/>
      <c r="N177" s="2231"/>
      <c r="O177" s="679">
        <f t="shared" si="41"/>
        <v>0</v>
      </c>
      <c r="P177" s="679"/>
      <c r="Q177" s="679">
        <f t="shared" si="25"/>
        <v>55468070.399999999</v>
      </c>
      <c r="R177"/>
    </row>
    <row r="178" spans="1:18" s="345" customFormat="1" ht="37.5" customHeight="1">
      <c r="A178" s="1306"/>
      <c r="B178" s="1425" t="s">
        <v>1056</v>
      </c>
      <c r="C178" s="670" t="s">
        <v>224</v>
      </c>
      <c r="D178" s="174"/>
      <c r="E178" s="174"/>
      <c r="F178" s="174" t="s">
        <v>209</v>
      </c>
      <c r="G178" s="174">
        <v>1</v>
      </c>
      <c r="H178" s="174"/>
      <c r="I178" s="391">
        <f t="shared" ref="I178:O178" si="42">SUM(I179:I180)</f>
        <v>20160000</v>
      </c>
      <c r="J178" s="391">
        <f t="shared" si="42"/>
        <v>0</v>
      </c>
      <c r="K178" s="391">
        <f t="shared" si="42"/>
        <v>0</v>
      </c>
      <c r="L178" s="671">
        <f t="shared" si="42"/>
        <v>20160000</v>
      </c>
      <c r="M178" s="391">
        <f>SUM(M179:M180)</f>
        <v>49443571</v>
      </c>
      <c r="N178" s="391">
        <f t="shared" si="42"/>
        <v>0</v>
      </c>
      <c r="O178" s="671">
        <f t="shared" si="42"/>
        <v>49443571</v>
      </c>
      <c r="P178" s="671"/>
      <c r="Q178" s="671">
        <f t="shared" si="25"/>
        <v>69603571</v>
      </c>
      <c r="R178"/>
    </row>
    <row r="179" spans="1:18" s="508" customFormat="1" ht="30.75" customHeight="1">
      <c r="B179" s="1427"/>
      <c r="C179" s="1182" t="s">
        <v>655</v>
      </c>
      <c r="D179" s="357" t="s">
        <v>235</v>
      </c>
      <c r="E179" s="576"/>
      <c r="F179" s="576" t="s">
        <v>209</v>
      </c>
      <c r="G179" s="576">
        <v>1</v>
      </c>
      <c r="H179" s="2079"/>
      <c r="I179" s="576">
        <v>20160000</v>
      </c>
      <c r="J179" s="575"/>
      <c r="K179" s="872"/>
      <c r="L179" s="873">
        <f t="shared" ref="L179:L180" si="43">SUM(I179:K179)</f>
        <v>20160000</v>
      </c>
      <c r="M179" s="576">
        <v>20000000</v>
      </c>
      <c r="N179" s="575"/>
      <c r="O179" s="873">
        <f t="shared" ref="O179:O180" si="44">SUM(M179:N179)</f>
        <v>20000000</v>
      </c>
      <c r="P179" s="873"/>
      <c r="Q179" s="873">
        <f t="shared" si="25"/>
        <v>40160000</v>
      </c>
      <c r="R179"/>
    </row>
    <row r="180" spans="1:18" s="508" customFormat="1" ht="33.75" customHeight="1" thickBot="1">
      <c r="B180" s="1427"/>
      <c r="C180" s="1182" t="s">
        <v>656</v>
      </c>
      <c r="D180" s="576" t="s">
        <v>1198</v>
      </c>
      <c r="E180" s="576" t="s">
        <v>1328</v>
      </c>
      <c r="F180" s="576" t="s">
        <v>209</v>
      </c>
      <c r="G180" s="576">
        <v>1</v>
      </c>
      <c r="H180" s="2079"/>
      <c r="I180" s="576"/>
      <c r="J180" s="575"/>
      <c r="K180" s="872"/>
      <c r="L180" s="873">
        <f t="shared" si="43"/>
        <v>0</v>
      </c>
      <c r="M180" s="576">
        <f>50200000-10000000-10000000-756429</f>
        <v>29443571</v>
      </c>
      <c r="N180" s="575">
        <f>10000000-10000000</f>
        <v>0</v>
      </c>
      <c r="O180" s="873">
        <f t="shared" si="44"/>
        <v>29443571</v>
      </c>
      <c r="P180" s="873"/>
      <c r="Q180" s="873">
        <f t="shared" si="25"/>
        <v>29443571</v>
      </c>
      <c r="R180"/>
    </row>
    <row r="181" spans="1:18" ht="36.75" customHeight="1" thickBot="1">
      <c r="A181" s="1306">
        <v>126</v>
      </c>
      <c r="B181" s="1425"/>
      <c r="C181" s="660" t="s">
        <v>38</v>
      </c>
      <c r="D181" s="661"/>
      <c r="E181" s="661"/>
      <c r="F181" s="438" t="s">
        <v>209</v>
      </c>
      <c r="G181" s="457">
        <v>1</v>
      </c>
      <c r="H181" s="457"/>
      <c r="I181" s="662">
        <f>+I182+I184+I187</f>
        <v>0</v>
      </c>
      <c r="J181" s="662">
        <f>+J182+J184+J187</f>
        <v>0</v>
      </c>
      <c r="K181" s="662">
        <f>+K182+K184+K187</f>
        <v>218706742</v>
      </c>
      <c r="L181" s="663">
        <f>+L182+L184+L187</f>
        <v>218706742</v>
      </c>
      <c r="M181" s="1738"/>
      <c r="N181" s="662"/>
      <c r="O181" s="663">
        <f>+O182+O184+O187</f>
        <v>0</v>
      </c>
      <c r="P181" s="1749"/>
      <c r="Q181" s="1752">
        <f t="shared" si="25"/>
        <v>218706742</v>
      </c>
    </row>
    <row r="182" spans="1:18" ht="23.25" customHeight="1">
      <c r="A182" s="1306"/>
      <c r="B182" s="1425" t="s">
        <v>1057</v>
      </c>
      <c r="C182" s="667" t="s">
        <v>225</v>
      </c>
      <c r="D182" s="629"/>
      <c r="E182" s="629"/>
      <c r="F182" s="629" t="s">
        <v>209</v>
      </c>
      <c r="G182" s="629">
        <v>1</v>
      </c>
      <c r="H182" s="629"/>
      <c r="I182" s="392">
        <f>+I183</f>
        <v>0</v>
      </c>
      <c r="J182" s="392">
        <f>+J183</f>
        <v>0</v>
      </c>
      <c r="K182" s="392">
        <f>+K183</f>
        <v>21183567</v>
      </c>
      <c r="L182" s="1743">
        <f>+L183</f>
        <v>21183567</v>
      </c>
      <c r="M182" s="1739"/>
      <c r="N182" s="392"/>
      <c r="O182" s="1743">
        <f>+O183</f>
        <v>0</v>
      </c>
      <c r="P182" s="1750"/>
      <c r="Q182" s="1753">
        <f t="shared" si="25"/>
        <v>21183567</v>
      </c>
    </row>
    <row r="183" spans="1:18" s="508" customFormat="1" ht="23.25" customHeight="1">
      <c r="B183" s="1427"/>
      <c r="C183" s="567" t="s">
        <v>657</v>
      </c>
      <c r="D183" s="2230" t="s">
        <v>568</v>
      </c>
      <c r="E183" s="2230">
        <v>63391</v>
      </c>
      <c r="F183" s="2230"/>
      <c r="G183" s="2230"/>
      <c r="H183" s="2230"/>
      <c r="I183" s="2230"/>
      <c r="J183" s="575"/>
      <c r="K183" s="1476">
        <f>40000000+1183697-12758923-7241077-130</f>
        <v>21183567</v>
      </c>
      <c r="L183" s="674">
        <f>SUM(I183:K183)</f>
        <v>21183567</v>
      </c>
      <c r="M183" s="503"/>
      <c r="N183" s="2230"/>
      <c r="O183" s="674">
        <f>SUM(M183:N183)</f>
        <v>0</v>
      </c>
      <c r="P183" s="1746"/>
      <c r="Q183" s="1754">
        <f t="shared" si="25"/>
        <v>21183567</v>
      </c>
      <c r="R183"/>
    </row>
    <row r="184" spans="1:18" ht="23.25" customHeight="1">
      <c r="A184" s="1306"/>
      <c r="B184" s="1425" t="s">
        <v>1058</v>
      </c>
      <c r="C184" s="670" t="s">
        <v>226</v>
      </c>
      <c r="D184" s="174"/>
      <c r="E184" s="174"/>
      <c r="F184" s="174" t="s">
        <v>209</v>
      </c>
      <c r="G184" s="174">
        <v>1</v>
      </c>
      <c r="H184" s="174"/>
      <c r="I184" s="356">
        <f>SUM(I185:I186)</f>
        <v>0</v>
      </c>
      <c r="J184" s="392">
        <f>SUM(J185:J185)</f>
        <v>0</v>
      </c>
      <c r="K184" s="392">
        <f>SUM(K185:K185)</f>
        <v>30663455</v>
      </c>
      <c r="L184" s="1743">
        <f>SUM(L185:L186)</f>
        <v>30663455</v>
      </c>
      <c r="M184" s="1739"/>
      <c r="N184" s="392"/>
      <c r="O184" s="1743">
        <f>SUM(O185:O185)</f>
        <v>0</v>
      </c>
      <c r="P184" s="1750"/>
      <c r="Q184" s="1753">
        <f t="shared" si="25"/>
        <v>30663455</v>
      </c>
    </row>
    <row r="185" spans="1:18" s="508" customFormat="1" ht="23.25" customHeight="1">
      <c r="B185" s="1427"/>
      <c r="C185" s="1182" t="s">
        <v>658</v>
      </c>
      <c r="D185" s="576" t="s">
        <v>568</v>
      </c>
      <c r="E185" s="576" t="s">
        <v>602</v>
      </c>
      <c r="F185" s="576"/>
      <c r="G185" s="576"/>
      <c r="H185" s="576"/>
      <c r="I185" s="576"/>
      <c r="J185" s="576"/>
      <c r="K185" s="1477">
        <f>40000000+667439-10000000-3984</f>
        <v>30663455</v>
      </c>
      <c r="L185" s="674">
        <f>SUM(I185:K185)</f>
        <v>30663455</v>
      </c>
      <c r="M185" s="1740"/>
      <c r="N185" s="576"/>
      <c r="O185" s="674">
        <f>SUM(M185:N185)</f>
        <v>0</v>
      </c>
      <c r="P185" s="1746"/>
      <c r="Q185" s="1754">
        <f t="shared" si="25"/>
        <v>30663455</v>
      </c>
      <c r="R185"/>
    </row>
    <row r="186" spans="1:18" s="508" customFormat="1" ht="23.25" customHeight="1">
      <c r="B186" s="1427"/>
      <c r="C186" s="1182" t="s">
        <v>1396</v>
      </c>
      <c r="D186" s="576" t="s">
        <v>568</v>
      </c>
      <c r="E186" s="576" t="s">
        <v>602</v>
      </c>
      <c r="F186" s="576"/>
      <c r="G186" s="576"/>
      <c r="H186" s="576"/>
      <c r="I186" s="576">
        <f>20000000-20000000</f>
        <v>0</v>
      </c>
      <c r="J186" s="576"/>
      <c r="K186" s="1477"/>
      <c r="L186" s="674">
        <f>SUM(I186:K186)</f>
        <v>0</v>
      </c>
      <c r="M186" s="1740"/>
      <c r="N186" s="576"/>
      <c r="O186" s="674">
        <f>SUM(M186:N186)</f>
        <v>0</v>
      </c>
      <c r="P186" s="1746"/>
      <c r="Q186" s="1754">
        <f t="shared" si="25"/>
        <v>0</v>
      </c>
      <c r="R186"/>
    </row>
    <row r="187" spans="1:18" s="508" customFormat="1" ht="23.25" customHeight="1">
      <c r="A187" s="1306"/>
      <c r="B187" s="1425" t="s">
        <v>1059</v>
      </c>
      <c r="C187" s="1195" t="s">
        <v>659</v>
      </c>
      <c r="D187" s="1196"/>
      <c r="E187" s="1196"/>
      <c r="F187" s="1196"/>
      <c r="G187" s="1196">
        <v>1</v>
      </c>
      <c r="H187" s="1196"/>
      <c r="I187" s="1196">
        <f>+SUM(I188)</f>
        <v>0</v>
      </c>
      <c r="J187" s="1196">
        <f>+SUM(J188)</f>
        <v>0</v>
      </c>
      <c r="K187" s="1197">
        <f>+SUM(K188)</f>
        <v>166859720</v>
      </c>
      <c r="L187" s="1744">
        <f>+SUM(L188)</f>
        <v>166859720</v>
      </c>
      <c r="M187" s="1741"/>
      <c r="N187" s="1196"/>
      <c r="O187" s="1744">
        <f>+SUM(O188)</f>
        <v>0</v>
      </c>
      <c r="P187" s="1751"/>
      <c r="Q187" s="1755">
        <f t="shared" si="25"/>
        <v>166859720</v>
      </c>
      <c r="R187"/>
    </row>
    <row r="188" spans="1:18" ht="23.25" customHeight="1" thickBot="1">
      <c r="B188" s="1428"/>
      <c r="C188" s="680" t="s">
        <v>227</v>
      </c>
      <c r="D188" s="177"/>
      <c r="E188" s="393"/>
      <c r="F188" s="393"/>
      <c r="G188" s="393">
        <v>1</v>
      </c>
      <c r="H188" s="393"/>
      <c r="I188" s="393"/>
      <c r="J188" s="393"/>
      <c r="K188" s="394">
        <v>166859720</v>
      </c>
      <c r="L188" s="1745">
        <f>+SUM(I188:K188)</f>
        <v>166859720</v>
      </c>
      <c r="M188" s="1742"/>
      <c r="N188" s="393"/>
      <c r="O188" s="1745">
        <f>+SUM(M188:N188)</f>
        <v>0</v>
      </c>
      <c r="P188" s="1747"/>
      <c r="Q188" s="1756">
        <f t="shared" ref="Q188" si="45">+P188+O188+L188</f>
        <v>166859720</v>
      </c>
    </row>
    <row r="189" spans="1:18" ht="23.25" customHeight="1" thickBot="1">
      <c r="B189" s="1428"/>
      <c r="C189" s="2441" t="s">
        <v>10</v>
      </c>
      <c r="D189" s="2442"/>
      <c r="E189" s="2442"/>
      <c r="F189" s="2442"/>
      <c r="G189" s="2443"/>
      <c r="H189" s="1049"/>
      <c r="I189" s="744">
        <f>+I10+I24+I57+I62+I71+I75+I79+I155+I170+I181+I188</f>
        <v>2763887962.816</v>
      </c>
      <c r="J189" s="745">
        <f>+J10+J24+J57+J62+J71+J75+J79+J155+J170+J181+J188</f>
        <v>307952646.53600001</v>
      </c>
      <c r="K189" s="745">
        <f>+K10+K24+K57+K62+K71+K75+K79+K155+K170+K181</f>
        <v>367931186.99199998</v>
      </c>
      <c r="L189" s="746">
        <f>+L10+L24+L57+L62+L71+L75+L79+L155+L170+L181</f>
        <v>3439771796.3440003</v>
      </c>
      <c r="M189" s="745">
        <f>+M10+M24+M57+M62+M71+M75+M79+M155+M170+M181</f>
        <v>105819242.514</v>
      </c>
      <c r="N189" s="745">
        <f>+N10+N24+N57+N62+N71+N75+N79+N155+N170+N181</f>
        <v>557653506.34599996</v>
      </c>
      <c r="O189" s="746">
        <f>+O10+O24+O57+O62+O71+O75+O79+O155+O170+O181</f>
        <v>663472748.86000001</v>
      </c>
      <c r="P189" s="1748">
        <f>+P24+P62</f>
        <v>2032184753.484</v>
      </c>
      <c r="Q189" s="1591">
        <f>+Q10+Q24+Q57+Q62+Q71+Q75+Q79+Q155+Q170+Q181</f>
        <v>6135429298.6880007</v>
      </c>
    </row>
    <row r="190" spans="1:18" ht="15.75" thickBot="1">
      <c r="B190" s="1428"/>
      <c r="C190" s="390"/>
      <c r="D190" s="386"/>
      <c r="E190" s="386"/>
      <c r="F190" s="387"/>
      <c r="G190" s="387"/>
      <c r="H190" s="387"/>
      <c r="I190" s="387"/>
      <c r="J190" s="387"/>
      <c r="K190" s="387"/>
      <c r="L190" s="388"/>
      <c r="P190" s="388"/>
      <c r="Q190" s="388"/>
    </row>
    <row r="191" spans="1:18" ht="15.75" thickBot="1">
      <c r="C191" s="390"/>
      <c r="D191" s="386"/>
      <c r="E191" s="386"/>
      <c r="F191" s="387"/>
      <c r="G191" s="387"/>
      <c r="H191" s="387"/>
      <c r="I191" s="596">
        <f>2770755389-97504966+161573358-70935818</f>
        <v>2763887963</v>
      </c>
      <c r="J191" s="596">
        <v>307952647</v>
      </c>
      <c r="K191" s="596">
        <f>270426221+97504966</f>
        <v>367931187</v>
      </c>
      <c r="L191" s="596">
        <f>3349134257+161573358-70935818</f>
        <v>3439771797</v>
      </c>
      <c r="M191" s="596">
        <v>105819243</v>
      </c>
      <c r="N191" s="596">
        <f>561070201-3416695</f>
        <v>557653506</v>
      </c>
      <c r="O191" s="596">
        <f>666889445-3416695</f>
        <v>663472750</v>
      </c>
      <c r="P191" s="596">
        <v>2032184754</v>
      </c>
      <c r="Q191" s="596">
        <f>5381319011+666889445+161573358-3416695-70935818</f>
        <v>6135429301</v>
      </c>
    </row>
    <row r="192" spans="1:18">
      <c r="P192" s="396"/>
      <c r="Q192" s="396"/>
    </row>
    <row r="193" spans="3:17">
      <c r="I193" s="519">
        <f>+I189-I191</f>
        <v>-0.18400001525878906</v>
      </c>
      <c r="J193" s="519">
        <f>+J189-J191</f>
        <v>-0.46399998664855957</v>
      </c>
      <c r="K193" s="519">
        <f>+K189-K191</f>
        <v>-8.0000162124633789E-3</v>
      </c>
      <c r="L193" s="519">
        <f>+L189-L191</f>
        <v>-0.65599966049194336</v>
      </c>
      <c r="M193" s="519">
        <f t="shared" ref="M193:Q193" si="46">+M189-M191</f>
        <v>-0.48600000143051147</v>
      </c>
      <c r="N193" s="519">
        <f t="shared" si="46"/>
        <v>0.34599995613098145</v>
      </c>
      <c r="O193" s="519">
        <f t="shared" si="46"/>
        <v>-1.1399999856948853</v>
      </c>
      <c r="P193" s="519">
        <f t="shared" si="46"/>
        <v>-0.51600003242492676</v>
      </c>
      <c r="Q193" s="519">
        <f t="shared" si="46"/>
        <v>-2.3119993209838867</v>
      </c>
    </row>
    <row r="194" spans="3:17">
      <c r="C194" s="1468"/>
      <c r="P194" s="1552"/>
    </row>
    <row r="195" spans="3:17">
      <c r="I195" s="887"/>
    </row>
    <row r="196" spans="3:17">
      <c r="I196" s="887"/>
    </row>
    <row r="197" spans="3:17">
      <c r="I197" s="887"/>
    </row>
    <row r="198" spans="3:17">
      <c r="I198" s="888"/>
    </row>
    <row r="199" spans="3:17">
      <c r="I199" s="887"/>
      <c r="P199" s="1552"/>
    </row>
    <row r="200" spans="3:17">
      <c r="I200" s="889"/>
      <c r="L200" s="1492"/>
    </row>
    <row r="201" spans="3:17">
      <c r="I201" s="887"/>
    </row>
    <row r="202" spans="3:17">
      <c r="I202" s="887"/>
    </row>
    <row r="203" spans="3:17">
      <c r="I203" s="887"/>
    </row>
    <row r="220" spans="3:11">
      <c r="C220" t="s">
        <v>1142</v>
      </c>
      <c r="D220" t="s">
        <v>282</v>
      </c>
      <c r="E220" t="s">
        <v>1143</v>
      </c>
      <c r="F220" t="s">
        <v>281</v>
      </c>
      <c r="G220" t="s">
        <v>1144</v>
      </c>
      <c r="H220" t="s">
        <v>1145</v>
      </c>
      <c r="I220" t="s">
        <v>1146</v>
      </c>
      <c r="J220" t="s">
        <v>1147</v>
      </c>
      <c r="K220"/>
    </row>
    <row r="221" spans="3:11" ht="90">
      <c r="C221" s="1493" t="s">
        <v>1319</v>
      </c>
      <c r="D221" s="1493">
        <v>320201</v>
      </c>
      <c r="E221" s="1493" t="s">
        <v>33</v>
      </c>
      <c r="F221" s="1493" t="s">
        <v>446</v>
      </c>
      <c r="G221" s="1493" t="s">
        <v>1131</v>
      </c>
      <c r="H221" s="1493" t="s">
        <v>235</v>
      </c>
      <c r="I221" s="884">
        <v>1999089756</v>
      </c>
      <c r="J221" s="884">
        <v>621867048</v>
      </c>
      <c r="K221" s="1494" t="s">
        <v>1148</v>
      </c>
    </row>
    <row r="222" spans="3:11" ht="158.25" customHeight="1">
      <c r="C222" s="11" t="s">
        <v>1149</v>
      </c>
      <c r="D222" s="1493">
        <v>320201</v>
      </c>
      <c r="E222" s="11" t="s">
        <v>213</v>
      </c>
      <c r="F222" s="11" t="s">
        <v>441</v>
      </c>
      <c r="G222" s="11" t="s">
        <v>630</v>
      </c>
      <c r="H222" s="11"/>
      <c r="I222" s="1495">
        <v>33094998</v>
      </c>
      <c r="J222" s="1495"/>
      <c r="K222" s="11" t="s">
        <v>1150</v>
      </c>
    </row>
    <row r="223" spans="3:11">
      <c r="C223" s="389" t="s">
        <v>1218</v>
      </c>
      <c r="J223" s="395">
        <v>666889445</v>
      </c>
      <c r="K223" s="395">
        <v>666889445</v>
      </c>
    </row>
  </sheetData>
  <autoFilter ref="A9:AF189"/>
  <mergeCells count="29">
    <mergeCell ref="C1:C3"/>
    <mergeCell ref="P1:Q1"/>
    <mergeCell ref="P2:Q2"/>
    <mergeCell ref="P3:Q3"/>
    <mergeCell ref="P7:P9"/>
    <mergeCell ref="M8:M9"/>
    <mergeCell ref="N8:N9"/>
    <mergeCell ref="O7:O9"/>
    <mergeCell ref="M7:N7"/>
    <mergeCell ref="D1:O3"/>
    <mergeCell ref="C5:Q5"/>
    <mergeCell ref="C6:Q6"/>
    <mergeCell ref="Q7:Q9"/>
    <mergeCell ref="K8:K9"/>
    <mergeCell ref="L7:L9"/>
    <mergeCell ref="A7:A9"/>
    <mergeCell ref="B7:B9"/>
    <mergeCell ref="C189:G189"/>
    <mergeCell ref="I8:I9"/>
    <mergeCell ref="J8:J9"/>
    <mergeCell ref="G7:G9"/>
    <mergeCell ref="I7:K7"/>
    <mergeCell ref="C7:C9"/>
    <mergeCell ref="D7:D9"/>
    <mergeCell ref="E7:E9"/>
    <mergeCell ref="F7:F9"/>
    <mergeCell ref="H7:H9"/>
    <mergeCell ref="C26:C31"/>
    <mergeCell ref="C141:C144"/>
  </mergeCells>
  <pageMargins left="0.7" right="0.7" top="0.75" bottom="0.75" header="0.3" footer="0.3"/>
  <pageSetup orientation="portrait" verticalDpi="597"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7" tint="0.59999389629810485"/>
  </sheetPr>
  <dimension ref="A1:P26"/>
  <sheetViews>
    <sheetView workbookViewId="0"/>
  </sheetViews>
  <sheetFormatPr baseColWidth="10" defaultRowHeight="15"/>
  <cols>
    <col min="2" max="2" width="45.5703125" customWidth="1"/>
    <col min="3" max="3" width="11.42578125" customWidth="1"/>
    <col min="5" max="5" width="16.5703125" customWidth="1"/>
    <col min="6" max="6" width="14.5703125" customWidth="1"/>
    <col min="7" max="7" width="16.7109375" customWidth="1"/>
    <col min="8" max="8" width="17.5703125" customWidth="1"/>
    <col min="9" max="13" width="16.5703125" customWidth="1"/>
  </cols>
  <sheetData>
    <row r="1" spans="1:16">
      <c r="B1" s="2405"/>
      <c r="C1" s="2430" t="s">
        <v>542</v>
      </c>
      <c r="D1" s="2431"/>
      <c r="E1" s="2431"/>
      <c r="F1" s="2431"/>
      <c r="G1" s="2431"/>
      <c r="H1" s="2431"/>
      <c r="I1" s="2431"/>
      <c r="J1" s="2431"/>
      <c r="K1" s="2432"/>
      <c r="L1" s="2495" t="s">
        <v>539</v>
      </c>
      <c r="M1" s="2496"/>
    </row>
    <row r="2" spans="1:16">
      <c r="B2" s="2406"/>
      <c r="C2" s="2433"/>
      <c r="D2" s="2434"/>
      <c r="E2" s="2434"/>
      <c r="F2" s="2434"/>
      <c r="G2" s="2434"/>
      <c r="H2" s="2434"/>
      <c r="I2" s="2434"/>
      <c r="J2" s="2434"/>
      <c r="K2" s="2435"/>
      <c r="L2" s="2497" t="s">
        <v>540</v>
      </c>
      <c r="M2" s="2498"/>
    </row>
    <row r="3" spans="1:16" ht="15.75" thickBot="1">
      <c r="B3" s="2407"/>
      <c r="C3" s="2436"/>
      <c r="D3" s="2437"/>
      <c r="E3" s="2437"/>
      <c r="F3" s="2437"/>
      <c r="G3" s="2437"/>
      <c r="H3" s="2437"/>
      <c r="I3" s="2437"/>
      <c r="J3" s="2437"/>
      <c r="K3" s="2438"/>
      <c r="L3" s="2499" t="s">
        <v>541</v>
      </c>
      <c r="M3" s="2500"/>
    </row>
    <row r="4" spans="1:16" ht="15.75" thickBot="1">
      <c r="B4" s="1"/>
      <c r="C4" s="1"/>
      <c r="D4" s="1"/>
      <c r="E4" s="1"/>
      <c r="F4" s="1"/>
      <c r="G4" s="1"/>
      <c r="H4" s="1"/>
    </row>
    <row r="5" spans="1:16" s="1" customFormat="1" ht="15" customHeight="1" thickBot="1">
      <c r="A5"/>
      <c r="B5" s="2528" t="s">
        <v>181</v>
      </c>
      <c r="C5" s="2529"/>
      <c r="D5" s="2529"/>
      <c r="E5" s="2529"/>
      <c r="F5" s="2529"/>
      <c r="G5" s="2529"/>
      <c r="H5" s="2529"/>
      <c r="I5" s="2529"/>
      <c r="J5" s="2529"/>
      <c r="K5" s="2529"/>
      <c r="L5" s="2529"/>
      <c r="M5" s="2530"/>
      <c r="N5"/>
      <c r="O5"/>
      <c r="P5"/>
    </row>
    <row r="6" spans="1:16" s="1" customFormat="1" ht="14.25" customHeight="1" thickBot="1">
      <c r="A6"/>
      <c r="B6" s="2528" t="s">
        <v>183</v>
      </c>
      <c r="C6" s="2529"/>
      <c r="D6" s="2529"/>
      <c r="E6" s="2529"/>
      <c r="F6" s="2529"/>
      <c r="G6" s="2529"/>
      <c r="H6" s="2529"/>
      <c r="I6" s="2529"/>
      <c r="J6" s="2529"/>
      <c r="K6" s="2529"/>
      <c r="L6" s="2529"/>
      <c r="M6" s="2530"/>
      <c r="N6"/>
      <c r="O6"/>
      <c r="P6"/>
    </row>
    <row r="7" spans="1:16" ht="23.25" customHeight="1" thickBot="1">
      <c r="A7" s="2397" t="s">
        <v>383</v>
      </c>
      <c r="B7" s="2536" t="s">
        <v>197</v>
      </c>
      <c r="C7" s="2528">
        <v>2023</v>
      </c>
      <c r="D7" s="2529"/>
      <c r="E7" s="2529"/>
      <c r="F7" s="2529"/>
      <c r="G7" s="2529"/>
      <c r="H7" s="2530"/>
      <c r="I7" s="2398">
        <v>2023</v>
      </c>
      <c r="J7" s="2399"/>
      <c r="K7" s="2399"/>
      <c r="L7" s="2400"/>
      <c r="M7" s="2531" t="s">
        <v>453</v>
      </c>
    </row>
    <row r="8" spans="1:16" ht="23.25" customHeight="1" thickBot="1">
      <c r="A8" s="2397"/>
      <c r="B8" s="2536"/>
      <c r="C8" s="2414" t="s">
        <v>249</v>
      </c>
      <c r="D8" s="2397" t="s">
        <v>200</v>
      </c>
      <c r="E8" s="2528" t="s">
        <v>198</v>
      </c>
      <c r="F8" s="2529"/>
      <c r="G8" s="2529"/>
      <c r="H8" s="2537" t="s">
        <v>341</v>
      </c>
      <c r="I8" s="2493" t="s">
        <v>1213</v>
      </c>
      <c r="J8" s="2493"/>
      <c r="K8" s="2493"/>
      <c r="L8" s="2531" t="s">
        <v>341</v>
      </c>
      <c r="M8" s="2531"/>
    </row>
    <row r="9" spans="1:16" ht="34.5" customHeight="1" thickBot="1">
      <c r="A9" s="2397"/>
      <c r="B9" s="2536"/>
      <c r="C9" s="2414"/>
      <c r="D9" s="2397"/>
      <c r="E9" s="640" t="s">
        <v>201</v>
      </c>
      <c r="F9" s="640" t="s">
        <v>203</v>
      </c>
      <c r="G9" s="640" t="s">
        <v>232</v>
      </c>
      <c r="H9" s="2509"/>
      <c r="I9" s="1568" t="s">
        <v>203</v>
      </c>
      <c r="J9" s="1568" t="s">
        <v>201</v>
      </c>
      <c r="K9" s="1568" t="s">
        <v>1220</v>
      </c>
      <c r="L9" s="2531"/>
      <c r="M9" s="2532"/>
    </row>
    <row r="10" spans="1:16" ht="57.75" customHeight="1" thickBot="1">
      <c r="A10" s="202">
        <v>3202007</v>
      </c>
      <c r="B10" s="416" t="s">
        <v>271</v>
      </c>
      <c r="C10" s="411" t="s">
        <v>210</v>
      </c>
      <c r="D10" s="411">
        <v>1</v>
      </c>
      <c r="E10" s="431">
        <f>+SUM(E11:E13)</f>
        <v>249324582.73199999</v>
      </c>
      <c r="F10" s="431">
        <f>+SUM(F11:F13)</f>
        <v>192005831.83462033</v>
      </c>
      <c r="G10" s="431">
        <f>+SUM(G11:G13)</f>
        <v>53128942</v>
      </c>
      <c r="H10" s="432">
        <f>+SUM(H11:H13)</f>
        <v>494459356.56662029</v>
      </c>
      <c r="I10" s="431">
        <f>+SUM(I11:I13)</f>
        <v>32609920</v>
      </c>
      <c r="J10" s="431">
        <f t="shared" ref="J10:K10" si="0">+SUM(J11:J13)</f>
        <v>120752657</v>
      </c>
      <c r="K10" s="431">
        <f t="shared" si="0"/>
        <v>28356657</v>
      </c>
      <c r="L10" s="432">
        <f>+SUM(L11:L13)</f>
        <v>181719234</v>
      </c>
      <c r="M10" s="432">
        <f>+L10+H10</f>
        <v>676178590.56662035</v>
      </c>
    </row>
    <row r="11" spans="1:16" ht="38.25">
      <c r="B11" s="536" t="s">
        <v>272</v>
      </c>
      <c r="C11" s="524" t="s">
        <v>209</v>
      </c>
      <c r="D11" s="524">
        <f>+D10</f>
        <v>1</v>
      </c>
      <c r="E11" s="533">
        <f>+'ACCIONES 320202'!I11</f>
        <v>249324582.73199999</v>
      </c>
      <c r="F11" s="533">
        <f>+'ACCIONES 320202'!J11</f>
        <v>192005831.83462033</v>
      </c>
      <c r="G11" s="533">
        <f>+'ACCIONES 320202'!K11</f>
        <v>53128942</v>
      </c>
      <c r="H11" s="534">
        <f>+'ACCIONES 320202'!L11</f>
        <v>494459356.56662029</v>
      </c>
      <c r="I11" s="533">
        <f>+'ACCIONES 320202'!M11</f>
        <v>0</v>
      </c>
      <c r="J11" s="533">
        <f>+'ACCIONES 320202'!N11</f>
        <v>120752657</v>
      </c>
      <c r="K11" s="1757">
        <f>+'ACCIONES 320202'!O11</f>
        <v>0</v>
      </c>
      <c r="L11" s="1764">
        <f>+SUM(I11:K11)</f>
        <v>120752657</v>
      </c>
      <c r="M11" s="1766">
        <f t="shared" ref="M11:M21" si="1">+L11+H11</f>
        <v>615212013.56662035</v>
      </c>
    </row>
    <row r="12" spans="1:16" ht="25.5">
      <c r="B12" s="567" t="s">
        <v>451</v>
      </c>
      <c r="C12" s="811" t="s">
        <v>209</v>
      </c>
      <c r="D12" s="811">
        <v>1</v>
      </c>
      <c r="E12" s="25">
        <f>+'ACCIONES 320202'!I68</f>
        <v>0</v>
      </c>
      <c r="F12" s="25">
        <f>+'ACCIONES 320202'!J68</f>
        <v>0</v>
      </c>
      <c r="G12" s="25">
        <f>+'ACCIONES 320202'!K68</f>
        <v>0</v>
      </c>
      <c r="H12" s="125">
        <f>+'ACCIONES 320202'!L68</f>
        <v>0</v>
      </c>
      <c r="I12" s="25">
        <f>+'ACCIONES 320202'!M68</f>
        <v>0</v>
      </c>
      <c r="J12" s="25">
        <f>+'ACCIONES 320202'!N68</f>
        <v>0</v>
      </c>
      <c r="K12" s="1758">
        <f>+'ACCIONES 320202'!O68</f>
        <v>21500000</v>
      </c>
      <c r="L12" s="606">
        <f t="shared" ref="L12:L21" si="2">+SUM(I12:K12)</f>
        <v>21500000</v>
      </c>
      <c r="M12" s="1767">
        <f t="shared" si="1"/>
        <v>21500000</v>
      </c>
    </row>
    <row r="13" spans="1:16" ht="26.25" thickBot="1">
      <c r="B13" s="51" t="s">
        <v>452</v>
      </c>
      <c r="C13" s="127" t="s">
        <v>209</v>
      </c>
      <c r="D13" s="127">
        <v>1</v>
      </c>
      <c r="E13" s="128">
        <f>+'ACCIONES 320202'!I74</f>
        <v>0</v>
      </c>
      <c r="F13" s="128">
        <f>+'ACCIONES 320202'!J74</f>
        <v>0</v>
      </c>
      <c r="G13" s="128">
        <f>+'ACCIONES 320202'!K74</f>
        <v>0</v>
      </c>
      <c r="H13" s="535">
        <f>+'ACCIONES 320202'!L74</f>
        <v>0</v>
      </c>
      <c r="I13" s="128">
        <f>+'ACCIONES 320202'!M74</f>
        <v>32609920</v>
      </c>
      <c r="J13" s="128">
        <f>+'ACCIONES 320202'!N74</f>
        <v>0</v>
      </c>
      <c r="K13" s="1759">
        <f>+'ACCIONES 320202'!O74</f>
        <v>6856657</v>
      </c>
      <c r="L13" s="535">
        <f t="shared" si="2"/>
        <v>39466577</v>
      </c>
      <c r="M13" s="1768">
        <f t="shared" si="1"/>
        <v>39466577</v>
      </c>
    </row>
    <row r="14" spans="1:16" ht="63.75" customHeight="1" thickBot="1">
      <c r="A14" s="202">
        <v>3202012</v>
      </c>
      <c r="B14" s="428" t="s">
        <v>508</v>
      </c>
      <c r="C14" s="379" t="s">
        <v>210</v>
      </c>
      <c r="D14" s="379">
        <v>1</v>
      </c>
      <c r="E14" s="431">
        <f>+SUM(E15:E16)</f>
        <v>28735049.001575802</v>
      </c>
      <c r="F14" s="431">
        <f>+SUM(F15:F16)</f>
        <v>311570060.22769445</v>
      </c>
      <c r="G14" s="431">
        <f>+SUM(G15:G16)</f>
        <v>29138924.399999999</v>
      </c>
      <c r="H14" s="432">
        <f>+SUM(H15:H16)</f>
        <v>369444033.62927032</v>
      </c>
      <c r="I14" s="431">
        <f>+SUM(I15:I16)</f>
        <v>0</v>
      </c>
      <c r="J14" s="431">
        <f t="shared" ref="J14:K14" si="3">+SUM(J15:J16)</f>
        <v>0</v>
      </c>
      <c r="K14" s="431">
        <f t="shared" si="3"/>
        <v>8380047</v>
      </c>
      <c r="L14" s="432">
        <f>SUM(L15:L16)</f>
        <v>8380047</v>
      </c>
      <c r="M14" s="432">
        <f t="shared" si="1"/>
        <v>377824080.62927032</v>
      </c>
    </row>
    <row r="15" spans="1:16" ht="39.950000000000003" customHeight="1">
      <c r="B15" s="536" t="s">
        <v>274</v>
      </c>
      <c r="C15" s="524" t="s">
        <v>209</v>
      </c>
      <c r="D15" s="537">
        <v>1</v>
      </c>
      <c r="E15" s="538">
        <f>+'ACCIONES 320202'!I80</f>
        <v>28735049.001575802</v>
      </c>
      <c r="F15" s="538">
        <f>+'ACCIONES 320202'!J80</f>
        <v>277952375.70769447</v>
      </c>
      <c r="G15" s="538">
        <f>+'ACCIONES 320202'!K80</f>
        <v>25926124.399999999</v>
      </c>
      <c r="H15" s="539">
        <f>+'ACCIONES 320202'!L80</f>
        <v>332613549.10927033</v>
      </c>
      <c r="I15" s="538">
        <f>+'ACCIONES 320202'!M80</f>
        <v>0</v>
      </c>
      <c r="J15" s="538">
        <f>+'ACCIONES 320202'!N80</f>
        <v>0</v>
      </c>
      <c r="K15" s="538">
        <f>+'ACCIONES 320202'!O80</f>
        <v>8380047</v>
      </c>
      <c r="L15" s="534">
        <f t="shared" si="2"/>
        <v>8380047</v>
      </c>
      <c r="M15" s="1769">
        <f t="shared" si="1"/>
        <v>340993596.10927033</v>
      </c>
    </row>
    <row r="16" spans="1:16" ht="39.950000000000003" customHeight="1" thickBot="1">
      <c r="B16" s="126" t="s">
        <v>275</v>
      </c>
      <c r="C16" s="127" t="s">
        <v>209</v>
      </c>
      <c r="D16" s="191">
        <v>1</v>
      </c>
      <c r="E16" s="540">
        <f>+'ACCIONES 320202'!I97</f>
        <v>0</v>
      </c>
      <c r="F16" s="540">
        <f>+'ACCIONES 320202'!J97</f>
        <v>33617684.519999996</v>
      </c>
      <c r="G16" s="540">
        <f>+'ACCIONES 320202'!K97</f>
        <v>3212800</v>
      </c>
      <c r="H16" s="541">
        <f>+'ACCIONES 320202'!L97</f>
        <v>36830484.519999996</v>
      </c>
      <c r="I16" s="540">
        <f>+'ACCIONES 320202'!M97</f>
        <v>0</v>
      </c>
      <c r="J16" s="540">
        <f>+'ACCIONES 320202'!N97</f>
        <v>0</v>
      </c>
      <c r="K16" s="540">
        <f>+'ACCIONES 320202'!O97</f>
        <v>0</v>
      </c>
      <c r="L16" s="606">
        <f t="shared" si="2"/>
        <v>0</v>
      </c>
      <c r="M16" s="1770">
        <f t="shared" si="1"/>
        <v>36830484.519999996</v>
      </c>
    </row>
    <row r="17" spans="1:13" ht="72.75" customHeight="1" thickBot="1">
      <c r="A17" s="202">
        <v>3202040</v>
      </c>
      <c r="B17" s="528" t="s">
        <v>276</v>
      </c>
      <c r="C17" s="529" t="s">
        <v>210</v>
      </c>
      <c r="D17" s="529">
        <v>1</v>
      </c>
      <c r="E17" s="530">
        <f>+E18+E19+E20+E21</f>
        <v>1940368.2664241791</v>
      </c>
      <c r="F17" s="530">
        <f>+SUM(F18:F21)</f>
        <v>27692288.937685166</v>
      </c>
      <c r="G17" s="530">
        <f>+SUM(G18:G21)</f>
        <v>151527604.59999999</v>
      </c>
      <c r="H17" s="531">
        <f>+SUM(H18:H21)</f>
        <v>181160261.80410936</v>
      </c>
      <c r="I17" s="530">
        <f>+SUM(I18:I21)</f>
        <v>76657992.319999993</v>
      </c>
      <c r="J17" s="530">
        <f t="shared" ref="J17:K17" si="4">+SUM(J18:J21)</f>
        <v>584044</v>
      </c>
      <c r="K17" s="530">
        <f t="shared" si="4"/>
        <v>69508406</v>
      </c>
      <c r="L17" s="413">
        <f>SUM(L18:L21)</f>
        <v>146750442.31999999</v>
      </c>
      <c r="M17" s="1771">
        <f t="shared" si="1"/>
        <v>327910704.12410939</v>
      </c>
    </row>
    <row r="18" spans="1:13" ht="56.25" customHeight="1">
      <c r="B18" s="532" t="s">
        <v>277</v>
      </c>
      <c r="C18" s="524" t="s">
        <v>209</v>
      </c>
      <c r="D18" s="524">
        <v>1</v>
      </c>
      <c r="E18" s="533">
        <f>+'ACCIONES 320202'!I106</f>
        <v>0</v>
      </c>
      <c r="F18" s="533">
        <f>+'ACCIONES 320202'!J106</f>
        <v>27692288.937685166</v>
      </c>
      <c r="G18" s="533">
        <f>+'ACCIONES 320202'!K106</f>
        <v>63859154.201514795</v>
      </c>
      <c r="H18" s="534">
        <f>+'ACCIONES 320202'!L106</f>
        <v>91551443.139199957</v>
      </c>
      <c r="I18" s="533">
        <f>+'ACCIONES 320202'!M106</f>
        <v>42102752.160000004</v>
      </c>
      <c r="J18" s="533">
        <f>+'ACCIONES 320202'!N106</f>
        <v>0</v>
      </c>
      <c r="K18" s="533">
        <f>+'ACCIONES 320202'!O106</f>
        <v>0</v>
      </c>
      <c r="L18" s="1764">
        <f t="shared" si="2"/>
        <v>42102752.160000004</v>
      </c>
      <c r="M18" s="534">
        <f t="shared" si="1"/>
        <v>133654195.29919997</v>
      </c>
    </row>
    <row r="19" spans="1:13" ht="38.25">
      <c r="B19" s="26" t="s">
        <v>278</v>
      </c>
      <c r="C19" s="811" t="s">
        <v>209</v>
      </c>
      <c r="D19" s="811">
        <v>1</v>
      </c>
      <c r="E19" s="25">
        <f>+'ACCIONES 320202'!I119</f>
        <v>0</v>
      </c>
      <c r="F19" s="25">
        <f>+'ACCIONES 320202'!J119</f>
        <v>0</v>
      </c>
      <c r="G19" s="25">
        <f>+'ACCIONES 320202'!K119</f>
        <v>56056890.5</v>
      </c>
      <c r="H19" s="125">
        <f>+'ACCIONES 320202'!L119</f>
        <v>56056890.5</v>
      </c>
      <c r="I19" s="25">
        <f>+'ACCIONES 320202'!M119</f>
        <v>19696363.839999989</v>
      </c>
      <c r="J19" s="25">
        <f>+'ACCIONES 320202'!N119</f>
        <v>0</v>
      </c>
      <c r="K19" s="25">
        <f>+'ACCIONES 320202'!O119</f>
        <v>69508406</v>
      </c>
      <c r="L19" s="125">
        <f t="shared" si="2"/>
        <v>89204769.839999989</v>
      </c>
      <c r="M19" s="1767">
        <f t="shared" si="1"/>
        <v>145261660.33999997</v>
      </c>
    </row>
    <row r="20" spans="1:13" ht="39.950000000000003" customHeight="1">
      <c r="B20" s="26" t="s">
        <v>279</v>
      </c>
      <c r="C20" s="811" t="s">
        <v>209</v>
      </c>
      <c r="D20" s="811">
        <v>1</v>
      </c>
      <c r="E20" s="25">
        <f>+'ACCIONES 320202'!I124</f>
        <v>0</v>
      </c>
      <c r="F20" s="25">
        <f>+'ACCIONES 320202'!J124</f>
        <v>0</v>
      </c>
      <c r="G20" s="25">
        <f>+'ACCIONES 320202'!K124</f>
        <v>21393838.5</v>
      </c>
      <c r="H20" s="125">
        <f>+'ACCIONES 320202'!L124</f>
        <v>21393838.5</v>
      </c>
      <c r="I20" s="25">
        <f>+'ACCIONES 320202'!M124</f>
        <v>0</v>
      </c>
      <c r="J20" s="25">
        <f>+'ACCIONES 320202'!N124</f>
        <v>0</v>
      </c>
      <c r="K20" s="25">
        <f>+'ACCIONES 320202'!O124</f>
        <v>0</v>
      </c>
      <c r="L20" s="125">
        <f t="shared" si="2"/>
        <v>0</v>
      </c>
      <c r="M20" s="1767">
        <f t="shared" si="1"/>
        <v>21393838.5</v>
      </c>
    </row>
    <row r="21" spans="1:13" ht="39.950000000000003" customHeight="1" thickBot="1">
      <c r="B21" s="126" t="s">
        <v>280</v>
      </c>
      <c r="C21" s="127" t="s">
        <v>209</v>
      </c>
      <c r="D21" s="127">
        <v>1</v>
      </c>
      <c r="E21" s="128">
        <f>+'ACCIONES 320202'!I126</f>
        <v>1940368.2664241791</v>
      </c>
      <c r="F21" s="128">
        <f>+'ACCIONES 320202'!J126</f>
        <v>0</v>
      </c>
      <c r="G21" s="128">
        <f>+'ACCIONES 320202'!K126</f>
        <v>10217721.398485214</v>
      </c>
      <c r="H21" s="535">
        <f>+'ACCIONES 320202'!L126</f>
        <v>12158089.664909393</v>
      </c>
      <c r="I21" s="128">
        <f>+'ACCIONES 320202'!M126</f>
        <v>14858876.319999993</v>
      </c>
      <c r="J21" s="128">
        <f>+'ACCIONES 320202'!N126</f>
        <v>584044</v>
      </c>
      <c r="K21" s="128">
        <f>+'ACCIONES 320202'!O126</f>
        <v>0</v>
      </c>
      <c r="L21" s="606">
        <f t="shared" si="2"/>
        <v>15442920.319999993</v>
      </c>
      <c r="M21" s="1768">
        <f t="shared" si="1"/>
        <v>27601009.984909385</v>
      </c>
    </row>
    <row r="22" spans="1:13" ht="27" customHeight="1" thickBot="1">
      <c r="B22" s="2533" t="s">
        <v>270</v>
      </c>
      <c r="C22" s="2534"/>
      <c r="D22" s="2535"/>
      <c r="E22" s="747">
        <f t="shared" ref="E22:M22" si="5">+E17+E14+E10</f>
        <v>280000000</v>
      </c>
      <c r="F22" s="747">
        <f t="shared" si="5"/>
        <v>531268181</v>
      </c>
      <c r="G22" s="747">
        <f t="shared" si="5"/>
        <v>233795471</v>
      </c>
      <c r="H22" s="748">
        <f t="shared" si="5"/>
        <v>1045063652</v>
      </c>
      <c r="I22" s="747">
        <f t="shared" si="5"/>
        <v>109267912.31999999</v>
      </c>
      <c r="J22" s="747">
        <f t="shared" si="5"/>
        <v>121336701</v>
      </c>
      <c r="K22" s="747">
        <f t="shared" si="5"/>
        <v>106245110</v>
      </c>
      <c r="L22" s="1772">
        <f t="shared" si="5"/>
        <v>336849723.31999999</v>
      </c>
      <c r="M22" s="748">
        <f t="shared" si="5"/>
        <v>1381913375.3200002</v>
      </c>
    </row>
    <row r="23" spans="1:13" ht="15.75" thickBot="1"/>
    <row r="24" spans="1:13" ht="15.75" thickBot="1">
      <c r="E24" s="611">
        <v>280000000</v>
      </c>
      <c r="F24" s="612">
        <v>531268181</v>
      </c>
      <c r="G24" s="612">
        <v>233795471</v>
      </c>
      <c r="H24" s="613">
        <v>1045063651</v>
      </c>
      <c r="I24" s="552">
        <v>109267912.31999999</v>
      </c>
      <c r="J24" s="552">
        <v>121336701</v>
      </c>
      <c r="K24" s="552">
        <v>106245110</v>
      </c>
      <c r="L24" s="552">
        <v>336849723.31999999</v>
      </c>
      <c r="M24" s="552">
        <f>+L24+H24</f>
        <v>1381913374.3199999</v>
      </c>
    </row>
    <row r="26" spans="1:13">
      <c r="E26" s="501">
        <f>+E24-E22</f>
        <v>0</v>
      </c>
      <c r="F26" s="501">
        <f>+F24-F22</f>
        <v>0</v>
      </c>
      <c r="G26" s="501">
        <f>+G24-G22</f>
        <v>0</v>
      </c>
      <c r="H26" s="501">
        <f>+H24-H22</f>
        <v>-1</v>
      </c>
      <c r="I26" s="501">
        <f t="shared" ref="I26:M26" si="6">+I24-I22</f>
        <v>0</v>
      </c>
      <c r="J26" s="501">
        <f t="shared" si="6"/>
        <v>0</v>
      </c>
      <c r="K26" s="501">
        <f t="shared" si="6"/>
        <v>0</v>
      </c>
      <c r="L26" s="501">
        <f t="shared" si="6"/>
        <v>0</v>
      </c>
      <c r="M26" s="501">
        <f t="shared" si="6"/>
        <v>-1.0000002384185791</v>
      </c>
    </row>
  </sheetData>
  <mergeCells count="19">
    <mergeCell ref="B1:B3"/>
    <mergeCell ref="L1:M1"/>
    <mergeCell ref="L2:M2"/>
    <mergeCell ref="L3:M3"/>
    <mergeCell ref="C1:K3"/>
    <mergeCell ref="B22:D22"/>
    <mergeCell ref="B7:B9"/>
    <mergeCell ref="C8:C9"/>
    <mergeCell ref="D8:D9"/>
    <mergeCell ref="E8:G8"/>
    <mergeCell ref="C7:H7"/>
    <mergeCell ref="H8:H9"/>
    <mergeCell ref="A7:A9"/>
    <mergeCell ref="B5:M5"/>
    <mergeCell ref="B6:M6"/>
    <mergeCell ref="I7:L7"/>
    <mergeCell ref="M7:M9"/>
    <mergeCell ref="L8:L9"/>
    <mergeCell ref="I8:K8"/>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theme="7" tint="0.59999389629810485"/>
  </sheetPr>
  <dimension ref="A1:S140"/>
  <sheetViews>
    <sheetView topLeftCell="A85" zoomScale="64" zoomScaleNormal="64" workbookViewId="0">
      <selection activeCell="L116" sqref="L116"/>
    </sheetView>
  </sheetViews>
  <sheetFormatPr baseColWidth="10" defaultColWidth="11.42578125" defaultRowHeight="15"/>
  <cols>
    <col min="1" max="2" width="4.7109375" style="821" customWidth="1"/>
    <col min="3" max="3" width="40" style="821" customWidth="1"/>
    <col min="4" max="4" width="16.42578125" style="821" customWidth="1"/>
    <col min="5" max="5" width="9.28515625" style="821" customWidth="1"/>
    <col min="6" max="6" width="5.28515625" style="821" customWidth="1"/>
    <col min="7" max="8" width="8.140625" style="181" customWidth="1"/>
    <col min="9" max="9" width="20.7109375" style="823" customWidth="1"/>
    <col min="10" max="10" width="18" style="823" customWidth="1"/>
    <col min="11" max="11" width="17.42578125" style="823" customWidth="1"/>
    <col min="12" max="13" width="16.5703125" style="822" customWidth="1"/>
    <col min="14" max="14" width="19.7109375" style="821" customWidth="1"/>
    <col min="15" max="15" width="16.5703125" style="821" customWidth="1"/>
    <col min="16" max="16" width="19.7109375" style="821" customWidth="1"/>
    <col min="17" max="17" width="21.5703125" style="821" customWidth="1"/>
    <col min="18" max="18" width="12.28515625" style="821" customWidth="1"/>
    <col min="19" max="19" width="17.28515625" style="821" customWidth="1"/>
    <col min="20" max="16384" width="11.42578125" style="821"/>
  </cols>
  <sheetData>
    <row r="1" spans="1:17" ht="15.75" thickBot="1">
      <c r="C1" s="2405"/>
      <c r="D1" s="2453" t="s">
        <v>542</v>
      </c>
      <c r="E1" s="2453"/>
      <c r="F1" s="2453"/>
      <c r="G1" s="2453"/>
      <c r="H1" s="2453"/>
      <c r="I1" s="2453"/>
      <c r="J1" s="2453"/>
      <c r="K1" s="2453"/>
      <c r="L1" s="2453"/>
      <c r="M1" s="2453"/>
      <c r="N1" s="2453"/>
      <c r="O1" s="2453"/>
      <c r="P1" s="2495" t="s">
        <v>539</v>
      </c>
      <c r="Q1" s="2496"/>
    </row>
    <row r="2" spans="1:17" ht="15.75" thickBot="1">
      <c r="C2" s="2406"/>
      <c r="D2" s="2453"/>
      <c r="E2" s="2453"/>
      <c r="F2" s="2453"/>
      <c r="G2" s="2453"/>
      <c r="H2" s="2453"/>
      <c r="I2" s="2453"/>
      <c r="J2" s="2453"/>
      <c r="K2" s="2453"/>
      <c r="L2" s="2453"/>
      <c r="M2" s="2453"/>
      <c r="N2" s="2453"/>
      <c r="O2" s="2453"/>
      <c r="P2" s="2497" t="s">
        <v>540</v>
      </c>
      <c r="Q2" s="2498"/>
    </row>
    <row r="3" spans="1:17" ht="15.75" thickBot="1">
      <c r="C3" s="2407"/>
      <c r="D3" s="2453"/>
      <c r="E3" s="2453"/>
      <c r="F3" s="2453"/>
      <c r="G3" s="2453"/>
      <c r="H3" s="2453"/>
      <c r="I3" s="2453"/>
      <c r="J3" s="2453"/>
      <c r="K3" s="2453"/>
      <c r="L3" s="2453"/>
      <c r="M3" s="2453"/>
      <c r="N3" s="2453"/>
      <c r="O3" s="2453"/>
      <c r="P3" s="2499" t="s">
        <v>541</v>
      </c>
      <c r="Q3" s="2500"/>
    </row>
    <row r="4" spans="1:17" s="1" customFormat="1" ht="7.5" customHeight="1" thickBot="1">
      <c r="M4" s="383"/>
    </row>
    <row r="5" spans="1:17" s="1" customFormat="1" ht="14.25" customHeight="1" thickBot="1">
      <c r="C5" s="2493" t="s">
        <v>181</v>
      </c>
      <c r="D5" s="2493"/>
      <c r="E5" s="2493"/>
      <c r="F5" s="2493"/>
      <c r="G5" s="2493"/>
      <c r="H5" s="2493"/>
      <c r="I5" s="2493"/>
      <c r="J5" s="2493"/>
      <c r="K5" s="2493"/>
      <c r="L5" s="2493"/>
      <c r="M5" s="2493"/>
      <c r="N5" s="2493"/>
      <c r="O5" s="2493"/>
      <c r="P5" s="2493"/>
      <c r="Q5" s="2493"/>
    </row>
    <row r="6" spans="1:17" ht="15.75" thickBot="1">
      <c r="C6" s="2493" t="s">
        <v>183</v>
      </c>
      <c r="D6" s="2493"/>
      <c r="E6" s="2493"/>
      <c r="F6" s="2493"/>
      <c r="G6" s="2493"/>
      <c r="H6" s="2493"/>
      <c r="I6" s="2493"/>
      <c r="J6" s="2493"/>
      <c r="K6" s="2493"/>
      <c r="L6" s="2493"/>
      <c r="M6" s="2493"/>
      <c r="N6" s="2493"/>
      <c r="O6" s="2493"/>
      <c r="P6" s="2493"/>
      <c r="Q6" s="2493"/>
    </row>
    <row r="7" spans="1:17" ht="17.25" customHeight="1" thickBot="1">
      <c r="A7" s="2466" t="s">
        <v>543</v>
      </c>
      <c r="B7" s="2474" t="s">
        <v>544</v>
      </c>
      <c r="C7" s="2397" t="s">
        <v>435</v>
      </c>
      <c r="D7" s="2397" t="s">
        <v>229</v>
      </c>
      <c r="E7" s="2397" t="s">
        <v>498</v>
      </c>
      <c r="F7" s="2397" t="s">
        <v>437</v>
      </c>
      <c r="G7" s="2397" t="s">
        <v>200</v>
      </c>
      <c r="H7" s="2489" t="s">
        <v>576</v>
      </c>
      <c r="I7" s="2397" t="s">
        <v>198</v>
      </c>
      <c r="J7" s="2397"/>
      <c r="K7" s="2397"/>
      <c r="L7" s="2531" t="s">
        <v>341</v>
      </c>
      <c r="M7" s="2398" t="s">
        <v>1213</v>
      </c>
      <c r="N7" s="2399"/>
      <c r="O7" s="2399"/>
      <c r="P7" s="2400"/>
      <c r="Q7" s="2531" t="s">
        <v>341</v>
      </c>
    </row>
    <row r="8" spans="1:17" ht="15.75" customHeight="1" thickBot="1">
      <c r="A8" s="2466"/>
      <c r="B8" s="2474"/>
      <c r="C8" s="2397"/>
      <c r="D8" s="2397"/>
      <c r="E8" s="2397"/>
      <c r="F8" s="2397"/>
      <c r="G8" s="2397"/>
      <c r="H8" s="2423"/>
      <c r="I8" s="2397" t="s">
        <v>201</v>
      </c>
      <c r="J8" s="2397" t="s">
        <v>203</v>
      </c>
      <c r="K8" s="2397" t="s">
        <v>232</v>
      </c>
      <c r="L8" s="2531"/>
      <c r="M8" s="2397" t="s">
        <v>203</v>
      </c>
      <c r="N8" s="2397" t="s">
        <v>201</v>
      </c>
      <c r="O8" s="2397" t="s">
        <v>1220</v>
      </c>
      <c r="P8" s="2532" t="s">
        <v>341</v>
      </c>
      <c r="Q8" s="2531"/>
    </row>
    <row r="9" spans="1:17" ht="30.75" customHeight="1" thickBot="1">
      <c r="A9" s="2466"/>
      <c r="B9" s="2474"/>
      <c r="C9" s="2489"/>
      <c r="D9" s="2489"/>
      <c r="E9" s="2489"/>
      <c r="F9" s="2489"/>
      <c r="G9" s="2489"/>
      <c r="H9" s="2401"/>
      <c r="I9" s="2489"/>
      <c r="J9" s="2489"/>
      <c r="K9" s="2489"/>
      <c r="L9" s="2532"/>
      <c r="M9" s="2489"/>
      <c r="N9" s="2489"/>
      <c r="O9" s="2489"/>
      <c r="P9" s="2538"/>
      <c r="Q9" s="2532"/>
    </row>
    <row r="10" spans="1:17" ht="51.75" thickBot="1">
      <c r="A10" s="835">
        <v>127</v>
      </c>
      <c r="B10" s="1429"/>
      <c r="C10" s="410" t="s">
        <v>271</v>
      </c>
      <c r="D10" s="824"/>
      <c r="E10" s="824"/>
      <c r="F10" s="411" t="s">
        <v>210</v>
      </c>
      <c r="G10" s="411">
        <v>1</v>
      </c>
      <c r="H10" s="411"/>
      <c r="I10" s="825">
        <f t="shared" ref="I10:P10" si="0">+I11+I68+I74</f>
        <v>249324582.73199999</v>
      </c>
      <c r="J10" s="825">
        <f t="shared" si="0"/>
        <v>192005831.83462033</v>
      </c>
      <c r="K10" s="825">
        <f t="shared" si="0"/>
        <v>53128942</v>
      </c>
      <c r="L10" s="826">
        <f t="shared" si="0"/>
        <v>494459356.56662029</v>
      </c>
      <c r="M10" s="825">
        <f t="shared" si="0"/>
        <v>32609920</v>
      </c>
      <c r="N10" s="825">
        <f t="shared" si="0"/>
        <v>120752657</v>
      </c>
      <c r="O10" s="825">
        <f t="shared" si="0"/>
        <v>28356657</v>
      </c>
      <c r="P10" s="826">
        <f t="shared" si="0"/>
        <v>181719234</v>
      </c>
      <c r="Q10" s="826">
        <f>L10+P10</f>
        <v>676178590.56662035</v>
      </c>
    </row>
    <row r="11" spans="1:17" ht="51">
      <c r="A11" s="835"/>
      <c r="B11" s="1429" t="s">
        <v>1060</v>
      </c>
      <c r="C11" s="827" t="s">
        <v>272</v>
      </c>
      <c r="D11" s="828"/>
      <c r="E11" s="828"/>
      <c r="F11" s="829" t="s">
        <v>209</v>
      </c>
      <c r="G11" s="829">
        <f>+G10</f>
        <v>1</v>
      </c>
      <c r="H11" s="829"/>
      <c r="I11" s="830">
        <f>SUM(I13:I67)</f>
        <v>249324582.73199999</v>
      </c>
      <c r="J11" s="830">
        <f>SUM(J13:J67)</f>
        <v>192005831.83462033</v>
      </c>
      <c r="K11" s="830">
        <f>SUM(K13:K67)</f>
        <v>53128942</v>
      </c>
      <c r="L11" s="831">
        <f>SUM(L12:L67)</f>
        <v>494459356.56662029</v>
      </c>
      <c r="M11" s="830">
        <f>SUM(M13:M67)</f>
        <v>0</v>
      </c>
      <c r="N11" s="830">
        <f>SUM(N13:N67)</f>
        <v>120752657</v>
      </c>
      <c r="O11" s="830">
        <f>SUM(O13:O67)</f>
        <v>0</v>
      </c>
      <c r="P11" s="831">
        <f>SUM(P12:P67)</f>
        <v>120752657</v>
      </c>
      <c r="Q11" s="831">
        <f>SUM(Q12:Q67)</f>
        <v>615212013.56662035</v>
      </c>
    </row>
    <row r="12" spans="1:17" s="571" customFormat="1" ht="12.75">
      <c r="B12" s="1422"/>
      <c r="C12" s="567" t="s">
        <v>877</v>
      </c>
      <c r="D12" s="832"/>
      <c r="E12" s="832"/>
      <c r="F12" s="811"/>
      <c r="G12" s="811"/>
      <c r="H12" s="811"/>
      <c r="I12" s="513"/>
      <c r="J12" s="513"/>
      <c r="K12" s="513"/>
      <c r="L12" s="808">
        <f>+SUM(I12:K12)</f>
        <v>0</v>
      </c>
      <c r="M12" s="513"/>
      <c r="N12" s="513"/>
      <c r="O12" s="513"/>
      <c r="P12" s="808">
        <f>+SUM(M12:O12)</f>
        <v>0</v>
      </c>
      <c r="Q12" s="808">
        <f>+P12+L12</f>
        <v>0</v>
      </c>
    </row>
    <row r="13" spans="1:17" s="571" customFormat="1" ht="15" customHeight="1">
      <c r="B13" s="1422"/>
      <c r="C13" s="567" t="s">
        <v>878</v>
      </c>
      <c r="D13" s="811" t="s">
        <v>235</v>
      </c>
      <c r="E13" s="811" t="s">
        <v>776</v>
      </c>
      <c r="F13" s="811"/>
      <c r="G13" s="811"/>
      <c r="H13" s="811"/>
      <c r="I13" s="513">
        <v>31401999.6583068</v>
      </c>
      <c r="J13" s="513">
        <v>31952340.342082798</v>
      </c>
      <c r="K13" s="513"/>
      <c r="L13" s="808">
        <f t="shared" ref="L13:L67" si="1">+SUM(I13:K13)</f>
        <v>63354340.000389598</v>
      </c>
      <c r="M13" s="513"/>
      <c r="N13" s="513"/>
      <c r="O13" s="513"/>
      <c r="P13" s="808">
        <f t="shared" ref="P13:P60" si="2">+SUM(M13:O13)</f>
        <v>0</v>
      </c>
      <c r="Q13" s="808">
        <f t="shared" ref="Q13:Q78" si="3">+P13+L13</f>
        <v>63354340.000389598</v>
      </c>
    </row>
    <row r="14" spans="1:17" s="571" customFormat="1" ht="15" customHeight="1">
      <c r="B14" s="1422"/>
      <c r="C14" s="567" t="s">
        <v>879</v>
      </c>
      <c r="D14" s="2107" t="s">
        <v>235</v>
      </c>
      <c r="E14" s="2107" t="s">
        <v>776</v>
      </c>
      <c r="F14" s="2107"/>
      <c r="G14" s="2107"/>
      <c r="H14" s="2107"/>
      <c r="I14" s="513"/>
      <c r="J14" s="513">
        <v>29055754.218200244</v>
      </c>
      <c r="K14" s="513"/>
      <c r="L14" s="808">
        <f t="shared" si="1"/>
        <v>29055754.218200244</v>
      </c>
      <c r="M14" s="513"/>
      <c r="N14" s="513"/>
      <c r="O14" s="513"/>
      <c r="P14" s="808">
        <f t="shared" si="2"/>
        <v>0</v>
      </c>
      <c r="Q14" s="808">
        <f t="shared" si="3"/>
        <v>29055754.218200244</v>
      </c>
    </row>
    <row r="15" spans="1:17" s="571" customFormat="1" ht="45.75" customHeight="1">
      <c r="B15" s="1422"/>
      <c r="C15" s="565" t="s">
        <v>1415</v>
      </c>
      <c r="D15" s="2238" t="s">
        <v>235</v>
      </c>
      <c r="E15" s="2238" t="s">
        <v>776</v>
      </c>
      <c r="F15" s="2238"/>
      <c r="G15" s="2238"/>
      <c r="H15" s="2238"/>
      <c r="I15" s="513">
        <f>1940368.75602418-1940368.75602418</f>
        <v>0</v>
      </c>
      <c r="J15" s="513"/>
      <c r="K15" s="513">
        <f>7034219.77814287-3821419.77814287</f>
        <v>3212800.0000000005</v>
      </c>
      <c r="L15" s="808">
        <f t="shared" si="1"/>
        <v>3212800.0000000005</v>
      </c>
      <c r="M15" s="513">
        <f>7468796.16-7468796.16</f>
        <v>0</v>
      </c>
      <c r="N15" s="513">
        <f>584043.583999991-584043.583999991</f>
        <v>0</v>
      </c>
      <c r="O15" s="513"/>
      <c r="P15" s="808">
        <f t="shared" si="2"/>
        <v>0</v>
      </c>
      <c r="Q15" s="808">
        <f t="shared" si="3"/>
        <v>3212800.0000000005</v>
      </c>
    </row>
    <row r="16" spans="1:17" s="571" customFormat="1" ht="15" customHeight="1">
      <c r="B16" s="1422"/>
      <c r="C16" s="567" t="s">
        <v>880</v>
      </c>
      <c r="D16" s="2107" t="s">
        <v>235</v>
      </c>
      <c r="E16" s="2107" t="s">
        <v>776</v>
      </c>
      <c r="F16" s="2107"/>
      <c r="G16" s="2107"/>
      <c r="H16" s="2107"/>
      <c r="I16" s="513">
        <v>26344058.489599999</v>
      </c>
      <c r="J16" s="513">
        <f>16344058.4896-1940377.3872</f>
        <v>14403681.102400001</v>
      </c>
      <c r="K16" s="513"/>
      <c r="L16" s="808">
        <f t="shared" si="1"/>
        <v>40747739.592</v>
      </c>
      <c r="M16" s="513"/>
      <c r="N16" s="513"/>
      <c r="O16" s="513"/>
      <c r="P16" s="808">
        <f t="shared" si="2"/>
        <v>0</v>
      </c>
      <c r="Q16" s="808">
        <f t="shared" si="3"/>
        <v>40747739.592</v>
      </c>
    </row>
    <row r="17" spans="2:19" s="571" customFormat="1" ht="15" customHeight="1">
      <c r="B17" s="1422"/>
      <c r="C17" s="567" t="s">
        <v>881</v>
      </c>
      <c r="D17" s="2107" t="s">
        <v>235</v>
      </c>
      <c r="E17" s="2107" t="s">
        <v>776</v>
      </c>
      <c r="F17" s="2107"/>
      <c r="G17" s="2107"/>
      <c r="H17" s="2107"/>
      <c r="I17" s="513"/>
      <c r="J17" s="513"/>
      <c r="K17" s="513"/>
      <c r="L17" s="808">
        <f t="shared" si="1"/>
        <v>0</v>
      </c>
      <c r="M17" s="513"/>
      <c r="N17" s="513">
        <v>27165160</v>
      </c>
      <c r="O17" s="513"/>
      <c r="P17" s="808">
        <f t="shared" si="2"/>
        <v>27165160</v>
      </c>
      <c r="Q17" s="808">
        <f t="shared" si="3"/>
        <v>27165160</v>
      </c>
    </row>
    <row r="18" spans="2:19" s="252" customFormat="1" ht="15" customHeight="1">
      <c r="B18" s="1421"/>
      <c r="C18" s="567" t="s">
        <v>1317</v>
      </c>
      <c r="D18" s="2107" t="s">
        <v>235</v>
      </c>
      <c r="E18" s="2107" t="s">
        <v>776</v>
      </c>
      <c r="F18" s="2107"/>
      <c r="G18" s="2107"/>
      <c r="H18" s="2107"/>
      <c r="I18" s="513"/>
      <c r="J18" s="513">
        <v>1940369</v>
      </c>
      <c r="K18" s="513"/>
      <c r="L18" s="808">
        <f t="shared" ref="L18" si="4">+SUM(I18:K18)</f>
        <v>1940369</v>
      </c>
      <c r="M18" s="513"/>
      <c r="N18" s="513">
        <f>15988189-465241</f>
        <v>15522948</v>
      </c>
      <c r="O18" s="513"/>
      <c r="P18" s="1988">
        <f t="shared" ref="P18" si="5">+SUM(M18:O18)</f>
        <v>15522948</v>
      </c>
      <c r="Q18" s="1988">
        <f t="shared" si="3"/>
        <v>17463317</v>
      </c>
      <c r="S18" s="252" t="e">
        <f>+Q18/S17</f>
        <v>#DIV/0!</v>
      </c>
    </row>
    <row r="19" spans="2:19" s="571" customFormat="1" ht="15" customHeight="1">
      <c r="B19" s="1422"/>
      <c r="C19" s="567" t="s">
        <v>882</v>
      </c>
      <c r="D19" s="2107" t="s">
        <v>235</v>
      </c>
      <c r="E19" s="2107" t="s">
        <v>776</v>
      </c>
      <c r="F19" s="2107"/>
      <c r="G19" s="2107"/>
      <c r="H19" s="2107"/>
      <c r="I19" s="513"/>
      <c r="J19" s="513"/>
      <c r="K19" s="513"/>
      <c r="L19" s="808">
        <f t="shared" si="1"/>
        <v>0</v>
      </c>
      <c r="M19" s="513"/>
      <c r="N19" s="513"/>
      <c r="O19" s="513"/>
      <c r="P19" s="808">
        <f t="shared" si="2"/>
        <v>0</v>
      </c>
      <c r="Q19" s="808">
        <f t="shared" si="3"/>
        <v>0</v>
      </c>
    </row>
    <row r="20" spans="2:19" s="571" customFormat="1" ht="15" customHeight="1">
      <c r="B20" s="1422"/>
      <c r="C20" s="567" t="s">
        <v>883</v>
      </c>
      <c r="D20" s="2107" t="s">
        <v>235</v>
      </c>
      <c r="E20" s="2107" t="s">
        <v>776</v>
      </c>
      <c r="F20" s="2107"/>
      <c r="G20" s="2107"/>
      <c r="H20" s="2107"/>
      <c r="I20" s="513"/>
      <c r="J20" s="513"/>
      <c r="K20" s="513"/>
      <c r="L20" s="808">
        <f t="shared" si="1"/>
        <v>0</v>
      </c>
      <c r="M20" s="513"/>
      <c r="N20" s="513"/>
      <c r="O20" s="513"/>
      <c r="P20" s="808">
        <f t="shared" si="2"/>
        <v>0</v>
      </c>
      <c r="Q20" s="808">
        <f t="shared" si="3"/>
        <v>0</v>
      </c>
    </row>
    <row r="21" spans="2:19" s="571" customFormat="1" ht="15" customHeight="1">
      <c r="B21" s="1422"/>
      <c r="C21" s="567" t="s">
        <v>848</v>
      </c>
      <c r="D21" s="2107" t="s">
        <v>568</v>
      </c>
      <c r="E21" s="2107" t="s">
        <v>849</v>
      </c>
      <c r="F21" s="2107"/>
      <c r="G21" s="2107"/>
      <c r="H21" s="2107"/>
      <c r="I21" s="513"/>
      <c r="J21" s="513"/>
      <c r="K21" s="513"/>
      <c r="L21" s="808">
        <f t="shared" si="1"/>
        <v>0</v>
      </c>
      <c r="M21" s="513"/>
      <c r="N21" s="513"/>
      <c r="O21" s="513"/>
      <c r="P21" s="808">
        <f t="shared" si="2"/>
        <v>0</v>
      </c>
      <c r="Q21" s="808">
        <f t="shared" si="3"/>
        <v>0</v>
      </c>
    </row>
    <row r="22" spans="2:19" s="571" customFormat="1" ht="15" customHeight="1">
      <c r="B22" s="1422"/>
      <c r="C22" s="567" t="s">
        <v>850</v>
      </c>
      <c r="D22" s="2107" t="s">
        <v>568</v>
      </c>
      <c r="E22" s="2107" t="s">
        <v>849</v>
      </c>
      <c r="F22" s="2107"/>
      <c r="G22" s="2107"/>
      <c r="H22" s="2107"/>
      <c r="I22" s="513"/>
      <c r="J22" s="513"/>
      <c r="K22" s="513"/>
      <c r="L22" s="808">
        <f t="shared" si="1"/>
        <v>0</v>
      </c>
      <c r="M22" s="513"/>
      <c r="N22" s="513"/>
      <c r="O22" s="513"/>
      <c r="P22" s="808">
        <f t="shared" si="2"/>
        <v>0</v>
      </c>
      <c r="Q22" s="808">
        <f t="shared" si="3"/>
        <v>0</v>
      </c>
    </row>
    <row r="23" spans="2:19" s="571" customFormat="1" ht="30.75" customHeight="1">
      <c r="B23" s="1422"/>
      <c r="C23" s="567" t="s">
        <v>884</v>
      </c>
      <c r="D23" s="2107" t="s">
        <v>235</v>
      </c>
      <c r="E23" s="2107" t="s">
        <v>776</v>
      </c>
      <c r="F23" s="2107"/>
      <c r="G23" s="2107"/>
      <c r="H23" s="2107"/>
      <c r="I23" s="513"/>
      <c r="J23" s="513"/>
      <c r="K23" s="513"/>
      <c r="L23" s="808">
        <f t="shared" si="1"/>
        <v>0</v>
      </c>
      <c r="M23" s="513"/>
      <c r="N23" s="513"/>
      <c r="O23" s="513"/>
      <c r="P23" s="808">
        <f t="shared" si="2"/>
        <v>0</v>
      </c>
      <c r="Q23" s="808">
        <f t="shared" si="3"/>
        <v>0</v>
      </c>
    </row>
    <row r="24" spans="2:19" s="571" customFormat="1" ht="15" customHeight="1">
      <c r="B24" s="1422"/>
      <c r="C24" s="567" t="s">
        <v>885</v>
      </c>
      <c r="D24" s="2107" t="s">
        <v>235</v>
      </c>
      <c r="E24" s="2107" t="s">
        <v>776</v>
      </c>
      <c r="F24" s="2107"/>
      <c r="G24" s="2107"/>
      <c r="H24" s="2107"/>
      <c r="I24" s="513">
        <v>26344058.489599999</v>
      </c>
      <c r="J24" s="513">
        <f>16344058.4896-1940377.3872</f>
        <v>14403681.102400001</v>
      </c>
      <c r="K24" s="513"/>
      <c r="L24" s="808">
        <f t="shared" si="1"/>
        <v>40747739.592</v>
      </c>
      <c r="M24" s="513"/>
      <c r="N24" s="513"/>
      <c r="O24" s="513"/>
      <c r="P24" s="808">
        <f t="shared" si="2"/>
        <v>0</v>
      </c>
      <c r="Q24" s="808">
        <f t="shared" si="3"/>
        <v>40747739.592</v>
      </c>
    </row>
    <row r="25" spans="2:19" s="571" customFormat="1" ht="15" customHeight="1">
      <c r="B25" s="1422"/>
      <c r="C25" s="567" t="s">
        <v>886</v>
      </c>
      <c r="D25" s="2107" t="s">
        <v>235</v>
      </c>
      <c r="E25" s="2107" t="s">
        <v>776</v>
      </c>
      <c r="F25" s="2107"/>
      <c r="G25" s="2107"/>
      <c r="H25" s="2107"/>
      <c r="I25" s="513"/>
      <c r="J25" s="513"/>
      <c r="K25" s="513"/>
      <c r="L25" s="808">
        <f t="shared" si="1"/>
        <v>0</v>
      </c>
      <c r="M25" s="513"/>
      <c r="N25" s="513">
        <v>27165160</v>
      </c>
      <c r="O25" s="513"/>
      <c r="P25" s="808">
        <f t="shared" si="2"/>
        <v>27165160</v>
      </c>
      <c r="Q25" s="808">
        <f t="shared" si="3"/>
        <v>27165160</v>
      </c>
    </row>
    <row r="26" spans="2:19" s="571" customFormat="1" ht="15" customHeight="1">
      <c r="B26" s="1422"/>
      <c r="C26" s="567" t="s">
        <v>887</v>
      </c>
      <c r="D26" s="2107" t="s">
        <v>235</v>
      </c>
      <c r="E26" s="2107" t="s">
        <v>776</v>
      </c>
      <c r="F26" s="2107"/>
      <c r="G26" s="2107"/>
      <c r="H26" s="2107"/>
      <c r="I26" s="513"/>
      <c r="J26" s="513"/>
      <c r="K26" s="513"/>
      <c r="L26" s="808">
        <f t="shared" si="1"/>
        <v>0</v>
      </c>
      <c r="M26" s="513"/>
      <c r="N26" s="513">
        <f>23853032-118803</f>
        <v>23734229</v>
      </c>
      <c r="O26" s="513">
        <f>+N26-'[2]ACCIONES 320202'!$N$26</f>
        <v>0</v>
      </c>
      <c r="P26" s="808">
        <f t="shared" si="2"/>
        <v>23734229</v>
      </c>
      <c r="Q26" s="808">
        <f t="shared" si="3"/>
        <v>23734229</v>
      </c>
    </row>
    <row r="27" spans="2:19" s="571" customFormat="1" ht="15" customHeight="1">
      <c r="B27" s="1422"/>
      <c r="C27" s="567" t="s">
        <v>888</v>
      </c>
      <c r="D27" s="2107" t="s">
        <v>235</v>
      </c>
      <c r="E27" s="2107" t="s">
        <v>776</v>
      </c>
      <c r="F27" s="2107"/>
      <c r="G27" s="2107"/>
      <c r="H27" s="2107"/>
      <c r="I27" s="513"/>
      <c r="J27" s="513"/>
      <c r="K27" s="513"/>
      <c r="L27" s="808">
        <f t="shared" si="1"/>
        <v>0</v>
      </c>
      <c r="M27" s="513"/>
      <c r="N27" s="513"/>
      <c r="O27" s="513"/>
      <c r="P27" s="808">
        <f t="shared" si="2"/>
        <v>0</v>
      </c>
      <c r="Q27" s="808">
        <f t="shared" si="3"/>
        <v>0</v>
      </c>
    </row>
    <row r="28" spans="2:19" s="571" customFormat="1" ht="15" customHeight="1">
      <c r="B28" s="1422"/>
      <c r="C28" s="567"/>
      <c r="D28" s="2107"/>
      <c r="E28" s="2107"/>
      <c r="F28" s="2107"/>
      <c r="G28" s="2107"/>
      <c r="H28" s="2107"/>
      <c r="I28" s="513"/>
      <c r="J28" s="513"/>
      <c r="K28" s="513"/>
      <c r="L28" s="808">
        <f t="shared" si="1"/>
        <v>0</v>
      </c>
      <c r="M28" s="513"/>
      <c r="N28" s="513"/>
      <c r="O28" s="513"/>
      <c r="P28" s="808">
        <f t="shared" si="2"/>
        <v>0</v>
      </c>
      <c r="Q28" s="808">
        <f t="shared" si="3"/>
        <v>0</v>
      </c>
    </row>
    <row r="29" spans="2:19" s="571" customFormat="1" ht="15" customHeight="1">
      <c r="B29" s="1422"/>
      <c r="C29" s="567" t="s">
        <v>889</v>
      </c>
      <c r="D29" s="2107" t="s">
        <v>235</v>
      </c>
      <c r="E29" s="2107" t="s">
        <v>776</v>
      </c>
      <c r="F29" s="2107"/>
      <c r="G29" s="2107"/>
      <c r="H29" s="2107"/>
      <c r="I29" s="513"/>
      <c r="J29" s="513"/>
      <c r="K29" s="513"/>
      <c r="L29" s="808">
        <f t="shared" si="1"/>
        <v>0</v>
      </c>
      <c r="M29" s="513"/>
      <c r="N29" s="513"/>
      <c r="O29" s="513"/>
      <c r="P29" s="808">
        <f t="shared" si="2"/>
        <v>0</v>
      </c>
      <c r="Q29" s="808">
        <f t="shared" si="3"/>
        <v>0</v>
      </c>
    </row>
    <row r="30" spans="2:19" s="571" customFormat="1" ht="15" customHeight="1">
      <c r="B30" s="1422"/>
      <c r="C30" s="567" t="s">
        <v>890</v>
      </c>
      <c r="D30" s="2017" t="s">
        <v>235</v>
      </c>
      <c r="E30" s="2017" t="s">
        <v>776</v>
      </c>
      <c r="F30" s="2017"/>
      <c r="G30" s="2017"/>
      <c r="H30" s="2017"/>
      <c r="I30" s="513"/>
      <c r="J30" s="513"/>
      <c r="K30" s="513"/>
      <c r="L30" s="808">
        <f t="shared" si="1"/>
        <v>0</v>
      </c>
      <c r="M30" s="513"/>
      <c r="N30" s="513"/>
      <c r="O30" s="513"/>
      <c r="P30" s="808">
        <f t="shared" si="2"/>
        <v>0</v>
      </c>
      <c r="Q30" s="808">
        <f t="shared" si="3"/>
        <v>0</v>
      </c>
    </row>
    <row r="31" spans="2:19" s="571" customFormat="1" ht="15" customHeight="1">
      <c r="B31" s="1422"/>
      <c r="C31" s="567" t="s">
        <v>799</v>
      </c>
      <c r="D31" s="2017" t="s">
        <v>235</v>
      </c>
      <c r="E31" s="2017" t="s">
        <v>776</v>
      </c>
      <c r="F31" s="2017"/>
      <c r="G31" s="2017"/>
      <c r="H31" s="2017"/>
      <c r="I31" s="513"/>
      <c r="J31" s="513"/>
      <c r="K31" s="513"/>
      <c r="L31" s="808">
        <f t="shared" si="1"/>
        <v>0</v>
      </c>
      <c r="M31" s="513"/>
      <c r="N31" s="513"/>
      <c r="O31" s="513"/>
      <c r="P31" s="808">
        <f t="shared" si="2"/>
        <v>0</v>
      </c>
      <c r="Q31" s="808">
        <f t="shared" si="3"/>
        <v>0</v>
      </c>
    </row>
    <row r="32" spans="2:19" s="252" customFormat="1" ht="23.25" customHeight="1">
      <c r="B32" s="1421"/>
      <c r="C32" s="567" t="s">
        <v>1273</v>
      </c>
      <c r="D32" s="2017" t="s">
        <v>235</v>
      </c>
      <c r="E32" s="2017" t="s">
        <v>776</v>
      </c>
      <c r="F32" s="2017"/>
      <c r="G32" s="2017"/>
      <c r="H32" s="2017"/>
      <c r="I32" s="513"/>
      <c r="J32" s="513">
        <f>4586326.86469066-1940369</f>
        <v>2645957.8646906596</v>
      </c>
      <c r="K32" s="513"/>
      <c r="L32" s="808">
        <f>+SUM(I32:K32)</f>
        <v>2645957.8646906596</v>
      </c>
      <c r="M32" s="513"/>
      <c r="N32" s="513"/>
      <c r="O32" s="513"/>
      <c r="P32" s="1988">
        <f t="shared" si="2"/>
        <v>0</v>
      </c>
      <c r="Q32" s="1988">
        <f t="shared" si="3"/>
        <v>2645957.8646906596</v>
      </c>
    </row>
    <row r="33" spans="2:17" s="571" customFormat="1" ht="15" customHeight="1">
      <c r="B33" s="1422"/>
      <c r="C33" s="567"/>
      <c r="D33" s="2017"/>
      <c r="E33" s="2017"/>
      <c r="F33" s="2017"/>
      <c r="G33" s="2017"/>
      <c r="H33" s="2017"/>
      <c r="I33" s="513"/>
      <c r="J33" s="513"/>
      <c r="K33" s="513"/>
      <c r="L33" s="808">
        <f t="shared" si="1"/>
        <v>0</v>
      </c>
      <c r="M33" s="513"/>
      <c r="N33" s="513"/>
      <c r="O33" s="513"/>
      <c r="P33" s="808">
        <f t="shared" si="2"/>
        <v>0</v>
      </c>
      <c r="Q33" s="808">
        <f t="shared" si="3"/>
        <v>0</v>
      </c>
    </row>
    <row r="34" spans="2:17" s="571" customFormat="1" ht="15" customHeight="1">
      <c r="B34" s="1422"/>
      <c r="C34" s="567" t="s">
        <v>892</v>
      </c>
      <c r="D34" s="2017" t="s">
        <v>235</v>
      </c>
      <c r="E34" s="2017" t="s">
        <v>776</v>
      </c>
      <c r="F34" s="2017"/>
      <c r="G34" s="2017"/>
      <c r="H34" s="2017"/>
      <c r="I34" s="513"/>
      <c r="J34" s="513"/>
      <c r="K34" s="513"/>
      <c r="L34" s="808">
        <f t="shared" si="1"/>
        <v>0</v>
      </c>
      <c r="M34" s="513"/>
      <c r="N34" s="513"/>
      <c r="O34" s="513"/>
      <c r="P34" s="808">
        <f t="shared" si="2"/>
        <v>0</v>
      </c>
      <c r="Q34" s="808">
        <f t="shared" si="3"/>
        <v>0</v>
      </c>
    </row>
    <row r="35" spans="2:17" s="571" customFormat="1" ht="15" customHeight="1">
      <c r="B35" s="1422"/>
      <c r="C35" s="567" t="s">
        <v>892</v>
      </c>
      <c r="D35" s="2017" t="s">
        <v>235</v>
      </c>
      <c r="E35" s="2017" t="s">
        <v>776</v>
      </c>
      <c r="F35" s="2017"/>
      <c r="G35" s="2017"/>
      <c r="H35" s="2017"/>
      <c r="I35" s="513"/>
      <c r="J35" s="513"/>
      <c r="K35" s="513"/>
      <c r="L35" s="808">
        <f t="shared" si="1"/>
        <v>0</v>
      </c>
      <c r="M35" s="513"/>
      <c r="N35" s="513"/>
      <c r="O35" s="513"/>
      <c r="P35" s="808">
        <f t="shared" si="2"/>
        <v>0</v>
      </c>
      <c r="Q35" s="808">
        <f t="shared" si="3"/>
        <v>0</v>
      </c>
    </row>
    <row r="36" spans="2:17" s="571" customFormat="1" ht="15" customHeight="1">
      <c r="B36" s="1422"/>
      <c r="C36" s="567" t="s">
        <v>893</v>
      </c>
      <c r="D36" s="2017" t="s">
        <v>235</v>
      </c>
      <c r="E36" s="2017" t="s">
        <v>776</v>
      </c>
      <c r="F36" s="2017"/>
      <c r="G36" s="2017"/>
      <c r="H36" s="2017"/>
      <c r="I36" s="513"/>
      <c r="J36" s="513"/>
      <c r="K36" s="513"/>
      <c r="L36" s="808">
        <f t="shared" si="1"/>
        <v>0</v>
      </c>
      <c r="M36" s="513"/>
      <c r="N36" s="513"/>
      <c r="O36" s="513"/>
      <c r="P36" s="808">
        <f t="shared" si="2"/>
        <v>0</v>
      </c>
      <c r="Q36" s="808">
        <f t="shared" si="3"/>
        <v>0</v>
      </c>
    </row>
    <row r="37" spans="2:17" s="571" customFormat="1" ht="15" customHeight="1">
      <c r="B37" s="1422"/>
      <c r="C37" s="567" t="s">
        <v>894</v>
      </c>
      <c r="D37" s="2017" t="s">
        <v>235</v>
      </c>
      <c r="E37" s="2017" t="s">
        <v>776</v>
      </c>
      <c r="F37" s="2017"/>
      <c r="G37" s="2017"/>
      <c r="H37" s="2017"/>
      <c r="I37" s="513"/>
      <c r="J37" s="513"/>
      <c r="K37" s="513"/>
      <c r="L37" s="808">
        <f t="shared" si="1"/>
        <v>0</v>
      </c>
      <c r="M37" s="513"/>
      <c r="N37" s="513"/>
      <c r="O37" s="513"/>
      <c r="P37" s="808">
        <f t="shared" si="2"/>
        <v>0</v>
      </c>
      <c r="Q37" s="808">
        <f t="shared" si="3"/>
        <v>0</v>
      </c>
    </row>
    <row r="38" spans="2:17" s="571" customFormat="1" ht="15" customHeight="1">
      <c r="B38" s="1422"/>
      <c r="C38" s="567" t="s">
        <v>895</v>
      </c>
      <c r="D38" s="2017" t="s">
        <v>235</v>
      </c>
      <c r="E38" s="2017" t="s">
        <v>776</v>
      </c>
      <c r="F38" s="2017"/>
      <c r="G38" s="2017"/>
      <c r="H38" s="2017"/>
      <c r="I38" s="513">
        <v>28118356.979199998</v>
      </c>
      <c r="J38" s="513">
        <f>14569760-1940377.3872</f>
        <v>12629382.6128</v>
      </c>
      <c r="K38" s="513"/>
      <c r="L38" s="808">
        <f t="shared" si="1"/>
        <v>40747739.592</v>
      </c>
      <c r="M38" s="513"/>
      <c r="N38" s="513"/>
      <c r="O38" s="513"/>
      <c r="P38" s="808">
        <f t="shared" si="2"/>
        <v>0</v>
      </c>
      <c r="Q38" s="808">
        <f t="shared" si="3"/>
        <v>40747739.592</v>
      </c>
    </row>
    <row r="39" spans="2:17" s="571" customFormat="1" ht="15" customHeight="1">
      <c r="B39" s="1422"/>
      <c r="C39" s="567" t="s">
        <v>791</v>
      </c>
      <c r="D39" s="2017" t="s">
        <v>235</v>
      </c>
      <c r="E39" s="2017" t="s">
        <v>776</v>
      </c>
      <c r="F39" s="2017"/>
      <c r="G39" s="2017"/>
      <c r="H39" s="2017"/>
      <c r="I39" s="513">
        <v>3092319.7335757613</v>
      </c>
      <c r="J39" s="513">
        <v>35715051.306424238</v>
      </c>
      <c r="K39" s="513"/>
      <c r="L39" s="808">
        <f t="shared" si="1"/>
        <v>38807371.039999999</v>
      </c>
      <c r="M39" s="513"/>
      <c r="N39" s="513"/>
      <c r="O39" s="513"/>
      <c r="P39" s="808">
        <f t="shared" si="2"/>
        <v>0</v>
      </c>
      <c r="Q39" s="808">
        <f t="shared" si="3"/>
        <v>38807371.039999999</v>
      </c>
    </row>
    <row r="40" spans="2:17" s="571" customFormat="1" ht="15" customHeight="1">
      <c r="B40" s="1422"/>
      <c r="C40" s="567" t="s">
        <v>896</v>
      </c>
      <c r="D40" s="2017" t="s">
        <v>235</v>
      </c>
      <c r="E40" s="2017" t="s">
        <v>776</v>
      </c>
      <c r="F40" s="2017"/>
      <c r="G40" s="2017"/>
      <c r="H40" s="2017"/>
      <c r="I40" s="513"/>
      <c r="J40" s="513"/>
      <c r="K40" s="513"/>
      <c r="L40" s="808">
        <f t="shared" si="1"/>
        <v>0</v>
      </c>
      <c r="M40" s="513"/>
      <c r="N40" s="513"/>
      <c r="O40" s="513"/>
      <c r="P40" s="808">
        <f t="shared" si="2"/>
        <v>0</v>
      </c>
      <c r="Q40" s="808">
        <f t="shared" si="3"/>
        <v>0</v>
      </c>
    </row>
    <row r="41" spans="2:17" s="571" customFormat="1" ht="15" customHeight="1">
      <c r="B41" s="1422"/>
      <c r="C41" s="567" t="s">
        <v>853</v>
      </c>
      <c r="D41" s="2107" t="s">
        <v>568</v>
      </c>
      <c r="E41" s="2107" t="s">
        <v>849</v>
      </c>
      <c r="F41" s="2107"/>
      <c r="G41" s="2107"/>
      <c r="H41" s="2107"/>
      <c r="I41" s="513"/>
      <c r="J41" s="513"/>
      <c r="K41" s="513"/>
      <c r="L41" s="808">
        <f t="shared" si="1"/>
        <v>0</v>
      </c>
      <c r="M41" s="513"/>
      <c r="N41" s="513"/>
      <c r="O41" s="513"/>
      <c r="P41" s="808">
        <f t="shared" si="2"/>
        <v>0</v>
      </c>
      <c r="Q41" s="808">
        <f t="shared" si="3"/>
        <v>0</v>
      </c>
    </row>
    <row r="42" spans="2:17" s="571" customFormat="1" ht="15" customHeight="1">
      <c r="B42" s="1422"/>
      <c r="C42" s="567" t="s">
        <v>854</v>
      </c>
      <c r="D42" s="2107" t="s">
        <v>568</v>
      </c>
      <c r="E42" s="2107" t="s">
        <v>849</v>
      </c>
      <c r="F42" s="2107"/>
      <c r="G42" s="2107"/>
      <c r="H42" s="2107"/>
      <c r="I42" s="513"/>
      <c r="J42" s="513"/>
      <c r="K42" s="513"/>
      <c r="L42" s="808">
        <f t="shared" si="1"/>
        <v>0</v>
      </c>
      <c r="M42" s="513"/>
      <c r="N42" s="513"/>
      <c r="O42" s="513"/>
      <c r="P42" s="808">
        <f t="shared" si="2"/>
        <v>0</v>
      </c>
      <c r="Q42" s="808">
        <f t="shared" si="3"/>
        <v>0</v>
      </c>
    </row>
    <row r="43" spans="2:17" s="571" customFormat="1" ht="15" customHeight="1">
      <c r="B43" s="1422"/>
      <c r="C43" s="567"/>
      <c r="D43" s="2107"/>
      <c r="E43" s="2107"/>
      <c r="F43" s="2107"/>
      <c r="G43" s="2107"/>
      <c r="H43" s="2107"/>
      <c r="I43" s="513"/>
      <c r="J43" s="513"/>
      <c r="K43" s="513"/>
      <c r="L43" s="808">
        <f t="shared" si="1"/>
        <v>0</v>
      </c>
      <c r="M43" s="513"/>
      <c r="N43" s="513"/>
      <c r="O43" s="513"/>
      <c r="P43" s="808">
        <f t="shared" si="2"/>
        <v>0</v>
      </c>
      <c r="Q43" s="808">
        <f t="shared" si="3"/>
        <v>0</v>
      </c>
    </row>
    <row r="44" spans="2:17" s="571" customFormat="1" ht="15" customHeight="1">
      <c r="B44" s="1422"/>
      <c r="C44" s="567" t="s">
        <v>897</v>
      </c>
      <c r="D44" s="2107" t="s">
        <v>235</v>
      </c>
      <c r="E44" s="2107" t="s">
        <v>776</v>
      </c>
      <c r="F44" s="2107"/>
      <c r="G44" s="2107"/>
      <c r="H44" s="2107"/>
      <c r="I44" s="513">
        <v>24743961.61792</v>
      </c>
      <c r="J44" s="513">
        <f>12743961.61792+3259816.35616</f>
        <v>16003777.97408</v>
      </c>
      <c r="K44" s="513"/>
      <c r="L44" s="808">
        <f t="shared" si="1"/>
        <v>40747739.592</v>
      </c>
      <c r="M44" s="513"/>
      <c r="N44" s="513"/>
      <c r="O44" s="513"/>
      <c r="P44" s="808">
        <f t="shared" si="2"/>
        <v>0</v>
      </c>
      <c r="Q44" s="808">
        <f t="shared" si="3"/>
        <v>40747739.592</v>
      </c>
    </row>
    <row r="45" spans="2:17" s="571" customFormat="1" ht="15" customHeight="1">
      <c r="B45" s="1422"/>
      <c r="C45" s="567" t="s">
        <v>898</v>
      </c>
      <c r="D45" s="2107" t="s">
        <v>235</v>
      </c>
      <c r="E45" s="2107" t="s">
        <v>776</v>
      </c>
      <c r="F45" s="2107"/>
      <c r="G45" s="2107"/>
      <c r="H45" s="2107"/>
      <c r="I45" s="513">
        <f>30567178.4896-1940368</f>
        <v>28626810.489599999</v>
      </c>
      <c r="J45" s="513">
        <f>12120938.4896-1940377.3872</f>
        <v>10180561.102400001</v>
      </c>
      <c r="K45" s="513"/>
      <c r="L45" s="808">
        <f t="shared" si="1"/>
        <v>38807371.592</v>
      </c>
      <c r="M45" s="513"/>
      <c r="N45" s="513"/>
      <c r="O45" s="513"/>
      <c r="P45" s="808">
        <f t="shared" si="2"/>
        <v>0</v>
      </c>
      <c r="Q45" s="808">
        <f t="shared" si="3"/>
        <v>38807371.592</v>
      </c>
    </row>
    <row r="46" spans="2:17" s="571" customFormat="1" ht="15" customHeight="1">
      <c r="B46" s="1422"/>
      <c r="C46" s="567" t="s">
        <v>899</v>
      </c>
      <c r="D46" s="2107" t="s">
        <v>235</v>
      </c>
      <c r="E46" s="2107" t="s">
        <v>776</v>
      </c>
      <c r="F46" s="2107"/>
      <c r="G46" s="2107"/>
      <c r="H46" s="2107"/>
      <c r="I46" s="513">
        <v>30567178.489599999</v>
      </c>
      <c r="J46" s="513">
        <f>12120938.4896-1940377.3872</f>
        <v>10180561.102400001</v>
      </c>
      <c r="K46" s="513"/>
      <c r="L46" s="808">
        <f t="shared" si="1"/>
        <v>40747739.592</v>
      </c>
      <c r="M46" s="513"/>
      <c r="N46" s="513"/>
      <c r="O46" s="513"/>
      <c r="P46" s="808">
        <f t="shared" si="2"/>
        <v>0</v>
      </c>
      <c r="Q46" s="808">
        <f t="shared" si="3"/>
        <v>40747739.592</v>
      </c>
    </row>
    <row r="47" spans="2:17" s="571" customFormat="1" ht="15" customHeight="1">
      <c r="B47" s="1422"/>
      <c r="C47" s="567" t="s">
        <v>900</v>
      </c>
      <c r="D47" s="2107" t="s">
        <v>235</v>
      </c>
      <c r="E47" s="2107" t="s">
        <v>776</v>
      </c>
      <c r="F47" s="2107"/>
      <c r="G47" s="2107"/>
      <c r="H47" s="2107"/>
      <c r="I47" s="513"/>
      <c r="J47" s="513"/>
      <c r="K47" s="513"/>
      <c r="L47" s="808">
        <f t="shared" si="1"/>
        <v>0</v>
      </c>
      <c r="M47" s="513"/>
      <c r="N47" s="513">
        <v>27165160</v>
      </c>
      <c r="O47" s="513"/>
      <c r="P47" s="808">
        <f t="shared" si="2"/>
        <v>27165160</v>
      </c>
      <c r="Q47" s="808">
        <f t="shared" si="3"/>
        <v>27165160</v>
      </c>
    </row>
    <row r="48" spans="2:17" s="571" customFormat="1" ht="15" customHeight="1">
      <c r="B48" s="1422"/>
      <c r="C48" s="567" t="s">
        <v>901</v>
      </c>
      <c r="D48" s="2107" t="s">
        <v>235</v>
      </c>
      <c r="E48" s="2107" t="s">
        <v>776</v>
      </c>
      <c r="F48" s="2107"/>
      <c r="G48" s="2107"/>
      <c r="H48" s="2107"/>
      <c r="I48" s="513"/>
      <c r="J48" s="513"/>
      <c r="K48" s="513"/>
      <c r="L48" s="808">
        <f t="shared" si="1"/>
        <v>0</v>
      </c>
      <c r="M48" s="513"/>
      <c r="N48" s="513"/>
      <c r="O48" s="513"/>
      <c r="P48" s="808">
        <f t="shared" si="2"/>
        <v>0</v>
      </c>
      <c r="Q48" s="808">
        <f t="shared" si="3"/>
        <v>0</v>
      </c>
    </row>
    <row r="49" spans="2:19" s="571" customFormat="1" ht="15" customHeight="1">
      <c r="B49" s="1422"/>
      <c r="C49" s="567" t="s">
        <v>864</v>
      </c>
      <c r="D49" s="2107" t="s">
        <v>787</v>
      </c>
      <c r="E49" s="2107" t="s">
        <v>835</v>
      </c>
      <c r="F49" s="2107"/>
      <c r="G49" s="2107"/>
      <c r="H49" s="2107"/>
      <c r="I49" s="513"/>
      <c r="J49" s="513"/>
      <c r="K49" s="513"/>
      <c r="L49" s="808">
        <f t="shared" si="1"/>
        <v>0</v>
      </c>
      <c r="M49" s="513"/>
      <c r="N49" s="513"/>
      <c r="O49" s="513"/>
      <c r="P49" s="808">
        <f t="shared" si="2"/>
        <v>0</v>
      </c>
      <c r="Q49" s="808">
        <f t="shared" si="3"/>
        <v>0</v>
      </c>
    </row>
    <row r="50" spans="2:19" s="571" customFormat="1" ht="15" customHeight="1">
      <c r="B50" s="1422"/>
      <c r="C50" s="567" t="s">
        <v>800</v>
      </c>
      <c r="D50" s="2107" t="s">
        <v>787</v>
      </c>
      <c r="E50" s="2107" t="s">
        <v>776</v>
      </c>
      <c r="F50" s="2107"/>
      <c r="G50" s="2107"/>
      <c r="H50" s="2107"/>
      <c r="I50" s="513"/>
      <c r="J50" s="513"/>
      <c r="K50" s="513"/>
      <c r="L50" s="808">
        <f t="shared" si="1"/>
        <v>0</v>
      </c>
      <c r="M50" s="513"/>
      <c r="N50" s="513"/>
      <c r="O50" s="513"/>
      <c r="P50" s="808">
        <f t="shared" si="2"/>
        <v>0</v>
      </c>
      <c r="Q50" s="808">
        <f t="shared" si="3"/>
        <v>0</v>
      </c>
    </row>
    <row r="51" spans="2:19" s="571" customFormat="1" ht="15" customHeight="1">
      <c r="B51" s="1422"/>
      <c r="C51" s="567"/>
      <c r="D51" s="2107"/>
      <c r="E51" s="2107"/>
      <c r="F51" s="2107"/>
      <c r="G51" s="2107"/>
      <c r="H51" s="2107"/>
      <c r="I51" s="513"/>
      <c r="J51" s="513"/>
      <c r="K51" s="513"/>
      <c r="L51" s="808">
        <f t="shared" si="1"/>
        <v>0</v>
      </c>
      <c r="M51" s="513"/>
      <c r="N51" s="513"/>
      <c r="O51" s="513"/>
      <c r="P51" s="808">
        <f t="shared" si="2"/>
        <v>0</v>
      </c>
      <c r="Q51" s="808">
        <f t="shared" si="3"/>
        <v>0</v>
      </c>
    </row>
    <row r="52" spans="2:19" s="571" customFormat="1" ht="15" customHeight="1">
      <c r="B52" s="1422"/>
      <c r="C52" s="567" t="s">
        <v>848</v>
      </c>
      <c r="D52" s="2107" t="s">
        <v>568</v>
      </c>
      <c r="E52" s="2107" t="s">
        <v>849</v>
      </c>
      <c r="F52" s="2107"/>
      <c r="G52" s="2107"/>
      <c r="H52" s="2107"/>
      <c r="I52" s="513"/>
      <c r="J52" s="513"/>
      <c r="K52" s="513"/>
      <c r="L52" s="808">
        <f t="shared" si="1"/>
        <v>0</v>
      </c>
      <c r="M52" s="513"/>
      <c r="N52" s="513"/>
      <c r="O52" s="513"/>
      <c r="P52" s="808">
        <f t="shared" si="2"/>
        <v>0</v>
      </c>
      <c r="Q52" s="808">
        <f t="shared" si="3"/>
        <v>0</v>
      </c>
    </row>
    <row r="53" spans="2:19" s="571" customFormat="1" ht="15" customHeight="1">
      <c r="B53" s="1422"/>
      <c r="C53" s="567" t="s">
        <v>850</v>
      </c>
      <c r="D53" s="2107" t="s">
        <v>568</v>
      </c>
      <c r="E53" s="2107" t="s">
        <v>849</v>
      </c>
      <c r="F53" s="2107"/>
      <c r="G53" s="2107"/>
      <c r="H53" s="2107"/>
      <c r="I53" s="513"/>
      <c r="J53" s="513"/>
      <c r="K53" s="513">
        <f>10000000-4980000</f>
        <v>5020000</v>
      </c>
      <c r="L53" s="808">
        <f t="shared" si="1"/>
        <v>5020000</v>
      </c>
      <c r="M53" s="513"/>
      <c r="N53" s="513"/>
      <c r="O53" s="513"/>
      <c r="P53" s="808">
        <f t="shared" si="2"/>
        <v>0</v>
      </c>
      <c r="Q53" s="808">
        <f t="shared" si="3"/>
        <v>5020000</v>
      </c>
    </row>
    <row r="54" spans="2:19" s="571" customFormat="1" ht="15" customHeight="1">
      <c r="B54" s="1422"/>
      <c r="C54" s="567" t="s">
        <v>851</v>
      </c>
      <c r="D54" s="2107" t="s">
        <v>568</v>
      </c>
      <c r="E54" s="2107" t="s">
        <v>849</v>
      </c>
      <c r="F54" s="2107"/>
      <c r="G54" s="2107"/>
      <c r="H54" s="2107"/>
      <c r="I54" s="513"/>
      <c r="J54" s="513"/>
      <c r="K54" s="513">
        <v>10000000</v>
      </c>
      <c r="L54" s="808">
        <f t="shared" si="1"/>
        <v>10000000</v>
      </c>
      <c r="M54" s="513"/>
      <c r="N54" s="513"/>
      <c r="O54" s="513"/>
      <c r="P54" s="808">
        <f t="shared" si="2"/>
        <v>0</v>
      </c>
      <c r="Q54" s="808">
        <f t="shared" si="3"/>
        <v>10000000</v>
      </c>
    </row>
    <row r="55" spans="2:19" s="571" customFormat="1" ht="15" customHeight="1">
      <c r="B55" s="1422"/>
      <c r="C55" s="567" t="s">
        <v>852</v>
      </c>
      <c r="D55" s="2107" t="s">
        <v>568</v>
      </c>
      <c r="E55" s="2107" t="s">
        <v>849</v>
      </c>
      <c r="F55" s="2107"/>
      <c r="G55" s="2107"/>
      <c r="H55" s="2107"/>
      <c r="I55" s="513"/>
      <c r="J55" s="513"/>
      <c r="K55" s="513">
        <v>10000000</v>
      </c>
      <c r="L55" s="808">
        <f t="shared" si="1"/>
        <v>10000000</v>
      </c>
      <c r="M55" s="513"/>
      <c r="N55" s="513"/>
      <c r="O55" s="513"/>
      <c r="P55" s="808">
        <f t="shared" si="2"/>
        <v>0</v>
      </c>
      <c r="Q55" s="808">
        <f t="shared" si="3"/>
        <v>10000000</v>
      </c>
    </row>
    <row r="56" spans="2:19" s="571" customFormat="1" ht="15" customHeight="1">
      <c r="B56" s="1422"/>
      <c r="C56" s="567" t="s">
        <v>853</v>
      </c>
      <c r="D56" s="2107" t="s">
        <v>568</v>
      </c>
      <c r="E56" s="2107" t="s">
        <v>849</v>
      </c>
      <c r="F56" s="2107"/>
      <c r="G56" s="2107"/>
      <c r="H56" s="2107"/>
      <c r="I56" s="513"/>
      <c r="J56" s="513"/>
      <c r="K56" s="513">
        <f>10000000-4619363-2152175</f>
        <v>3228462</v>
      </c>
      <c r="L56" s="808">
        <f t="shared" si="1"/>
        <v>3228462</v>
      </c>
      <c r="M56" s="513"/>
      <c r="N56" s="513"/>
      <c r="O56" s="513"/>
      <c r="P56" s="808">
        <f t="shared" si="2"/>
        <v>0</v>
      </c>
      <c r="Q56" s="808">
        <f t="shared" si="3"/>
        <v>3228462</v>
      </c>
    </row>
    <row r="57" spans="2:19" s="571" customFormat="1" ht="15" customHeight="1">
      <c r="B57" s="1422"/>
      <c r="C57" s="567" t="s">
        <v>854</v>
      </c>
      <c r="D57" s="2107" t="s">
        <v>568</v>
      </c>
      <c r="E57" s="2107" t="s">
        <v>849</v>
      </c>
      <c r="F57" s="2107"/>
      <c r="G57" s="2107"/>
      <c r="H57" s="2107"/>
      <c r="I57" s="513"/>
      <c r="J57" s="513"/>
      <c r="K57" s="513">
        <f>10000000-10000000</f>
        <v>0</v>
      </c>
      <c r="L57" s="808">
        <f t="shared" si="1"/>
        <v>0</v>
      </c>
      <c r="M57" s="513"/>
      <c r="N57" s="513"/>
      <c r="O57" s="513"/>
      <c r="P57" s="808">
        <f t="shared" si="2"/>
        <v>0</v>
      </c>
      <c r="Q57" s="808">
        <f t="shared" si="3"/>
        <v>0</v>
      </c>
    </row>
    <row r="58" spans="2:19" s="571" customFormat="1" ht="15" customHeight="1">
      <c r="B58" s="1422"/>
      <c r="C58" s="567" t="s">
        <v>855</v>
      </c>
      <c r="D58" s="2107" t="s">
        <v>568</v>
      </c>
      <c r="E58" s="2107" t="s">
        <v>849</v>
      </c>
      <c r="F58" s="2107"/>
      <c r="G58" s="2107"/>
      <c r="H58" s="2107"/>
      <c r="I58" s="513"/>
      <c r="J58" s="513"/>
      <c r="K58" s="513">
        <v>10000000</v>
      </c>
      <c r="L58" s="808">
        <f t="shared" si="1"/>
        <v>10000000</v>
      </c>
      <c r="M58" s="513"/>
      <c r="N58" s="513"/>
      <c r="O58" s="513"/>
      <c r="P58" s="808">
        <f t="shared" si="2"/>
        <v>0</v>
      </c>
      <c r="Q58" s="808">
        <f t="shared" si="3"/>
        <v>10000000</v>
      </c>
    </row>
    <row r="59" spans="2:19" s="571" customFormat="1" ht="15" customHeight="1">
      <c r="B59" s="1422"/>
      <c r="C59" s="567" t="s">
        <v>856</v>
      </c>
      <c r="D59" s="2107" t="s">
        <v>568</v>
      </c>
      <c r="E59" s="2107" t="s">
        <v>849</v>
      </c>
      <c r="F59" s="2107"/>
      <c r="G59" s="2107"/>
      <c r="H59" s="2107"/>
      <c r="I59" s="513"/>
      <c r="J59" s="513"/>
      <c r="K59" s="513"/>
      <c r="L59" s="808">
        <f t="shared" si="1"/>
        <v>0</v>
      </c>
      <c r="M59" s="513"/>
      <c r="N59" s="513"/>
      <c r="O59" s="513"/>
      <c r="P59" s="808">
        <f t="shared" si="2"/>
        <v>0</v>
      </c>
      <c r="Q59" s="808">
        <f t="shared" si="3"/>
        <v>0</v>
      </c>
    </row>
    <row r="60" spans="2:19" s="571" customFormat="1" ht="27.75" customHeight="1">
      <c r="B60" s="1422"/>
      <c r="C60" s="567" t="s">
        <v>1139</v>
      </c>
      <c r="D60" s="2108" t="s">
        <v>787</v>
      </c>
      <c r="E60" s="2108" t="s">
        <v>835</v>
      </c>
      <c r="F60" s="2107" t="s">
        <v>1121</v>
      </c>
      <c r="G60" s="2107"/>
      <c r="H60" s="2107"/>
      <c r="I60" s="513"/>
      <c r="J60" s="513">
        <v>8878714.106742382</v>
      </c>
      <c r="K60" s="513">
        <f>3257893-468927</f>
        <v>2788966</v>
      </c>
      <c r="L60" s="808">
        <f t="shared" si="1"/>
        <v>11667680.106742382</v>
      </c>
      <c r="M60" s="513"/>
      <c r="N60" s="513"/>
      <c r="O60" s="513"/>
      <c r="P60" s="808">
        <f t="shared" si="2"/>
        <v>0</v>
      </c>
      <c r="Q60" s="808">
        <f t="shared" si="3"/>
        <v>11667680.106742382</v>
      </c>
    </row>
    <row r="61" spans="2:19" s="571" customFormat="1" ht="30.75" customHeight="1">
      <c r="B61" s="1422"/>
      <c r="C61" s="567" t="s">
        <v>840</v>
      </c>
      <c r="D61" s="2107" t="s">
        <v>787</v>
      </c>
      <c r="E61" s="2107" t="s">
        <v>835</v>
      </c>
      <c r="F61" s="2107"/>
      <c r="G61" s="2107"/>
      <c r="H61" s="2107"/>
      <c r="J61" s="513">
        <v>4016000</v>
      </c>
      <c r="K61" s="513"/>
      <c r="L61" s="808">
        <f>+SUM(J61:K61)</f>
        <v>4016000</v>
      </c>
      <c r="N61" s="513"/>
      <c r="O61" s="513"/>
      <c r="P61" s="808">
        <f>+SUM(N61:O61)</f>
        <v>0</v>
      </c>
      <c r="Q61" s="808">
        <f t="shared" si="3"/>
        <v>4016000</v>
      </c>
    </row>
    <row r="62" spans="2:19" s="252" customFormat="1" ht="30.75" customHeight="1">
      <c r="B62" s="1421"/>
      <c r="C62" s="567" t="s">
        <v>1363</v>
      </c>
      <c r="D62" s="2107" t="s">
        <v>235</v>
      </c>
      <c r="E62" s="2107" t="s">
        <v>835</v>
      </c>
      <c r="F62" s="2107"/>
      <c r="G62" s="2107"/>
      <c r="H62" s="2107"/>
      <c r="I62" s="513"/>
      <c r="J62" s="513"/>
      <c r="K62" s="513">
        <f>10000000-1121286</f>
        <v>8878714</v>
      </c>
      <c r="L62" s="808">
        <f t="shared" ref="L62" si="6">+SUM(I62:K62)</f>
        <v>8878714</v>
      </c>
      <c r="M62" s="513">
        <f>7468796.16-7468796.16</f>
        <v>0</v>
      </c>
      <c r="N62" s="513"/>
      <c r="O62" s="1548"/>
      <c r="P62" s="1988">
        <f t="shared" ref="P62" si="7">+SUM(M62:O62)</f>
        <v>0</v>
      </c>
      <c r="Q62" s="1988">
        <f t="shared" si="3"/>
        <v>8878714</v>
      </c>
      <c r="S62" s="2016">
        <f>+Q62+'[3]ACCIONES 320103'!K132</f>
        <v>15020626.5</v>
      </c>
    </row>
    <row r="63" spans="2:19" s="571" customFormat="1" ht="30.75" customHeight="1">
      <c r="B63" s="1422"/>
      <c r="C63" s="567" t="s">
        <v>802</v>
      </c>
      <c r="D63" s="2107" t="s">
        <v>235</v>
      </c>
      <c r="E63" s="2107" t="s">
        <v>776</v>
      </c>
      <c r="F63" s="2107"/>
      <c r="G63" s="2107"/>
      <c r="H63" s="2107"/>
      <c r="I63" s="513">
        <v>28581825.173440002</v>
      </c>
      <c r="J63" s="513"/>
      <c r="K63" s="513"/>
      <c r="L63" s="808">
        <f t="shared" si="1"/>
        <v>28581825.173440002</v>
      </c>
      <c r="M63" s="513"/>
      <c r="N63" s="513"/>
      <c r="O63" s="513"/>
      <c r="P63" s="808">
        <f t="shared" ref="P63:P67" si="8">+SUM(M63:O63)</f>
        <v>0</v>
      </c>
      <c r="Q63" s="808">
        <f t="shared" si="3"/>
        <v>28581825.173440002</v>
      </c>
    </row>
    <row r="64" spans="2:19" s="571" customFormat="1" ht="30.75" customHeight="1">
      <c r="B64" s="1422"/>
      <c r="C64" s="567" t="s">
        <v>824</v>
      </c>
      <c r="D64" s="2107" t="s">
        <v>235</v>
      </c>
      <c r="E64" s="2107" t="s">
        <v>776</v>
      </c>
      <c r="F64" s="2107"/>
      <c r="G64" s="2107"/>
      <c r="H64" s="2107"/>
      <c r="I64" s="513">
        <v>2504013.6111574201</v>
      </c>
      <c r="J64" s="513"/>
      <c r="K64" s="513"/>
      <c r="L64" s="808">
        <f t="shared" si="1"/>
        <v>2504013.6111574201</v>
      </c>
      <c r="M64" s="513"/>
      <c r="N64" s="513"/>
      <c r="O64" s="513"/>
      <c r="P64" s="808">
        <f t="shared" si="8"/>
        <v>0</v>
      </c>
      <c r="Q64" s="808">
        <f t="shared" si="3"/>
        <v>2504013.6111574201</v>
      </c>
    </row>
    <row r="65" spans="1:19" s="571" customFormat="1" ht="30.75" customHeight="1">
      <c r="B65" s="1422"/>
      <c r="C65" s="567" t="s">
        <v>827</v>
      </c>
      <c r="D65" s="2107" t="s">
        <v>235</v>
      </c>
      <c r="E65" s="2107" t="s">
        <v>776</v>
      </c>
      <c r="F65" s="2107"/>
      <c r="G65" s="2107"/>
      <c r="H65" s="2107"/>
      <c r="I65" s="513"/>
      <c r="J65" s="513"/>
      <c r="K65" s="513"/>
      <c r="L65" s="808">
        <f t="shared" si="1"/>
        <v>0</v>
      </c>
      <c r="M65" s="513"/>
      <c r="N65" s="513"/>
      <c r="O65" s="513"/>
      <c r="P65" s="808">
        <f t="shared" si="8"/>
        <v>0</v>
      </c>
      <c r="Q65" s="808">
        <f t="shared" si="3"/>
        <v>0</v>
      </c>
    </row>
    <row r="66" spans="1:19" s="571" customFormat="1" ht="30.75" customHeight="1">
      <c r="B66" s="1422"/>
      <c r="C66" s="567" t="s">
        <v>829</v>
      </c>
      <c r="D66" s="2107" t="s">
        <v>235</v>
      </c>
      <c r="E66" s="2107" t="s">
        <v>776</v>
      </c>
      <c r="F66" s="2107"/>
      <c r="G66" s="2107"/>
      <c r="H66" s="2107"/>
      <c r="I66" s="513">
        <v>19000000</v>
      </c>
      <c r="J66" s="513"/>
      <c r="K66" s="513"/>
      <c r="L66" s="808">
        <f t="shared" si="1"/>
        <v>19000000</v>
      </c>
      <c r="M66" s="513"/>
      <c r="N66" s="513"/>
      <c r="O66" s="513"/>
      <c r="P66" s="808">
        <f t="shared" si="8"/>
        <v>0</v>
      </c>
      <c r="Q66" s="808">
        <f t="shared" si="3"/>
        <v>19000000</v>
      </c>
    </row>
    <row r="67" spans="1:19" s="571" customFormat="1" ht="15" customHeight="1">
      <c r="B67" s="1422"/>
      <c r="C67" s="567"/>
      <c r="D67" s="811"/>
      <c r="E67" s="811"/>
      <c r="F67" s="811"/>
      <c r="G67" s="811"/>
      <c r="H67" s="811"/>
      <c r="I67" s="513"/>
      <c r="J67" s="513"/>
      <c r="K67" s="513"/>
      <c r="L67" s="808">
        <f t="shared" si="1"/>
        <v>0</v>
      </c>
      <c r="M67" s="513"/>
      <c r="N67" s="513"/>
      <c r="O67" s="513"/>
      <c r="P67" s="808">
        <f t="shared" si="8"/>
        <v>0</v>
      </c>
      <c r="Q67" s="808">
        <f t="shared" si="3"/>
        <v>0</v>
      </c>
    </row>
    <row r="68" spans="1:19" s="252" customFormat="1" ht="25.5" customHeight="1">
      <c r="A68" s="835"/>
      <c r="B68" s="1429" t="s">
        <v>1061</v>
      </c>
      <c r="C68" s="834" t="s">
        <v>451</v>
      </c>
      <c r="D68" s="835"/>
      <c r="E68" s="835"/>
      <c r="F68" s="835" t="s">
        <v>209</v>
      </c>
      <c r="G68" s="835">
        <v>1</v>
      </c>
      <c r="H68" s="835"/>
      <c r="I68" s="835">
        <f t="shared" ref="I68:Q68" si="9">SUM(I69:I73)</f>
        <v>0</v>
      </c>
      <c r="J68" s="836">
        <f t="shared" si="9"/>
        <v>0</v>
      </c>
      <c r="K68" s="836">
        <f t="shared" si="9"/>
        <v>0</v>
      </c>
      <c r="L68" s="837">
        <f t="shared" si="9"/>
        <v>0</v>
      </c>
      <c r="M68" s="835">
        <f t="shared" si="9"/>
        <v>0</v>
      </c>
      <c r="N68" s="836">
        <f t="shared" si="9"/>
        <v>0</v>
      </c>
      <c r="O68" s="836">
        <f t="shared" si="9"/>
        <v>21500000</v>
      </c>
      <c r="P68" s="837">
        <f t="shared" si="9"/>
        <v>21500000</v>
      </c>
      <c r="Q68" s="837">
        <f t="shared" si="9"/>
        <v>21500000</v>
      </c>
    </row>
    <row r="69" spans="1:19" s="571" customFormat="1" ht="15" customHeight="1">
      <c r="B69" s="1422"/>
      <c r="C69" s="567" t="s">
        <v>902</v>
      </c>
      <c r="D69" s="811" t="s">
        <v>903</v>
      </c>
      <c r="E69" s="879" t="s">
        <v>904</v>
      </c>
      <c r="F69" s="811"/>
      <c r="G69" s="811"/>
      <c r="H69" s="811"/>
      <c r="I69" s="513"/>
      <c r="J69" s="513"/>
      <c r="K69" s="513"/>
      <c r="L69" s="259">
        <f>SUM(I69:K69)</f>
        <v>0</v>
      </c>
      <c r="M69" s="513"/>
      <c r="N69" s="513"/>
      <c r="O69" s="513">
        <v>4500000</v>
      </c>
      <c r="P69" s="259">
        <f>SUM(M69:O69)</f>
        <v>4500000</v>
      </c>
      <c r="Q69" s="808">
        <f t="shared" si="3"/>
        <v>4500000</v>
      </c>
    </row>
    <row r="70" spans="1:19" s="571" customFormat="1" ht="15" customHeight="1">
      <c r="B70" s="1422"/>
      <c r="C70" s="567" t="s">
        <v>905</v>
      </c>
      <c r="D70" s="811" t="s">
        <v>903</v>
      </c>
      <c r="E70" s="879" t="s">
        <v>904</v>
      </c>
      <c r="F70" s="811"/>
      <c r="G70" s="811"/>
      <c r="H70" s="811"/>
      <c r="I70" s="513"/>
      <c r="J70" s="513"/>
      <c r="K70" s="513"/>
      <c r="L70" s="259">
        <f>SUM(I70:K70)</f>
        <v>0</v>
      </c>
      <c r="M70" s="513"/>
      <c r="N70" s="513"/>
      <c r="O70" s="513">
        <v>5000000</v>
      </c>
      <c r="P70" s="259">
        <f>SUM(M70:O70)</f>
        <v>5000000</v>
      </c>
      <c r="Q70" s="808">
        <f t="shared" si="3"/>
        <v>5000000</v>
      </c>
    </row>
    <row r="71" spans="1:19" s="571" customFormat="1" ht="15" customHeight="1">
      <c r="B71" s="1422"/>
      <c r="C71" s="567" t="s">
        <v>906</v>
      </c>
      <c r="D71" s="811" t="s">
        <v>903</v>
      </c>
      <c r="E71" s="879" t="s">
        <v>904</v>
      </c>
      <c r="F71" s="811"/>
      <c r="G71" s="811"/>
      <c r="H71" s="811"/>
      <c r="I71" s="513"/>
      <c r="J71" s="513"/>
      <c r="K71" s="513"/>
      <c r="L71" s="259">
        <f>SUM(I71:K71)</f>
        <v>0</v>
      </c>
      <c r="M71" s="513"/>
      <c r="N71" s="513"/>
      <c r="O71" s="513">
        <f>5000000+1000000</f>
        <v>6000000</v>
      </c>
      <c r="P71" s="259">
        <f>SUM(M71:O71)</f>
        <v>6000000</v>
      </c>
      <c r="Q71" s="808">
        <f t="shared" si="3"/>
        <v>6000000</v>
      </c>
    </row>
    <row r="72" spans="1:19" s="571" customFormat="1" ht="28.5" customHeight="1">
      <c r="B72" s="1422"/>
      <c r="C72" s="567" t="s">
        <v>907</v>
      </c>
      <c r="D72" s="811" t="s">
        <v>903</v>
      </c>
      <c r="E72" s="879" t="s">
        <v>904</v>
      </c>
      <c r="F72" s="811"/>
      <c r="G72" s="811"/>
      <c r="H72" s="811"/>
      <c r="I72" s="513"/>
      <c r="J72" s="513"/>
      <c r="K72" s="513"/>
      <c r="L72" s="259">
        <f>SUM(I72:K72)</f>
        <v>0</v>
      </c>
      <c r="M72" s="513"/>
      <c r="N72" s="513"/>
      <c r="O72" s="513">
        <v>6000000</v>
      </c>
      <c r="P72" s="259">
        <f>SUM(M72:O72)</f>
        <v>6000000</v>
      </c>
      <c r="Q72" s="808">
        <f t="shared" si="3"/>
        <v>6000000</v>
      </c>
    </row>
    <row r="73" spans="1:19" s="566" customFormat="1" ht="15" customHeight="1">
      <c r="B73" s="1430"/>
      <c r="C73" s="565"/>
      <c r="D73" s="811"/>
      <c r="E73" s="879"/>
      <c r="F73" s="811"/>
      <c r="G73" s="811"/>
      <c r="H73" s="811"/>
      <c r="I73" s="513"/>
      <c r="J73" s="513"/>
      <c r="K73" s="513"/>
      <c r="L73" s="259">
        <f>SUM(I73:K73)</f>
        <v>0</v>
      </c>
      <c r="M73" s="513"/>
      <c r="N73" s="513"/>
      <c r="O73" s="513"/>
      <c r="P73" s="259">
        <f>SUM(M73:O73)</f>
        <v>0</v>
      </c>
      <c r="Q73" s="808">
        <f t="shared" si="3"/>
        <v>0</v>
      </c>
    </row>
    <row r="74" spans="1:19" ht="25.5" customHeight="1">
      <c r="A74" s="835"/>
      <c r="B74" s="1429" t="s">
        <v>1062</v>
      </c>
      <c r="C74" s="834" t="s">
        <v>452</v>
      </c>
      <c r="D74" s="835"/>
      <c r="E74" s="835"/>
      <c r="F74" s="835" t="s">
        <v>209</v>
      </c>
      <c r="G74" s="835">
        <v>1</v>
      </c>
      <c r="H74" s="835"/>
      <c r="I74" s="835">
        <f>+I75</f>
        <v>0</v>
      </c>
      <c r="J74" s="836">
        <f>SUM(J75:J78)</f>
        <v>0</v>
      </c>
      <c r="K74" s="836">
        <f>SUM(K75:K78)</f>
        <v>0</v>
      </c>
      <c r="L74" s="836">
        <f>SUM(L75:L78)</f>
        <v>0</v>
      </c>
      <c r="M74" s="835">
        <f>+M75</f>
        <v>32609920</v>
      </c>
      <c r="N74" s="836">
        <f>SUM(N75:N78)</f>
        <v>0</v>
      </c>
      <c r="O74" s="836">
        <f>SUM(O75:O78)</f>
        <v>6856657</v>
      </c>
      <c r="P74" s="836">
        <f>SUM(P75:P78)</f>
        <v>39466577</v>
      </c>
      <c r="Q74" s="836">
        <f>SUM(Q75:Q78)</f>
        <v>39466577</v>
      </c>
    </row>
    <row r="75" spans="1:19" s="566" customFormat="1" ht="15" customHeight="1">
      <c r="B75" s="1430"/>
      <c r="C75" s="567" t="s">
        <v>908</v>
      </c>
      <c r="D75" s="811" t="s">
        <v>568</v>
      </c>
      <c r="E75" s="811" t="s">
        <v>875</v>
      </c>
      <c r="F75" s="811"/>
      <c r="G75" s="811"/>
      <c r="H75" s="811"/>
      <c r="I75" s="513"/>
      <c r="J75" s="513"/>
      <c r="K75" s="513"/>
      <c r="L75" s="259">
        <f>+SUM(I75:K75)</f>
        <v>0</v>
      </c>
      <c r="M75" s="513">
        <f>40000000-7390080</f>
        <v>32609920</v>
      </c>
      <c r="N75" s="513"/>
      <c r="O75" s="513"/>
      <c r="P75" s="259">
        <f>+SUM(M75:O75)</f>
        <v>32609920</v>
      </c>
      <c r="Q75" s="808">
        <f t="shared" si="3"/>
        <v>32609920</v>
      </c>
    </row>
    <row r="76" spans="1:19" s="566" customFormat="1" ht="29.25" customHeight="1">
      <c r="B76" s="1430"/>
      <c r="C76" s="567" t="s">
        <v>909</v>
      </c>
      <c r="D76" s="494" t="s">
        <v>568</v>
      </c>
      <c r="E76" s="426">
        <v>64112</v>
      </c>
      <c r="F76" s="811"/>
      <c r="G76" s="811"/>
      <c r="H76" s="811"/>
      <c r="I76" s="513"/>
      <c r="J76" s="513"/>
      <c r="K76" s="513"/>
      <c r="L76" s="259">
        <f>+SUM(I76:K76)</f>
        <v>0</v>
      </c>
      <c r="M76" s="513"/>
      <c r="N76" s="513"/>
      <c r="O76" s="513">
        <v>6856657</v>
      </c>
      <c r="P76" s="259">
        <f>+SUM(M76:O76)</f>
        <v>6856657</v>
      </c>
      <c r="Q76" s="808">
        <f t="shared" si="3"/>
        <v>6856657</v>
      </c>
    </row>
    <row r="77" spans="1:19" s="566" customFormat="1" ht="29.25" customHeight="1">
      <c r="B77" s="1430"/>
      <c r="C77" s="567" t="s">
        <v>910</v>
      </c>
      <c r="D77" s="494" t="s">
        <v>568</v>
      </c>
      <c r="E77" s="426" t="s">
        <v>875</v>
      </c>
      <c r="F77" s="811"/>
      <c r="G77" s="811"/>
      <c r="H77" s="811"/>
      <c r="I77" s="513"/>
      <c r="J77" s="513"/>
      <c r="K77" s="513"/>
      <c r="L77" s="259">
        <f>+SUM(I77:K77)</f>
        <v>0</v>
      </c>
      <c r="M77" s="513"/>
      <c r="N77" s="513"/>
      <c r="O77" s="513"/>
      <c r="P77" s="259">
        <f>+SUM(M77:O77)</f>
        <v>0</v>
      </c>
      <c r="Q77" s="808">
        <f t="shared" si="3"/>
        <v>0</v>
      </c>
    </row>
    <row r="78" spans="1:19" s="566" customFormat="1" ht="24" customHeight="1" thickBot="1">
      <c r="B78" s="1430"/>
      <c r="C78" s="565" t="s">
        <v>911</v>
      </c>
      <c r="D78" s="811" t="s">
        <v>235</v>
      </c>
      <c r="E78" s="811" t="s">
        <v>875</v>
      </c>
      <c r="F78" s="811"/>
      <c r="G78" s="811"/>
      <c r="H78" s="811"/>
      <c r="I78" s="513"/>
      <c r="J78" s="513"/>
      <c r="K78" s="513"/>
      <c r="L78" s="259">
        <f>+SUM(I78:K78)</f>
        <v>0</v>
      </c>
      <c r="M78" s="513"/>
      <c r="N78" s="513"/>
      <c r="O78" s="513"/>
      <c r="P78" s="259">
        <f>+SUM(M78:O78)</f>
        <v>0</v>
      </c>
      <c r="Q78" s="808">
        <f t="shared" si="3"/>
        <v>0</v>
      </c>
    </row>
    <row r="79" spans="1:19" ht="44.25" customHeight="1" thickBot="1">
      <c r="A79" s="835">
        <v>128</v>
      </c>
      <c r="B79" s="1429"/>
      <c r="C79" s="838" t="s">
        <v>273</v>
      </c>
      <c r="D79" s="839"/>
      <c r="E79" s="839"/>
      <c r="F79" s="379" t="s">
        <v>210</v>
      </c>
      <c r="G79" s="379">
        <v>1</v>
      </c>
      <c r="H79" s="379"/>
      <c r="I79" s="825">
        <f t="shared" ref="I79:P79" si="10">+I80+I97</f>
        <v>28735049.001575802</v>
      </c>
      <c r="J79" s="825">
        <f t="shared" si="10"/>
        <v>311570060.22769445</v>
      </c>
      <c r="K79" s="825">
        <f t="shared" si="10"/>
        <v>29138924.399999999</v>
      </c>
      <c r="L79" s="826">
        <f t="shared" si="10"/>
        <v>369444033.62927032</v>
      </c>
      <c r="M79" s="825">
        <f t="shared" si="10"/>
        <v>0</v>
      </c>
      <c r="N79" s="825">
        <f t="shared" si="10"/>
        <v>0</v>
      </c>
      <c r="O79" s="825">
        <f t="shared" si="10"/>
        <v>8380047</v>
      </c>
      <c r="P79" s="826">
        <f t="shared" si="10"/>
        <v>8380047</v>
      </c>
      <c r="Q79" s="826">
        <f>+L79+P79</f>
        <v>377824080.62927032</v>
      </c>
    </row>
    <row r="80" spans="1:19" ht="51">
      <c r="A80" s="835"/>
      <c r="B80" s="1429" t="s">
        <v>1063</v>
      </c>
      <c r="C80" s="827" t="s">
        <v>274</v>
      </c>
      <c r="D80" s="828"/>
      <c r="E80" s="828"/>
      <c r="F80" s="829" t="s">
        <v>209</v>
      </c>
      <c r="G80" s="829">
        <v>1</v>
      </c>
      <c r="H80" s="829"/>
      <c r="I80" s="830">
        <f>SUM(I81:I94)</f>
        <v>28735049.001575802</v>
      </c>
      <c r="J80" s="830">
        <f>SUM(J81:J94)</f>
        <v>277952375.70769447</v>
      </c>
      <c r="K80" s="830">
        <f>SUM(K81:K94)</f>
        <v>25926124.399999999</v>
      </c>
      <c r="L80" s="831">
        <f>SUM(L81:L94)</f>
        <v>332613549.10927033</v>
      </c>
      <c r="M80" s="830">
        <f>SUM(M81:M95)</f>
        <v>0</v>
      </c>
      <c r="N80" s="830">
        <f>SUM(N81:N95)</f>
        <v>0</v>
      </c>
      <c r="O80" s="830">
        <f>SUM(O81:O96)</f>
        <v>8380047</v>
      </c>
      <c r="P80" s="830">
        <f>SUM(P81:P96)</f>
        <v>8380047</v>
      </c>
      <c r="Q80" s="831">
        <f>SUM(Q81:Q96)</f>
        <v>340993596.10927033</v>
      </c>
      <c r="R80"/>
      <c r="S80"/>
    </row>
    <row r="81" spans="2:17" s="566" customFormat="1" ht="26.25" customHeight="1">
      <c r="B81" s="1430"/>
      <c r="C81" s="567" t="s">
        <v>912</v>
      </c>
      <c r="D81" s="811" t="s">
        <v>235</v>
      </c>
      <c r="E81" s="811" t="s">
        <v>776</v>
      </c>
      <c r="F81" s="811"/>
      <c r="G81" s="811"/>
      <c r="H81" s="811"/>
      <c r="I81" s="513"/>
      <c r="J81" s="513">
        <v>30000000</v>
      </c>
      <c r="K81" s="513"/>
      <c r="L81" s="259">
        <f>+SUM(I81:K81)</f>
        <v>30000000</v>
      </c>
      <c r="M81" s="513"/>
      <c r="N81" s="513"/>
      <c r="O81" s="513"/>
      <c r="P81" s="259">
        <f>+SUM(M81:O81)</f>
        <v>0</v>
      </c>
      <c r="Q81" s="808">
        <f t="shared" ref="Q81:Q104" si="11">+P81+L81</f>
        <v>30000000</v>
      </c>
    </row>
    <row r="82" spans="2:17" s="566" customFormat="1" ht="26.25" customHeight="1">
      <c r="B82" s="1430"/>
      <c r="C82" s="567" t="s">
        <v>1140</v>
      </c>
      <c r="D82" s="811" t="s">
        <v>235</v>
      </c>
      <c r="E82" s="811" t="s">
        <v>776</v>
      </c>
      <c r="F82" s="811"/>
      <c r="G82" s="811"/>
      <c r="H82" s="811"/>
      <c r="I82" s="513"/>
      <c r="J82" s="1510">
        <f>4586327-4586327</f>
        <v>0</v>
      </c>
      <c r="K82" s="513"/>
      <c r="L82" s="259">
        <f t="shared" ref="L82:L84" si="12">+SUM(I82:K82)</f>
        <v>0</v>
      </c>
      <c r="M82" s="513"/>
      <c r="N82" s="1510"/>
      <c r="O82" s="513"/>
      <c r="P82" s="259">
        <f t="shared" ref="P82:P84" si="13">+SUM(M82:O82)</f>
        <v>0</v>
      </c>
      <c r="Q82" s="808">
        <f t="shared" si="11"/>
        <v>0</v>
      </c>
    </row>
    <row r="83" spans="2:17" s="566" customFormat="1" ht="26.25" customHeight="1">
      <c r="B83" s="1430"/>
      <c r="C83" s="567" t="s">
        <v>913</v>
      </c>
      <c r="D83" s="811" t="s">
        <v>235</v>
      </c>
      <c r="E83" s="811" t="s">
        <v>776</v>
      </c>
      <c r="F83" s="811"/>
      <c r="G83" s="811"/>
      <c r="H83" s="811"/>
      <c r="I83" s="513"/>
      <c r="J83" s="513">
        <v>7056933</v>
      </c>
      <c r="K83" s="513"/>
      <c r="L83" s="259">
        <f t="shared" si="12"/>
        <v>7056933</v>
      </c>
      <c r="M83" s="513"/>
      <c r="N83" s="513"/>
      <c r="O83" s="513"/>
      <c r="P83" s="259">
        <f t="shared" si="13"/>
        <v>0</v>
      </c>
      <c r="Q83" s="808">
        <f t="shared" si="11"/>
        <v>7056933</v>
      </c>
    </row>
    <row r="84" spans="2:17" s="566" customFormat="1" ht="26.25" customHeight="1">
      <c r="B84" s="1430"/>
      <c r="C84" s="567" t="s">
        <v>914</v>
      </c>
      <c r="D84" s="811" t="s">
        <v>235</v>
      </c>
      <c r="E84" s="811" t="s">
        <v>776</v>
      </c>
      <c r="F84" s="811"/>
      <c r="G84" s="811"/>
      <c r="H84" s="811"/>
      <c r="I84" s="513"/>
      <c r="J84" s="513"/>
      <c r="K84" s="513"/>
      <c r="L84" s="259">
        <f t="shared" si="12"/>
        <v>0</v>
      </c>
      <c r="M84" s="513"/>
      <c r="N84" s="513"/>
      <c r="O84" s="513"/>
      <c r="P84" s="259">
        <f t="shared" si="13"/>
        <v>0</v>
      </c>
      <c r="Q84" s="808">
        <f t="shared" si="11"/>
        <v>0</v>
      </c>
    </row>
    <row r="85" spans="2:17" s="566" customFormat="1" ht="20.25" customHeight="1">
      <c r="B85" s="1430"/>
      <c r="C85" s="567" t="s">
        <v>915</v>
      </c>
      <c r="D85" s="811" t="s">
        <v>235</v>
      </c>
      <c r="E85" s="811" t="s">
        <v>776</v>
      </c>
      <c r="F85" s="811"/>
      <c r="G85" s="811"/>
      <c r="H85" s="811"/>
      <c r="I85" s="513"/>
      <c r="J85" s="513">
        <f>34688116.9792-1972377.38720001-1908369</f>
        <v>30807370.591999989</v>
      </c>
      <c r="K85" s="513"/>
      <c r="L85" s="259">
        <f t="shared" ref="L85:L94" si="14">+SUM(I85:K85)</f>
        <v>30807370.591999989</v>
      </c>
      <c r="M85" s="513"/>
      <c r="N85" s="513"/>
      <c r="O85" s="513"/>
      <c r="P85" s="259">
        <f t="shared" ref="P85:P96" si="15">+SUM(M85:O85)</f>
        <v>0</v>
      </c>
      <c r="Q85" s="808">
        <f t="shared" si="11"/>
        <v>30807370.591999989</v>
      </c>
    </row>
    <row r="86" spans="2:17" s="566" customFormat="1" ht="20.25" customHeight="1">
      <c r="B86" s="1430"/>
      <c r="C86" s="567" t="s">
        <v>916</v>
      </c>
      <c r="D86" s="811" t="s">
        <v>235</v>
      </c>
      <c r="E86" s="811" t="s">
        <v>776</v>
      </c>
      <c r="F86" s="811"/>
      <c r="G86" s="811"/>
      <c r="H86" s="811"/>
      <c r="I86" s="513"/>
      <c r="J86" s="513">
        <v>1922044.7233195305</v>
      </c>
      <c r="K86" s="513">
        <v>25926124.399999999</v>
      </c>
      <c r="L86" s="259">
        <f t="shared" si="14"/>
        <v>27848169.123319529</v>
      </c>
      <c r="M86" s="513"/>
      <c r="N86" s="513"/>
      <c r="O86" s="513"/>
      <c r="P86" s="259">
        <f t="shared" si="15"/>
        <v>0</v>
      </c>
      <c r="Q86" s="808">
        <f t="shared" si="11"/>
        <v>27848169.123319529</v>
      </c>
    </row>
    <row r="87" spans="2:17" s="566" customFormat="1" ht="20.25" customHeight="1">
      <c r="B87" s="1430"/>
      <c r="C87" s="567" t="s">
        <v>917</v>
      </c>
      <c r="D87" s="2017" t="s">
        <v>235</v>
      </c>
      <c r="E87" s="2017" t="s">
        <v>776</v>
      </c>
      <c r="F87" s="2017"/>
      <c r="G87" s="2017"/>
      <c r="H87" s="2017"/>
      <c r="I87" s="513"/>
      <c r="J87" s="513">
        <f>34623254</f>
        <v>34623254</v>
      </c>
      <c r="K87" s="513"/>
      <c r="L87" s="259">
        <f t="shared" si="14"/>
        <v>34623254</v>
      </c>
      <c r="M87" s="513"/>
      <c r="N87" s="513"/>
      <c r="O87" s="513"/>
      <c r="P87" s="259">
        <f t="shared" si="15"/>
        <v>0</v>
      </c>
      <c r="Q87" s="808">
        <f t="shared" si="11"/>
        <v>34623254</v>
      </c>
    </row>
    <row r="88" spans="2:17" s="566" customFormat="1" ht="20.25" customHeight="1">
      <c r="B88" s="1430"/>
      <c r="C88" s="567" t="s">
        <v>918</v>
      </c>
      <c r="D88" s="2017" t="s">
        <v>235</v>
      </c>
      <c r="E88" s="2017" t="s">
        <v>776</v>
      </c>
      <c r="F88" s="2017"/>
      <c r="G88" s="2017"/>
      <c r="H88" s="2017"/>
      <c r="I88" s="513"/>
      <c r="J88" s="513">
        <v>27848167.305728003</v>
      </c>
      <c r="K88" s="513"/>
      <c r="L88" s="259">
        <f t="shared" si="14"/>
        <v>27848167.305728003</v>
      </c>
      <c r="M88" s="513"/>
      <c r="N88" s="513"/>
      <c r="O88" s="513"/>
      <c r="P88" s="259">
        <f t="shared" si="15"/>
        <v>0</v>
      </c>
      <c r="Q88" s="808">
        <f t="shared" si="11"/>
        <v>27848167.305728003</v>
      </c>
    </row>
    <row r="89" spans="2:17" s="566" customFormat="1" ht="20.25" customHeight="1">
      <c r="B89" s="1430"/>
      <c r="C89" s="567" t="s">
        <v>919</v>
      </c>
      <c r="D89" s="2017" t="s">
        <v>235</v>
      </c>
      <c r="E89" s="2017" t="s">
        <v>776</v>
      </c>
      <c r="F89" s="2017"/>
      <c r="G89" s="2017"/>
      <c r="H89" s="2017"/>
      <c r="I89" s="513"/>
      <c r="J89" s="1510">
        <f>36277289.581207-1589182</f>
        <v>34688107.581207</v>
      </c>
      <c r="K89" s="513"/>
      <c r="L89" s="259">
        <f t="shared" si="14"/>
        <v>34688107.581207</v>
      </c>
      <c r="M89" s="513"/>
      <c r="N89" s="1510"/>
      <c r="O89" s="513"/>
      <c r="P89" s="259">
        <f t="shared" si="15"/>
        <v>0</v>
      </c>
      <c r="Q89" s="808">
        <f t="shared" si="11"/>
        <v>34688107.581207</v>
      </c>
    </row>
    <row r="90" spans="2:17" s="566" customFormat="1" ht="20.25" customHeight="1">
      <c r="B90" s="1430"/>
      <c r="C90" s="567" t="s">
        <v>919</v>
      </c>
      <c r="D90" s="2017" t="s">
        <v>235</v>
      </c>
      <c r="E90" s="2017" t="s">
        <v>776</v>
      </c>
      <c r="F90" s="2017"/>
      <c r="G90" s="2017"/>
      <c r="H90" s="2017"/>
      <c r="I90" s="513"/>
      <c r="J90" s="513">
        <f>34688106.9792-34688106.9792</f>
        <v>0</v>
      </c>
      <c r="K90" s="513"/>
      <c r="L90" s="259">
        <f t="shared" si="14"/>
        <v>0</v>
      </c>
      <c r="M90" s="513"/>
      <c r="N90" s="513"/>
      <c r="O90" s="513"/>
      <c r="P90" s="259">
        <f t="shared" si="15"/>
        <v>0</v>
      </c>
      <c r="Q90" s="808">
        <f t="shared" si="11"/>
        <v>0</v>
      </c>
    </row>
    <row r="91" spans="2:17" s="566" customFormat="1" ht="20.25" customHeight="1">
      <c r="B91" s="1430"/>
      <c r="C91" s="567" t="s">
        <v>920</v>
      </c>
      <c r="D91" s="2017" t="s">
        <v>235</v>
      </c>
      <c r="E91" s="2017" t="s">
        <v>776</v>
      </c>
      <c r="F91" s="2017"/>
      <c r="G91" s="2017"/>
      <c r="H91" s="2017"/>
      <c r="I91" s="513"/>
      <c r="J91" s="513">
        <f>34672116.9792-1956377.38720001</f>
        <v>32715739.591999989</v>
      </c>
      <c r="K91" s="513"/>
      <c r="L91" s="259">
        <f t="shared" si="14"/>
        <v>32715739.591999989</v>
      </c>
      <c r="M91" s="513"/>
      <c r="N91" s="513"/>
      <c r="O91" s="513"/>
      <c r="P91" s="259">
        <f t="shared" si="15"/>
        <v>0</v>
      </c>
      <c r="Q91" s="808">
        <f t="shared" si="11"/>
        <v>32715739.591999989</v>
      </c>
    </row>
    <row r="92" spans="2:17" s="566" customFormat="1" ht="20.25" customHeight="1">
      <c r="B92" s="1430"/>
      <c r="C92" s="567" t="s">
        <v>921</v>
      </c>
      <c r="D92" s="2017" t="s">
        <v>235</v>
      </c>
      <c r="E92" s="2017" t="s">
        <v>776</v>
      </c>
      <c r="F92" s="2017"/>
      <c r="G92" s="2017"/>
      <c r="H92" s="2017"/>
      <c r="I92" s="513"/>
      <c r="J92" s="513">
        <f>34672116.9792-1956377.38720001</f>
        <v>32715739.591999989</v>
      </c>
      <c r="K92" s="513"/>
      <c r="L92" s="259">
        <f t="shared" si="14"/>
        <v>32715739.591999989</v>
      </c>
      <c r="M92" s="513"/>
      <c r="N92" s="513"/>
      <c r="O92" s="513"/>
      <c r="P92" s="259">
        <f t="shared" si="15"/>
        <v>0</v>
      </c>
      <c r="Q92" s="808">
        <f t="shared" si="11"/>
        <v>32715739.591999989</v>
      </c>
    </row>
    <row r="93" spans="2:17" s="566" customFormat="1" ht="26.25" customHeight="1">
      <c r="B93" s="1430"/>
      <c r="C93" s="567" t="s">
        <v>823</v>
      </c>
      <c r="D93" s="2017" t="s">
        <v>235</v>
      </c>
      <c r="E93" s="2017" t="s">
        <v>776</v>
      </c>
      <c r="F93" s="2017"/>
      <c r="G93" s="2017"/>
      <c r="H93" s="2017"/>
      <c r="I93" s="513"/>
      <c r="J93" s="513">
        <v>19947537.621440001</v>
      </c>
      <c r="K93" s="513"/>
      <c r="L93" s="259">
        <f t="shared" si="14"/>
        <v>19947537.621440001</v>
      </c>
      <c r="M93" s="513"/>
      <c r="N93" s="513"/>
      <c r="O93" s="513"/>
      <c r="P93" s="259">
        <f t="shared" si="15"/>
        <v>0</v>
      </c>
      <c r="Q93" s="808">
        <f t="shared" si="11"/>
        <v>19947537.621440001</v>
      </c>
    </row>
    <row r="94" spans="2:17" s="566" customFormat="1" ht="26.25" customHeight="1">
      <c r="B94" s="1430"/>
      <c r="C94" s="567" t="s">
        <v>922</v>
      </c>
      <c r="D94" s="2017" t="s">
        <v>235</v>
      </c>
      <c r="E94" s="2017" t="s">
        <v>776</v>
      </c>
      <c r="F94" s="2017"/>
      <c r="G94" s="2017"/>
      <c r="H94" s="2017"/>
      <c r="I94" s="513">
        <f>31827369.0015758-3092320</f>
        <v>28735049.001575802</v>
      </c>
      <c r="J94" s="513">
        <v>25627481.699999999</v>
      </c>
      <c r="K94" s="513"/>
      <c r="L94" s="259">
        <f t="shared" si="14"/>
        <v>54362530.701575801</v>
      </c>
      <c r="M94" s="513"/>
      <c r="N94" s="513"/>
      <c r="O94" s="513"/>
      <c r="P94" s="259">
        <f t="shared" si="15"/>
        <v>0</v>
      </c>
      <c r="Q94" s="808">
        <f t="shared" si="11"/>
        <v>54362530.701575801</v>
      </c>
    </row>
    <row r="95" spans="2:17" s="566" customFormat="1" ht="26.25" customHeight="1">
      <c r="B95" s="1430"/>
      <c r="C95" s="567" t="s">
        <v>1223</v>
      </c>
      <c r="D95" s="2017" t="s">
        <v>235</v>
      </c>
      <c r="E95" s="2017" t="s">
        <v>776</v>
      </c>
      <c r="F95" s="2017"/>
      <c r="G95" s="2017"/>
      <c r="H95" s="2017"/>
      <c r="I95" s="513"/>
      <c r="J95" s="513"/>
      <c r="K95" s="513"/>
      <c r="L95" s="1483"/>
      <c r="M95" s="513"/>
      <c r="N95" s="513">
        <f>15988189-15988189</f>
        <v>0</v>
      </c>
      <c r="O95" s="513"/>
      <c r="P95" s="259">
        <f t="shared" si="15"/>
        <v>0</v>
      </c>
      <c r="Q95" s="808">
        <f t="shared" si="11"/>
        <v>0</v>
      </c>
    </row>
    <row r="96" spans="2:17" s="275" customFormat="1">
      <c r="B96" s="1440"/>
      <c r="C96" s="567" t="s">
        <v>923</v>
      </c>
      <c r="D96" s="2017" t="s">
        <v>729</v>
      </c>
      <c r="E96" s="2017"/>
      <c r="F96" s="2017"/>
      <c r="G96" s="2017"/>
      <c r="H96" s="2017"/>
      <c r="I96" s="513"/>
      <c r="J96" s="513">
        <f>10040000-10040000</f>
        <v>0</v>
      </c>
      <c r="K96" s="513"/>
      <c r="L96" s="259">
        <f t="shared" ref="L96" si="16">+SUM(I96:K96)</f>
        <v>0</v>
      </c>
      <c r="M96" s="513"/>
      <c r="N96" s="513"/>
      <c r="O96" s="513">
        <f>15176000*1.004-6856657</f>
        <v>8380047</v>
      </c>
      <c r="P96" s="258">
        <f t="shared" si="15"/>
        <v>8380047</v>
      </c>
      <c r="Q96" s="1988">
        <f t="shared" si="11"/>
        <v>8380047</v>
      </c>
    </row>
    <row r="97" spans="1:17" ht="51">
      <c r="A97" s="835"/>
      <c r="B97" s="1429" t="s">
        <v>1064</v>
      </c>
      <c r="C97" s="834" t="s">
        <v>275</v>
      </c>
      <c r="D97" s="835"/>
      <c r="E97" s="835"/>
      <c r="F97" s="799" t="s">
        <v>209</v>
      </c>
      <c r="G97" s="799">
        <v>1</v>
      </c>
      <c r="H97" s="799"/>
      <c r="I97" s="836">
        <f t="shared" ref="I97:Q97" si="17">SUM(I98:I104)</f>
        <v>0</v>
      </c>
      <c r="J97" s="836">
        <f t="shared" si="17"/>
        <v>33617684.519999996</v>
      </c>
      <c r="K97" s="836">
        <f t="shared" si="17"/>
        <v>3212800</v>
      </c>
      <c r="L97" s="836">
        <f t="shared" si="17"/>
        <v>36830484.519999996</v>
      </c>
      <c r="M97" s="836">
        <f t="shared" si="17"/>
        <v>0</v>
      </c>
      <c r="N97" s="836">
        <f t="shared" si="17"/>
        <v>0</v>
      </c>
      <c r="O97" s="836">
        <f t="shared" si="17"/>
        <v>0</v>
      </c>
      <c r="P97" s="836">
        <f t="shared" si="17"/>
        <v>0</v>
      </c>
      <c r="Q97" s="836">
        <f t="shared" si="17"/>
        <v>36830484.519999996</v>
      </c>
    </row>
    <row r="98" spans="1:17" s="566" customFormat="1">
      <c r="B98" s="1430"/>
      <c r="C98" s="567" t="s">
        <v>912</v>
      </c>
      <c r="D98" s="811" t="s">
        <v>235</v>
      </c>
      <c r="E98" s="811" t="s">
        <v>776</v>
      </c>
      <c r="F98" s="811"/>
      <c r="G98" s="811"/>
      <c r="H98" s="811"/>
      <c r="I98" s="513"/>
      <c r="J98" s="513">
        <v>20449592</v>
      </c>
      <c r="K98" s="513"/>
      <c r="L98" s="259">
        <f t="shared" ref="L98:L104" si="18">+SUM(I98:K98)</f>
        <v>20449592</v>
      </c>
      <c r="M98" s="513"/>
      <c r="N98" s="513"/>
      <c r="O98" s="513"/>
      <c r="P98" s="259">
        <f t="shared" ref="P98:P104" si="19">+SUM(M98:O98)</f>
        <v>0</v>
      </c>
      <c r="Q98" s="808">
        <f t="shared" si="11"/>
        <v>20449592</v>
      </c>
    </row>
    <row r="99" spans="1:17" s="566" customFormat="1" ht="25.5">
      <c r="B99" s="1430"/>
      <c r="C99" s="567" t="s">
        <v>1140</v>
      </c>
      <c r="D99" s="811" t="s">
        <v>235</v>
      </c>
      <c r="E99" s="811" t="s">
        <v>776</v>
      </c>
      <c r="F99" s="811" t="s">
        <v>1121</v>
      </c>
      <c r="G99" s="811">
        <v>2</v>
      </c>
      <c r="H99" s="811"/>
      <c r="I99" s="513"/>
      <c r="J99" s="1510">
        <f>4586327-4586327</f>
        <v>0</v>
      </c>
      <c r="K99" s="513"/>
      <c r="L99" s="259">
        <f t="shared" si="18"/>
        <v>0</v>
      </c>
      <c r="M99" s="513"/>
      <c r="N99" s="1510"/>
      <c r="O99" s="513"/>
      <c r="P99" s="259">
        <f t="shared" si="19"/>
        <v>0</v>
      </c>
      <c r="Q99" s="808">
        <f t="shared" si="11"/>
        <v>0</v>
      </c>
    </row>
    <row r="100" spans="1:17" ht="25.5">
      <c r="B100" s="1431"/>
      <c r="C100" s="567" t="s">
        <v>1415</v>
      </c>
      <c r="D100" s="2195" t="s">
        <v>235</v>
      </c>
      <c r="E100" s="2195" t="s">
        <v>776</v>
      </c>
      <c r="F100" s="2195"/>
      <c r="G100" s="2195"/>
      <c r="H100" s="2195"/>
      <c r="I100" s="513"/>
      <c r="J100" s="513">
        <f>4586327-4586327</f>
        <v>0</v>
      </c>
      <c r="K100" s="513">
        <v>3212800</v>
      </c>
      <c r="L100" s="259">
        <f t="shared" si="18"/>
        <v>3212800</v>
      </c>
      <c r="M100" s="513"/>
      <c r="N100" s="513"/>
      <c r="O100" s="513"/>
      <c r="P100" s="259">
        <f t="shared" si="19"/>
        <v>0</v>
      </c>
      <c r="Q100" s="808">
        <f t="shared" si="11"/>
        <v>3212800</v>
      </c>
    </row>
    <row r="101" spans="1:17">
      <c r="B101" s="1431"/>
      <c r="C101" s="567" t="s">
        <v>914</v>
      </c>
      <c r="D101" s="2195" t="s">
        <v>235</v>
      </c>
      <c r="E101" s="2195" t="s">
        <v>776</v>
      </c>
      <c r="F101" s="2195"/>
      <c r="G101" s="2195"/>
      <c r="H101" s="2195"/>
      <c r="I101" s="513"/>
      <c r="J101" s="513"/>
      <c r="K101" s="513"/>
      <c r="L101" s="259">
        <f t="shared" si="18"/>
        <v>0</v>
      </c>
      <c r="M101" s="513"/>
      <c r="N101" s="513"/>
      <c r="O101" s="513"/>
      <c r="P101" s="259">
        <f t="shared" si="19"/>
        <v>0</v>
      </c>
      <c r="Q101" s="808">
        <f t="shared" si="11"/>
        <v>0</v>
      </c>
    </row>
    <row r="102" spans="1:17">
      <c r="B102" s="1431"/>
      <c r="C102" s="567" t="s">
        <v>823</v>
      </c>
      <c r="D102" s="2195" t="s">
        <v>235</v>
      </c>
      <c r="E102" s="2195" t="s">
        <v>776</v>
      </c>
      <c r="F102" s="2195"/>
      <c r="G102" s="2195"/>
      <c r="H102" s="2195"/>
      <c r="I102" s="513"/>
      <c r="J102" s="513">
        <v>13168092.52</v>
      </c>
      <c r="K102" s="513"/>
      <c r="L102" s="259">
        <f t="shared" si="18"/>
        <v>13168092.52</v>
      </c>
      <c r="M102" s="513"/>
      <c r="N102" s="513"/>
      <c r="O102" s="513"/>
      <c r="P102" s="259">
        <f t="shared" si="19"/>
        <v>0</v>
      </c>
      <c r="Q102" s="808">
        <f t="shared" si="11"/>
        <v>13168092.52</v>
      </c>
    </row>
    <row r="103" spans="1:17">
      <c r="B103" s="1431"/>
      <c r="C103" s="567" t="s">
        <v>855</v>
      </c>
      <c r="D103" s="2195" t="s">
        <v>568</v>
      </c>
      <c r="E103" s="2195" t="s">
        <v>849</v>
      </c>
      <c r="F103" s="2195"/>
      <c r="G103" s="2195"/>
      <c r="H103" s="2195"/>
      <c r="I103" s="513"/>
      <c r="J103" s="513"/>
      <c r="K103" s="513"/>
      <c r="L103" s="259">
        <f t="shared" si="18"/>
        <v>0</v>
      </c>
      <c r="M103" s="513"/>
      <c r="N103" s="513"/>
      <c r="O103" s="513"/>
      <c r="P103" s="259">
        <f t="shared" si="19"/>
        <v>0</v>
      </c>
      <c r="Q103" s="808">
        <f t="shared" si="11"/>
        <v>0</v>
      </c>
    </row>
    <row r="104" spans="1:17" ht="15.75" thickBot="1">
      <c r="B104" s="1431"/>
      <c r="C104" s="567" t="s">
        <v>923</v>
      </c>
      <c r="D104" s="2195" t="s">
        <v>729</v>
      </c>
      <c r="E104" s="2195"/>
      <c r="F104" s="2195"/>
      <c r="G104" s="2195"/>
      <c r="H104" s="2195"/>
      <c r="I104" s="513"/>
      <c r="J104" s="513">
        <f>10040000-10040000</f>
        <v>0</v>
      </c>
      <c r="K104" s="513"/>
      <c r="L104" s="259">
        <f t="shared" si="18"/>
        <v>0</v>
      </c>
      <c r="M104" s="513"/>
      <c r="N104" s="513"/>
      <c r="O104" s="513">
        <f>8380047-8380047</f>
        <v>0</v>
      </c>
      <c r="P104" s="259">
        <f t="shared" si="19"/>
        <v>0</v>
      </c>
      <c r="Q104" s="808">
        <f t="shared" si="11"/>
        <v>0</v>
      </c>
    </row>
    <row r="105" spans="1:17" ht="67.5" customHeight="1" thickBot="1">
      <c r="A105" s="835">
        <v>129</v>
      </c>
      <c r="B105" s="1429"/>
      <c r="C105" s="838" t="s">
        <v>276</v>
      </c>
      <c r="D105" s="839"/>
      <c r="E105" s="839"/>
      <c r="F105" s="411" t="s">
        <v>210</v>
      </c>
      <c r="G105" s="411">
        <v>1</v>
      </c>
      <c r="H105" s="411"/>
      <c r="I105" s="825">
        <f t="shared" ref="I105:P105" si="20">+I106+I119+I124+I126</f>
        <v>1940368.2664241791</v>
      </c>
      <c r="J105" s="825">
        <f t="shared" si="20"/>
        <v>27692288.937685166</v>
      </c>
      <c r="K105" s="825">
        <f t="shared" si="20"/>
        <v>151527604.59999999</v>
      </c>
      <c r="L105" s="826">
        <f t="shared" si="20"/>
        <v>181160261.80410936</v>
      </c>
      <c r="M105" s="825">
        <f t="shared" si="20"/>
        <v>76657992.319999993</v>
      </c>
      <c r="N105" s="825">
        <f t="shared" si="20"/>
        <v>584044</v>
      </c>
      <c r="O105" s="825">
        <f t="shared" si="20"/>
        <v>69508406</v>
      </c>
      <c r="P105" s="826">
        <f t="shared" si="20"/>
        <v>146750442.31999999</v>
      </c>
      <c r="Q105" s="826">
        <f>+L105+P105</f>
        <v>327910704.12410939</v>
      </c>
    </row>
    <row r="106" spans="1:17" ht="60.75" customHeight="1">
      <c r="A106" s="835"/>
      <c r="B106" s="1429" t="s">
        <v>1065</v>
      </c>
      <c r="C106" s="827" t="s">
        <v>277</v>
      </c>
      <c r="D106" s="828"/>
      <c r="E106" s="828"/>
      <c r="F106" s="829" t="s">
        <v>209</v>
      </c>
      <c r="G106" s="829">
        <v>1</v>
      </c>
      <c r="H106" s="829"/>
      <c r="I106" s="830">
        <f t="shared" ref="I106:Q106" si="21">SUM(I107:I118)</f>
        <v>0</v>
      </c>
      <c r="J106" s="830">
        <f t="shared" si="21"/>
        <v>27692288.937685166</v>
      </c>
      <c r="K106" s="830">
        <f t="shared" si="21"/>
        <v>63859154.201514795</v>
      </c>
      <c r="L106" s="831">
        <f t="shared" si="21"/>
        <v>91551443.139199957</v>
      </c>
      <c r="M106" s="830">
        <f t="shared" si="21"/>
        <v>42102752.160000004</v>
      </c>
      <c r="N106" s="830">
        <f t="shared" si="21"/>
        <v>0</v>
      </c>
      <c r="O106" s="830">
        <f t="shared" si="21"/>
        <v>0</v>
      </c>
      <c r="P106" s="831">
        <f t="shared" si="21"/>
        <v>42102752.160000004</v>
      </c>
      <c r="Q106" s="831">
        <f t="shared" si="21"/>
        <v>133654195.29919995</v>
      </c>
    </row>
    <row r="107" spans="1:17" s="566" customFormat="1">
      <c r="B107" s="1430"/>
      <c r="C107" s="567" t="s">
        <v>924</v>
      </c>
      <c r="D107" s="811" t="s">
        <v>787</v>
      </c>
      <c r="E107" s="811" t="s">
        <v>925</v>
      </c>
      <c r="F107" s="811"/>
      <c r="G107" s="811"/>
      <c r="H107" s="811"/>
      <c r="I107" s="513"/>
      <c r="J107" s="513"/>
      <c r="K107" s="513">
        <f>42688108-1293570</f>
        <v>41394538</v>
      </c>
      <c r="L107" s="259">
        <f>SUM(I107:K107)</f>
        <v>41394538</v>
      </c>
      <c r="M107" s="513"/>
      <c r="N107" s="513"/>
      <c r="O107" s="513"/>
      <c r="P107" s="259">
        <f>SUM(M107:O107)</f>
        <v>0</v>
      </c>
      <c r="Q107" s="808">
        <f t="shared" ref="Q107:Q131" si="22">+P107+L107</f>
        <v>41394538</v>
      </c>
    </row>
    <row r="108" spans="1:17" s="566" customFormat="1" ht="30" customHeight="1">
      <c r="B108" s="1430"/>
      <c r="C108" s="567" t="s">
        <v>926</v>
      </c>
      <c r="D108" s="2045" t="s">
        <v>787</v>
      </c>
      <c r="E108" s="2045" t="s">
        <v>925</v>
      </c>
      <c r="F108" s="2045"/>
      <c r="G108" s="2045"/>
      <c r="H108" s="2045"/>
      <c r="I108" s="513"/>
      <c r="J108" s="513"/>
      <c r="K108" s="513"/>
      <c r="L108" s="259">
        <f t="shared" ref="L108:L118" si="23">SUM(I108:K108)</f>
        <v>0</v>
      </c>
      <c r="M108" s="513"/>
      <c r="N108" s="513"/>
      <c r="O108" s="513"/>
      <c r="P108" s="259">
        <f t="shared" ref="P108:P118" si="24">SUM(M108:O108)</f>
        <v>0</v>
      </c>
      <c r="Q108" s="808">
        <f t="shared" si="22"/>
        <v>0</v>
      </c>
    </row>
    <row r="109" spans="1:17" s="566" customFormat="1" ht="27.75" customHeight="1">
      <c r="B109" s="1430"/>
      <c r="C109" s="567" t="s">
        <v>927</v>
      </c>
      <c r="D109" s="2045" t="s">
        <v>787</v>
      </c>
      <c r="E109" s="2045" t="s">
        <v>925</v>
      </c>
      <c r="F109" s="2045"/>
      <c r="G109" s="2045"/>
      <c r="H109" s="2045"/>
      <c r="I109" s="513"/>
      <c r="J109" s="513">
        <f>39430240-39430240</f>
        <v>0</v>
      </c>
      <c r="K109" s="513">
        <f>3257876.24000001-3257876.24000001</f>
        <v>0</v>
      </c>
      <c r="L109" s="259">
        <f t="shared" si="23"/>
        <v>0</v>
      </c>
      <c r="M109" s="513"/>
      <c r="N109" s="513"/>
      <c r="O109" s="513"/>
      <c r="P109" s="259">
        <f t="shared" si="24"/>
        <v>0</v>
      </c>
      <c r="Q109" s="808">
        <f t="shared" si="22"/>
        <v>0</v>
      </c>
    </row>
    <row r="110" spans="1:17" s="566" customFormat="1" ht="20.100000000000001" customHeight="1">
      <c r="B110" s="1430"/>
      <c r="C110" s="567" t="s">
        <v>928</v>
      </c>
      <c r="D110" s="2045" t="s">
        <v>787</v>
      </c>
      <c r="E110" s="2045" t="s">
        <v>925</v>
      </c>
      <c r="F110" s="2045"/>
      <c r="G110" s="2045"/>
      <c r="H110" s="2045"/>
      <c r="I110" s="513"/>
      <c r="J110" s="513"/>
      <c r="K110" s="513"/>
      <c r="L110" s="259">
        <f t="shared" si="23"/>
        <v>0</v>
      </c>
      <c r="M110" s="513">
        <v>27165160</v>
      </c>
      <c r="N110" s="513"/>
      <c r="O110" s="513"/>
      <c r="P110" s="259">
        <f t="shared" si="24"/>
        <v>27165160</v>
      </c>
      <c r="Q110" s="808">
        <f t="shared" si="22"/>
        <v>27165160</v>
      </c>
    </row>
    <row r="111" spans="1:17" s="566" customFormat="1" ht="20.100000000000001" customHeight="1">
      <c r="B111" s="1430"/>
      <c r="C111" s="567" t="s">
        <v>1320</v>
      </c>
      <c r="D111" s="2045" t="s">
        <v>787</v>
      </c>
      <c r="E111" s="2045" t="s">
        <v>925</v>
      </c>
      <c r="F111" s="2045"/>
      <c r="G111" s="2045"/>
      <c r="H111" s="2045"/>
      <c r="I111" s="513"/>
      <c r="J111" s="513"/>
      <c r="K111" s="513"/>
      <c r="L111" s="259">
        <f t="shared" si="23"/>
        <v>0</v>
      </c>
      <c r="M111" s="513">
        <f>27165160-19696364</f>
        <v>7468796</v>
      </c>
      <c r="N111" s="513"/>
      <c r="O111" s="513"/>
      <c r="P111" s="259">
        <f t="shared" si="24"/>
        <v>7468796</v>
      </c>
      <c r="Q111" s="808">
        <f t="shared" si="22"/>
        <v>7468796</v>
      </c>
    </row>
    <row r="112" spans="1:17" s="566" customFormat="1" ht="20.100000000000001" customHeight="1">
      <c r="B112" s="1430"/>
      <c r="C112" s="567" t="s">
        <v>1230</v>
      </c>
      <c r="D112" s="2045" t="s">
        <v>787</v>
      </c>
      <c r="E112" s="2045" t="s">
        <v>925</v>
      </c>
      <c r="F112" s="2045"/>
      <c r="G112" s="2045"/>
      <c r="H112" s="2045"/>
      <c r="I112" s="513"/>
      <c r="J112" s="513"/>
      <c r="K112" s="513"/>
      <c r="L112" s="259">
        <f t="shared" si="23"/>
        <v>0</v>
      </c>
      <c r="M112" s="513">
        <v>7468796.160000002</v>
      </c>
      <c r="N112" s="513"/>
      <c r="O112" s="513"/>
      <c r="P112" s="259">
        <f>SUM(M112:O112)</f>
        <v>7468796.160000002</v>
      </c>
      <c r="Q112" s="808">
        <f t="shared" si="22"/>
        <v>7468796.160000002</v>
      </c>
    </row>
    <row r="113" spans="1:18" s="566" customFormat="1" ht="20.100000000000001" customHeight="1">
      <c r="B113" s="1430"/>
      <c r="C113" s="567" t="s">
        <v>929</v>
      </c>
      <c r="D113" s="2045" t="s">
        <v>787</v>
      </c>
      <c r="E113" s="2045" t="s">
        <v>925</v>
      </c>
      <c r="F113" s="2045"/>
      <c r="G113" s="2045"/>
      <c r="H113" s="2045"/>
      <c r="I113" s="513"/>
      <c r="J113" s="513">
        <v>20223492.777685165</v>
      </c>
      <c r="K113" s="513">
        <f>22464624.2015148-8</f>
        <v>22464616.201514799</v>
      </c>
      <c r="L113" s="259">
        <f t="shared" si="23"/>
        <v>42688108.979199961</v>
      </c>
      <c r="N113" s="513"/>
      <c r="O113" s="513"/>
      <c r="P113" s="259">
        <f t="shared" si="24"/>
        <v>0</v>
      </c>
      <c r="Q113" s="808">
        <f t="shared" si="22"/>
        <v>42688108.979199961</v>
      </c>
    </row>
    <row r="114" spans="1:18" s="566" customFormat="1" ht="20.100000000000001" customHeight="1">
      <c r="B114" s="1430"/>
      <c r="C114" s="567" t="s">
        <v>1141</v>
      </c>
      <c r="D114" s="2045" t="s">
        <v>787</v>
      </c>
      <c r="E114" s="2045" t="s">
        <v>925</v>
      </c>
      <c r="F114" s="2045"/>
      <c r="G114" s="2045"/>
      <c r="H114" s="2045"/>
      <c r="I114" s="513"/>
      <c r="J114" s="513">
        <v>7468796.1600000001</v>
      </c>
      <c r="K114" s="513"/>
      <c r="L114" s="259">
        <f t="shared" si="23"/>
        <v>7468796.1600000001</v>
      </c>
      <c r="M114" s="513"/>
      <c r="N114" s="513"/>
      <c r="O114" s="513"/>
      <c r="P114" s="259">
        <f t="shared" si="24"/>
        <v>0</v>
      </c>
      <c r="Q114" s="808">
        <f t="shared" si="22"/>
        <v>7468796.1600000001</v>
      </c>
    </row>
    <row r="115" spans="1:18" s="566" customFormat="1" ht="20.100000000000001" customHeight="1">
      <c r="B115" s="1430"/>
      <c r="C115" s="567" t="s">
        <v>930</v>
      </c>
      <c r="D115" s="2045" t="s">
        <v>787</v>
      </c>
      <c r="E115" s="2045" t="s">
        <v>925</v>
      </c>
      <c r="F115" s="2045"/>
      <c r="G115" s="2045"/>
      <c r="H115" s="2045"/>
      <c r="I115" s="513"/>
      <c r="J115" s="513"/>
      <c r="K115" s="513"/>
      <c r="L115" s="259">
        <f t="shared" si="23"/>
        <v>0</v>
      </c>
      <c r="M115" s="513"/>
      <c r="N115" s="513"/>
      <c r="O115" s="513"/>
      <c r="P115" s="259">
        <f t="shared" si="24"/>
        <v>0</v>
      </c>
      <c r="Q115" s="808">
        <f t="shared" si="22"/>
        <v>0</v>
      </c>
    </row>
    <row r="116" spans="1:18" s="566" customFormat="1" ht="20.100000000000001" customHeight="1">
      <c r="B116" s="1430"/>
      <c r="C116" s="567" t="s">
        <v>931</v>
      </c>
      <c r="D116" s="2045" t="s">
        <v>787</v>
      </c>
      <c r="E116" s="2045" t="s">
        <v>925</v>
      </c>
      <c r="F116" s="2045"/>
      <c r="G116" s="2045"/>
      <c r="H116" s="2045"/>
      <c r="I116" s="513"/>
      <c r="J116" s="513"/>
      <c r="K116" s="513"/>
      <c r="L116" s="259">
        <f t="shared" si="23"/>
        <v>0</v>
      </c>
      <c r="M116" s="513">
        <f>7468796.16-7468796.16</f>
        <v>0</v>
      </c>
      <c r="N116" s="513"/>
      <c r="O116" s="513"/>
      <c r="P116" s="259">
        <f t="shared" si="24"/>
        <v>0</v>
      </c>
      <c r="Q116" s="808">
        <f t="shared" si="22"/>
        <v>0</v>
      </c>
    </row>
    <row r="117" spans="1:18" s="566" customFormat="1" ht="20.100000000000001" customHeight="1">
      <c r="B117" s="1430"/>
      <c r="C117" s="567" t="s">
        <v>932</v>
      </c>
      <c r="D117" s="2045" t="s">
        <v>787</v>
      </c>
      <c r="E117" s="2045" t="s">
        <v>925</v>
      </c>
      <c r="F117" s="2045"/>
      <c r="G117" s="2045"/>
      <c r="H117" s="2045"/>
      <c r="I117" s="513"/>
      <c r="J117" s="513"/>
      <c r="K117" s="513"/>
      <c r="L117" s="259">
        <f t="shared" si="23"/>
        <v>0</v>
      </c>
      <c r="M117" s="513"/>
      <c r="N117" s="513"/>
      <c r="O117" s="513"/>
      <c r="P117" s="259">
        <f t="shared" si="24"/>
        <v>0</v>
      </c>
      <c r="Q117" s="808">
        <f t="shared" si="22"/>
        <v>0</v>
      </c>
    </row>
    <row r="118" spans="1:18" s="566" customFormat="1" ht="20.100000000000001" customHeight="1">
      <c r="B118" s="1430"/>
      <c r="C118" s="567" t="s">
        <v>933</v>
      </c>
      <c r="D118" s="811" t="s">
        <v>787</v>
      </c>
      <c r="E118" s="811" t="s">
        <v>925</v>
      </c>
      <c r="F118" s="811"/>
      <c r="G118" s="811"/>
      <c r="H118" s="811"/>
      <c r="I118" s="513"/>
      <c r="J118" s="513"/>
      <c r="K118" s="513"/>
      <c r="L118" s="259">
        <f t="shared" si="23"/>
        <v>0</v>
      </c>
      <c r="M118" s="513"/>
      <c r="N118" s="513"/>
      <c r="O118" s="513"/>
      <c r="P118" s="259">
        <f t="shared" si="24"/>
        <v>0</v>
      </c>
      <c r="Q118" s="808">
        <f t="shared" si="22"/>
        <v>0</v>
      </c>
    </row>
    <row r="119" spans="1:18" ht="43.5" customHeight="1">
      <c r="A119" s="835"/>
      <c r="B119" s="1429" t="s">
        <v>1066</v>
      </c>
      <c r="C119" s="834" t="s">
        <v>278</v>
      </c>
      <c r="D119" s="835"/>
      <c r="E119" s="835"/>
      <c r="F119" s="799" t="s">
        <v>209</v>
      </c>
      <c r="G119" s="799">
        <v>1</v>
      </c>
      <c r="H119" s="799"/>
      <c r="I119" s="836">
        <f t="shared" ref="I119:Q119" si="25">SUM(I120:I123)</f>
        <v>0</v>
      </c>
      <c r="J119" s="836">
        <f t="shared" si="25"/>
        <v>0</v>
      </c>
      <c r="K119" s="836">
        <f t="shared" si="25"/>
        <v>56056890.5</v>
      </c>
      <c r="L119" s="837">
        <f t="shared" si="25"/>
        <v>56056890.5</v>
      </c>
      <c r="M119" s="836">
        <f t="shared" si="25"/>
        <v>19696363.839999989</v>
      </c>
      <c r="N119" s="836">
        <f t="shared" si="25"/>
        <v>0</v>
      </c>
      <c r="O119" s="836">
        <f t="shared" si="25"/>
        <v>69508406</v>
      </c>
      <c r="P119" s="837">
        <f t="shared" si="25"/>
        <v>89204769.839999989</v>
      </c>
      <c r="Q119" s="837">
        <f t="shared" si="25"/>
        <v>145261660.33999997</v>
      </c>
    </row>
    <row r="120" spans="1:18" s="566" customFormat="1" ht="27" customHeight="1">
      <c r="B120" s="1430"/>
      <c r="C120" s="567" t="s">
        <v>1231</v>
      </c>
      <c r="D120" s="2044" t="s">
        <v>568</v>
      </c>
      <c r="E120" s="1583" t="s">
        <v>935</v>
      </c>
      <c r="F120" s="811"/>
      <c r="G120" s="811"/>
      <c r="H120" s="811"/>
      <c r="I120" s="513"/>
      <c r="J120" s="513"/>
      <c r="K120" s="513">
        <v>56056890.5</v>
      </c>
      <c r="L120" s="259">
        <f>+SUM(I120:K120)</f>
        <v>56056890.5</v>
      </c>
      <c r="M120" s="513"/>
      <c r="N120" s="513"/>
      <c r="O120" s="513"/>
      <c r="P120" s="259">
        <f>+SUM(M120:O120)</f>
        <v>0</v>
      </c>
      <c r="Q120" s="808">
        <f t="shared" si="22"/>
        <v>56056890.5</v>
      </c>
    </row>
    <row r="121" spans="1:18" s="566" customFormat="1" ht="27" customHeight="1">
      <c r="B121" s="1430"/>
      <c r="C121" s="567" t="s">
        <v>936</v>
      </c>
      <c r="D121" s="2044" t="s">
        <v>568</v>
      </c>
      <c r="E121" s="1583" t="s">
        <v>935</v>
      </c>
      <c r="F121" s="811"/>
      <c r="G121" s="811"/>
      <c r="H121" s="811"/>
      <c r="I121" s="513"/>
      <c r="J121" s="513"/>
      <c r="K121" s="513"/>
      <c r="L121" s="259">
        <f>+SUM(I121:K121)</f>
        <v>0</v>
      </c>
      <c r="M121" s="513">
        <v>9625090</v>
      </c>
      <c r="N121" s="513"/>
      <c r="O121" s="513">
        <v>22904510</v>
      </c>
      <c r="P121" s="259">
        <f>+SUM(M121:O121)</f>
        <v>32529600</v>
      </c>
      <c r="Q121" s="808">
        <f t="shared" si="22"/>
        <v>32529600</v>
      </c>
    </row>
    <row r="122" spans="1:18" s="566" customFormat="1" ht="27" customHeight="1">
      <c r="B122" s="1430"/>
      <c r="C122" s="567" t="s">
        <v>1233</v>
      </c>
      <c r="D122" s="1583" t="s">
        <v>787</v>
      </c>
      <c r="E122" s="1583">
        <v>83990</v>
      </c>
      <c r="F122" s="1564"/>
      <c r="G122" s="1564"/>
      <c r="H122" s="1564"/>
      <c r="I122" s="513"/>
      <c r="J122" s="513"/>
      <c r="K122" s="513"/>
      <c r="L122" s="259">
        <f>+SUM(I122:K122)</f>
        <v>0</v>
      </c>
      <c r="M122" s="513">
        <v>10071273.839999989</v>
      </c>
      <c r="N122" s="513"/>
      <c r="O122" s="513">
        <f>20080000-1000000-236704</f>
        <v>18843296</v>
      </c>
      <c r="P122" s="259">
        <f>+SUM(M122:O122)</f>
        <v>28914569.839999989</v>
      </c>
      <c r="Q122" s="808">
        <f t="shared" si="22"/>
        <v>28914569.839999989</v>
      </c>
      <c r="R122" s="1997">
        <f>+O122-'[4]ACCIONES 320202'!$O$119</f>
        <v>-236704</v>
      </c>
    </row>
    <row r="123" spans="1:18" ht="44.25" customHeight="1">
      <c r="B123" s="1431"/>
      <c r="C123" s="565" t="s">
        <v>1232</v>
      </c>
      <c r="D123" s="2044" t="s">
        <v>568</v>
      </c>
      <c r="E123" s="1583" t="s">
        <v>935</v>
      </c>
      <c r="F123" s="811"/>
      <c r="G123" s="811"/>
      <c r="H123" s="811"/>
      <c r="I123" s="513"/>
      <c r="J123" s="513"/>
      <c r="K123" s="513"/>
      <c r="L123" s="259">
        <f>+SUM(I123:K123)</f>
        <v>0</v>
      </c>
      <c r="M123" s="513"/>
      <c r="N123" s="513"/>
      <c r="O123" s="513">
        <v>27760600</v>
      </c>
      <c r="P123" s="259">
        <f>+SUM(M123:O123)</f>
        <v>27760600</v>
      </c>
      <c r="Q123" s="808">
        <f t="shared" si="22"/>
        <v>27760600</v>
      </c>
    </row>
    <row r="124" spans="1:18" ht="38.25">
      <c r="A124" s="835"/>
      <c r="B124" s="1429" t="s">
        <v>1067</v>
      </c>
      <c r="C124" s="834" t="s">
        <v>279</v>
      </c>
      <c r="D124" s="835"/>
      <c r="E124" s="835"/>
      <c r="F124" s="799" t="s">
        <v>209</v>
      </c>
      <c r="G124" s="799">
        <v>1</v>
      </c>
      <c r="H124" s="799"/>
      <c r="I124" s="836">
        <f t="shared" ref="I124:Q124" si="26">SUM(I125:I125)</f>
        <v>0</v>
      </c>
      <c r="J124" s="836">
        <f t="shared" si="26"/>
        <v>0</v>
      </c>
      <c r="K124" s="836">
        <f t="shared" si="26"/>
        <v>21393838.5</v>
      </c>
      <c r="L124" s="837">
        <f t="shared" si="26"/>
        <v>21393838.5</v>
      </c>
      <c r="M124" s="836">
        <f t="shared" si="26"/>
        <v>0</v>
      </c>
      <c r="N124" s="836">
        <f t="shared" si="26"/>
        <v>0</v>
      </c>
      <c r="O124" s="836">
        <f t="shared" si="26"/>
        <v>0</v>
      </c>
      <c r="P124" s="837">
        <f t="shared" si="26"/>
        <v>0</v>
      </c>
      <c r="Q124" s="837">
        <f t="shared" si="26"/>
        <v>21393838.5</v>
      </c>
    </row>
    <row r="125" spans="1:18" s="566" customFormat="1" ht="26.25" customHeight="1">
      <c r="B125" s="1430"/>
      <c r="C125" s="567" t="s">
        <v>879</v>
      </c>
      <c r="D125" s="811" t="s">
        <v>235</v>
      </c>
      <c r="E125" s="811" t="s">
        <v>776</v>
      </c>
      <c r="F125" s="811"/>
      <c r="G125" s="811"/>
      <c r="H125" s="811"/>
      <c r="I125" s="513"/>
      <c r="J125" s="513"/>
      <c r="K125" s="513">
        <v>21393838.5</v>
      </c>
      <c r="L125" s="259">
        <f>+SUM(I125:K125)</f>
        <v>21393838.5</v>
      </c>
      <c r="M125" s="513"/>
      <c r="N125" s="513"/>
      <c r="O125" s="513"/>
      <c r="P125" s="259">
        <f>+SUM(M125:O125)</f>
        <v>0</v>
      </c>
      <c r="Q125" s="808">
        <f t="shared" si="22"/>
        <v>21393838.5</v>
      </c>
    </row>
    <row r="126" spans="1:18" ht="44.25" customHeight="1">
      <c r="A126" s="835"/>
      <c r="B126" s="1429" t="s">
        <v>1068</v>
      </c>
      <c r="C126" s="1400" t="s">
        <v>280</v>
      </c>
      <c r="D126" s="835"/>
      <c r="E126" s="835"/>
      <c r="F126" s="799" t="s">
        <v>209</v>
      </c>
      <c r="G126" s="799">
        <v>1</v>
      </c>
      <c r="H126" s="799"/>
      <c r="I126" s="836">
        <f t="shared" ref="I126:Q126" si="27">SUM(I127:I131)</f>
        <v>1940368.2664241791</v>
      </c>
      <c r="J126" s="836">
        <f t="shared" si="27"/>
        <v>0</v>
      </c>
      <c r="K126" s="836">
        <f t="shared" si="27"/>
        <v>10217721.398485214</v>
      </c>
      <c r="L126" s="837">
        <f t="shared" si="27"/>
        <v>12158089.664909393</v>
      </c>
      <c r="M126" s="836">
        <f t="shared" si="27"/>
        <v>14858876.319999993</v>
      </c>
      <c r="N126" s="836">
        <f t="shared" si="27"/>
        <v>584044</v>
      </c>
      <c r="O126" s="836">
        <f t="shared" si="27"/>
        <v>0</v>
      </c>
      <c r="P126" s="837">
        <f t="shared" si="27"/>
        <v>15442920.319999993</v>
      </c>
      <c r="Q126" s="837">
        <f t="shared" si="27"/>
        <v>27601009.984909385</v>
      </c>
    </row>
    <row r="127" spans="1:18" s="566" customFormat="1" ht="15" customHeight="1">
      <c r="B127" s="1430"/>
      <c r="C127" s="567" t="s">
        <v>937</v>
      </c>
      <c r="D127" s="811" t="s">
        <v>235</v>
      </c>
      <c r="E127" s="811" t="s">
        <v>938</v>
      </c>
      <c r="F127" s="811"/>
      <c r="G127" s="811">
        <v>1</v>
      </c>
      <c r="H127" s="811"/>
      <c r="I127" s="513"/>
      <c r="J127" s="513"/>
      <c r="K127" s="513"/>
      <c r="L127" s="259">
        <f>+SUM(I127:K127)</f>
        <v>0</v>
      </c>
      <c r="M127" s="513"/>
      <c r="N127" s="513"/>
      <c r="O127" s="513"/>
      <c r="P127" s="259">
        <f>+SUM(M127:O127)</f>
        <v>0</v>
      </c>
      <c r="Q127" s="808">
        <f t="shared" si="22"/>
        <v>0</v>
      </c>
    </row>
    <row r="128" spans="1:18" s="869" customFormat="1" ht="30.75" customHeight="1">
      <c r="B128" s="1432"/>
      <c r="C128" s="567" t="s">
        <v>939</v>
      </c>
      <c r="D128" s="1563" t="s">
        <v>591</v>
      </c>
      <c r="E128" s="27"/>
      <c r="F128" s="27"/>
      <c r="G128" s="27"/>
      <c r="H128" s="27"/>
      <c r="I128" s="870"/>
      <c r="J128" s="870"/>
      <c r="K128" s="870">
        <f>2008000+468927</f>
        <v>2476927</v>
      </c>
      <c r="L128" s="259">
        <f>+SUM(I128:K128)</f>
        <v>2476927</v>
      </c>
      <c r="M128" s="870"/>
      <c r="N128" s="870"/>
      <c r="O128" s="870"/>
      <c r="P128" s="259">
        <f>+SUM(M128:O128)</f>
        <v>0</v>
      </c>
      <c r="Q128" s="808">
        <f t="shared" si="22"/>
        <v>2476927</v>
      </c>
    </row>
    <row r="129" spans="2:17" s="869" customFormat="1" ht="20.100000000000001" customHeight="1">
      <c r="B129" s="1432"/>
      <c r="C129" s="52" t="s">
        <v>940</v>
      </c>
      <c r="D129" s="2195" t="s">
        <v>235</v>
      </c>
      <c r="E129" s="2196">
        <v>54590</v>
      </c>
      <c r="F129" s="2197"/>
      <c r="G129" s="2197"/>
      <c r="H129" s="2197"/>
      <c r="I129" s="893"/>
      <c r="J129" s="893"/>
      <c r="K129" s="893"/>
      <c r="L129" s="259">
        <f>+SUM(I129:K129)</f>
        <v>0</v>
      </c>
      <c r="M129" s="893"/>
      <c r="N129" s="893"/>
      <c r="O129" s="893"/>
      <c r="P129" s="259">
        <f>+SUM(M129:O129)</f>
        <v>0</v>
      </c>
      <c r="Q129" s="808">
        <f t="shared" si="22"/>
        <v>0</v>
      </c>
    </row>
    <row r="130" spans="2:17" s="869" customFormat="1" ht="20.100000000000001" customHeight="1">
      <c r="B130" s="1432"/>
      <c r="C130" s="52" t="s">
        <v>941</v>
      </c>
      <c r="D130" s="2195" t="s">
        <v>235</v>
      </c>
      <c r="E130" s="2196" t="s">
        <v>938</v>
      </c>
      <c r="F130" s="2197"/>
      <c r="G130" s="2197"/>
      <c r="H130" s="2197"/>
      <c r="I130" s="893"/>
      <c r="J130" s="893"/>
      <c r="K130" s="893"/>
      <c r="L130" s="259">
        <f>+SUM(I130:K130)</f>
        <v>0</v>
      </c>
      <c r="M130" s="893"/>
      <c r="N130" s="893"/>
      <c r="O130" s="893"/>
      <c r="P130" s="259">
        <f>+SUM(M130:O130)</f>
        <v>0</v>
      </c>
      <c r="Q130" s="808">
        <f t="shared" si="22"/>
        <v>0</v>
      </c>
    </row>
    <row r="131" spans="2:17" s="869" customFormat="1" ht="33" customHeight="1" thickBot="1">
      <c r="B131" s="1432"/>
      <c r="C131" s="52" t="s">
        <v>1416</v>
      </c>
      <c r="D131" s="2198" t="s">
        <v>598</v>
      </c>
      <c r="E131" s="2197"/>
      <c r="F131" s="2197"/>
      <c r="G131" s="2197"/>
      <c r="H131" s="2197"/>
      <c r="I131" s="893">
        <v>1940368.2664241791</v>
      </c>
      <c r="J131" s="893"/>
      <c r="K131" s="893">
        <v>7740794.3984852135</v>
      </c>
      <c r="L131" s="523">
        <f>+SUM(I131:K131)</f>
        <v>9681162.6649093926</v>
      </c>
      <c r="M131" s="893">
        <v>14858876.319999993</v>
      </c>
      <c r="N131" s="893">
        <v>584044</v>
      </c>
      <c r="O131" s="893"/>
      <c r="P131" s="523">
        <f>+SUM(M131:O131)</f>
        <v>15442920.319999993</v>
      </c>
      <c r="Q131" s="808">
        <f t="shared" si="22"/>
        <v>25124082.984909385</v>
      </c>
    </row>
    <row r="132" spans="2:17" ht="15.75" thickBot="1">
      <c r="B132" s="1431"/>
      <c r="C132" s="2539" t="s">
        <v>10</v>
      </c>
      <c r="D132" s="2540"/>
      <c r="E132" s="2540"/>
      <c r="F132" s="2540"/>
      <c r="G132" s="2540"/>
      <c r="H132" s="2541"/>
      <c r="I132" s="1401">
        <f t="shared" ref="I132:Q132" si="28">+I105+I79+I10</f>
        <v>280000000</v>
      </c>
      <c r="J132" s="1402">
        <f t="shared" si="28"/>
        <v>531268181</v>
      </c>
      <c r="K132" s="1402">
        <f t="shared" si="28"/>
        <v>233795471</v>
      </c>
      <c r="L132" s="1403">
        <f t="shared" si="28"/>
        <v>1045063652</v>
      </c>
      <c r="M132" s="1401">
        <f t="shared" si="28"/>
        <v>109267912.31999999</v>
      </c>
      <c r="N132" s="1402">
        <f t="shared" si="28"/>
        <v>121336701</v>
      </c>
      <c r="O132" s="1402">
        <f t="shared" si="28"/>
        <v>106245110</v>
      </c>
      <c r="P132" s="1403">
        <f t="shared" si="28"/>
        <v>336849723.31999999</v>
      </c>
      <c r="Q132" s="1403">
        <f t="shared" si="28"/>
        <v>1381913375.3200002</v>
      </c>
    </row>
    <row r="133" spans="2:17" ht="15.75" thickBot="1">
      <c r="B133" s="1431"/>
      <c r="G133" s="821"/>
      <c r="H133" s="821"/>
      <c r="I133" s="822"/>
      <c r="J133" s="822"/>
      <c r="K133" s="822"/>
      <c r="N133" s="822"/>
      <c r="O133" s="822"/>
      <c r="P133" s="822"/>
      <c r="Q133" s="822"/>
    </row>
    <row r="134" spans="2:17" ht="15.75" thickBot="1">
      <c r="G134" s="821"/>
      <c r="H134" s="821"/>
      <c r="I134" s="552">
        <v>280000000</v>
      </c>
      <c r="J134" s="552">
        <v>531268181</v>
      </c>
      <c r="K134" s="552">
        <v>233795471</v>
      </c>
      <c r="L134" s="552">
        <v>1045063651</v>
      </c>
      <c r="M134" s="552">
        <v>109267912.31999999</v>
      </c>
      <c r="N134" s="552">
        <v>121336701</v>
      </c>
      <c r="O134" s="552">
        <v>106245110</v>
      </c>
      <c r="P134" s="552">
        <v>336849723.31999999</v>
      </c>
      <c r="Q134" s="552">
        <f>+P134+L134</f>
        <v>1381913374.3199999</v>
      </c>
    </row>
    <row r="135" spans="2:17">
      <c r="F135" s="181"/>
      <c r="L135" s="823"/>
      <c r="M135" s="823"/>
      <c r="N135" s="823"/>
      <c r="O135" s="823"/>
      <c r="P135" s="823"/>
      <c r="Q135" s="823"/>
    </row>
    <row r="136" spans="2:17">
      <c r="F136" s="181"/>
      <c r="I136" s="823">
        <f t="shared" ref="I136:Q136" si="29">+I134-I132</f>
        <v>0</v>
      </c>
      <c r="J136" s="823">
        <f t="shared" si="29"/>
        <v>0</v>
      </c>
      <c r="K136" s="823">
        <f t="shared" si="29"/>
        <v>0</v>
      </c>
      <c r="L136" s="823">
        <f t="shared" si="29"/>
        <v>-1</v>
      </c>
      <c r="M136" s="823">
        <f t="shared" si="29"/>
        <v>0</v>
      </c>
      <c r="N136" s="823">
        <f t="shared" si="29"/>
        <v>0</v>
      </c>
      <c r="O136" s="823">
        <f t="shared" si="29"/>
        <v>0</v>
      </c>
      <c r="P136" s="823">
        <f t="shared" si="29"/>
        <v>0</v>
      </c>
      <c r="Q136" s="823">
        <f t="shared" si="29"/>
        <v>-1.0000002384185791</v>
      </c>
    </row>
    <row r="137" spans="2:17">
      <c r="F137" s="181"/>
      <c r="L137" s="823"/>
      <c r="M137" s="821"/>
    </row>
    <row r="138" spans="2:17">
      <c r="F138" s="181"/>
      <c r="L138" s="823"/>
      <c r="M138" s="821"/>
    </row>
    <row r="139" spans="2:17">
      <c r="F139" s="181"/>
      <c r="L139" s="823"/>
      <c r="M139" s="821"/>
    </row>
    <row r="140" spans="2:17">
      <c r="F140" s="181"/>
      <c r="L140" s="823"/>
      <c r="M140" s="821"/>
    </row>
  </sheetData>
  <mergeCells count="27">
    <mergeCell ref="C132:H132"/>
    <mergeCell ref="A7:A9"/>
    <mergeCell ref="B7:B9"/>
    <mergeCell ref="C1:C3"/>
    <mergeCell ref="K8:K9"/>
    <mergeCell ref="I7:K7"/>
    <mergeCell ref="I8:I9"/>
    <mergeCell ref="J8:J9"/>
    <mergeCell ref="C7:C9"/>
    <mergeCell ref="F7:F9"/>
    <mergeCell ref="G7:G9"/>
    <mergeCell ref="D1:O3"/>
    <mergeCell ref="C5:Q5"/>
    <mergeCell ref="C6:Q6"/>
    <mergeCell ref="L7:L9"/>
    <mergeCell ref="D7:D9"/>
    <mergeCell ref="E7:E9"/>
    <mergeCell ref="H7:H9"/>
    <mergeCell ref="P1:Q1"/>
    <mergeCell ref="P2:Q2"/>
    <mergeCell ref="P3:Q3"/>
    <mergeCell ref="P8:P9"/>
    <mergeCell ref="M7:P7"/>
    <mergeCell ref="Q7:Q9"/>
    <mergeCell ref="M8:M9"/>
    <mergeCell ref="N8:N9"/>
    <mergeCell ref="O8:O9"/>
  </mergeCells>
  <pageMargins left="0.7" right="0.7" top="0.75" bottom="0.75" header="0.3" footer="0.3"/>
  <pageSetup orientation="portrait" verticalDpi="597"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theme="7" tint="0.59999389629810485"/>
  </sheetPr>
  <dimension ref="A1:L28"/>
  <sheetViews>
    <sheetView workbookViewId="0"/>
  </sheetViews>
  <sheetFormatPr baseColWidth="10" defaultRowHeight="15"/>
  <cols>
    <col min="2" max="2" width="35.42578125" customWidth="1"/>
    <col min="5" max="5" width="17.42578125" customWidth="1"/>
    <col min="6" max="6" width="19.42578125" customWidth="1"/>
    <col min="7" max="7" width="15.5703125" customWidth="1"/>
    <col min="8" max="8" width="17.5703125" style="385" customWidth="1"/>
    <col min="9" max="9" width="21.5703125" customWidth="1"/>
    <col min="10" max="10" width="14.28515625" customWidth="1"/>
    <col min="235" max="235" width="35.42578125" customWidth="1"/>
    <col min="236" max="237" width="0" hidden="1" customWidth="1"/>
    <col min="240" max="240" width="17.42578125" customWidth="1"/>
    <col min="241" max="241" width="19.42578125" customWidth="1"/>
    <col min="242" max="242" width="0" hidden="1" customWidth="1"/>
    <col min="243" max="243" width="15.5703125" customWidth="1"/>
    <col min="244" max="244" width="17.5703125" customWidth="1"/>
    <col min="245" max="245" width="27.140625" customWidth="1"/>
    <col min="246" max="246" width="14.28515625" customWidth="1"/>
    <col min="491" max="491" width="35.42578125" customWidth="1"/>
    <col min="492" max="493" width="0" hidden="1" customWidth="1"/>
    <col min="496" max="496" width="17.42578125" customWidth="1"/>
    <col min="497" max="497" width="19.42578125" customWidth="1"/>
    <col min="498" max="498" width="0" hidden="1" customWidth="1"/>
    <col min="499" max="499" width="15.5703125" customWidth="1"/>
    <col min="500" max="500" width="17.5703125" customWidth="1"/>
    <col min="501" max="501" width="27.140625" customWidth="1"/>
    <col min="502" max="502" width="14.28515625" customWidth="1"/>
    <col min="747" max="747" width="35.42578125" customWidth="1"/>
    <col min="748" max="749" width="0" hidden="1" customWidth="1"/>
    <col min="752" max="752" width="17.42578125" customWidth="1"/>
    <col min="753" max="753" width="19.42578125" customWidth="1"/>
    <col min="754" max="754" width="0" hidden="1" customWidth="1"/>
    <col min="755" max="755" width="15.5703125" customWidth="1"/>
    <col min="756" max="756" width="17.5703125" customWidth="1"/>
    <col min="757" max="757" width="27.140625" customWidth="1"/>
    <col min="758" max="758" width="14.28515625" customWidth="1"/>
    <col min="1003" max="1003" width="35.42578125" customWidth="1"/>
    <col min="1004" max="1005" width="0" hidden="1" customWidth="1"/>
    <col min="1008" max="1008" width="17.42578125" customWidth="1"/>
    <col min="1009" max="1009" width="19.42578125" customWidth="1"/>
    <col min="1010" max="1010" width="0" hidden="1" customWidth="1"/>
    <col min="1011" max="1011" width="15.5703125" customWidth="1"/>
    <col min="1012" max="1012" width="17.5703125" customWidth="1"/>
    <col min="1013" max="1013" width="27.140625" customWidth="1"/>
    <col min="1014" max="1014" width="14.28515625" customWidth="1"/>
    <col min="1259" max="1259" width="35.42578125" customWidth="1"/>
    <col min="1260" max="1261" width="0" hidden="1" customWidth="1"/>
    <col min="1264" max="1264" width="17.42578125" customWidth="1"/>
    <col min="1265" max="1265" width="19.42578125" customWidth="1"/>
    <col min="1266" max="1266" width="0" hidden="1" customWidth="1"/>
    <col min="1267" max="1267" width="15.5703125" customWidth="1"/>
    <col min="1268" max="1268" width="17.5703125" customWidth="1"/>
    <col min="1269" max="1269" width="27.140625" customWidth="1"/>
    <col min="1270" max="1270" width="14.28515625" customWidth="1"/>
    <col min="1515" max="1515" width="35.42578125" customWidth="1"/>
    <col min="1516" max="1517" width="0" hidden="1" customWidth="1"/>
    <col min="1520" max="1520" width="17.42578125" customWidth="1"/>
    <col min="1521" max="1521" width="19.42578125" customWidth="1"/>
    <col min="1522" max="1522" width="0" hidden="1" customWidth="1"/>
    <col min="1523" max="1523" width="15.5703125" customWidth="1"/>
    <col min="1524" max="1524" width="17.5703125" customWidth="1"/>
    <col min="1525" max="1525" width="27.140625" customWidth="1"/>
    <col min="1526" max="1526" width="14.28515625" customWidth="1"/>
    <col min="1771" max="1771" width="35.42578125" customWidth="1"/>
    <col min="1772" max="1773" width="0" hidden="1" customWidth="1"/>
    <col min="1776" max="1776" width="17.42578125" customWidth="1"/>
    <col min="1777" max="1777" width="19.42578125" customWidth="1"/>
    <col min="1778" max="1778" width="0" hidden="1" customWidth="1"/>
    <col min="1779" max="1779" width="15.5703125" customWidth="1"/>
    <col min="1780" max="1780" width="17.5703125" customWidth="1"/>
    <col min="1781" max="1781" width="27.140625" customWidth="1"/>
    <col min="1782" max="1782" width="14.28515625" customWidth="1"/>
    <col min="2027" max="2027" width="35.42578125" customWidth="1"/>
    <col min="2028" max="2029" width="0" hidden="1" customWidth="1"/>
    <col min="2032" max="2032" width="17.42578125" customWidth="1"/>
    <col min="2033" max="2033" width="19.42578125" customWidth="1"/>
    <col min="2034" max="2034" width="0" hidden="1" customWidth="1"/>
    <col min="2035" max="2035" width="15.5703125" customWidth="1"/>
    <col min="2036" max="2036" width="17.5703125" customWidth="1"/>
    <col min="2037" max="2037" width="27.140625" customWidth="1"/>
    <col min="2038" max="2038" width="14.28515625" customWidth="1"/>
    <col min="2283" max="2283" width="35.42578125" customWidth="1"/>
    <col min="2284" max="2285" width="0" hidden="1" customWidth="1"/>
    <col min="2288" max="2288" width="17.42578125" customWidth="1"/>
    <col min="2289" max="2289" width="19.42578125" customWidth="1"/>
    <col min="2290" max="2290" width="0" hidden="1" customWidth="1"/>
    <col min="2291" max="2291" width="15.5703125" customWidth="1"/>
    <col min="2292" max="2292" width="17.5703125" customWidth="1"/>
    <col min="2293" max="2293" width="27.140625" customWidth="1"/>
    <col min="2294" max="2294" width="14.28515625" customWidth="1"/>
    <col min="2539" max="2539" width="35.42578125" customWidth="1"/>
    <col min="2540" max="2541" width="0" hidden="1" customWidth="1"/>
    <col min="2544" max="2544" width="17.42578125" customWidth="1"/>
    <col min="2545" max="2545" width="19.42578125" customWidth="1"/>
    <col min="2546" max="2546" width="0" hidden="1" customWidth="1"/>
    <col min="2547" max="2547" width="15.5703125" customWidth="1"/>
    <col min="2548" max="2548" width="17.5703125" customWidth="1"/>
    <col min="2549" max="2549" width="27.140625" customWidth="1"/>
    <col min="2550" max="2550" width="14.28515625" customWidth="1"/>
    <col min="2795" max="2795" width="35.42578125" customWidth="1"/>
    <col min="2796" max="2797" width="0" hidden="1" customWidth="1"/>
    <col min="2800" max="2800" width="17.42578125" customWidth="1"/>
    <col min="2801" max="2801" width="19.42578125" customWidth="1"/>
    <col min="2802" max="2802" width="0" hidden="1" customWidth="1"/>
    <col min="2803" max="2803" width="15.5703125" customWidth="1"/>
    <col min="2804" max="2804" width="17.5703125" customWidth="1"/>
    <col min="2805" max="2805" width="27.140625" customWidth="1"/>
    <col min="2806" max="2806" width="14.28515625" customWidth="1"/>
    <col min="3051" max="3051" width="35.42578125" customWidth="1"/>
    <col min="3052" max="3053" width="0" hidden="1" customWidth="1"/>
    <col min="3056" max="3056" width="17.42578125" customWidth="1"/>
    <col min="3057" max="3057" width="19.42578125" customWidth="1"/>
    <col min="3058" max="3058" width="0" hidden="1" customWidth="1"/>
    <col min="3059" max="3059" width="15.5703125" customWidth="1"/>
    <col min="3060" max="3060" width="17.5703125" customWidth="1"/>
    <col min="3061" max="3061" width="27.140625" customWidth="1"/>
    <col min="3062" max="3062" width="14.28515625" customWidth="1"/>
    <col min="3307" max="3307" width="35.42578125" customWidth="1"/>
    <col min="3308" max="3309" width="0" hidden="1" customWidth="1"/>
    <col min="3312" max="3312" width="17.42578125" customWidth="1"/>
    <col min="3313" max="3313" width="19.42578125" customWidth="1"/>
    <col min="3314" max="3314" width="0" hidden="1" customWidth="1"/>
    <col min="3315" max="3315" width="15.5703125" customWidth="1"/>
    <col min="3316" max="3316" width="17.5703125" customWidth="1"/>
    <col min="3317" max="3317" width="27.140625" customWidth="1"/>
    <col min="3318" max="3318" width="14.28515625" customWidth="1"/>
    <col min="3563" max="3563" width="35.42578125" customWidth="1"/>
    <col min="3564" max="3565" width="0" hidden="1" customWidth="1"/>
    <col min="3568" max="3568" width="17.42578125" customWidth="1"/>
    <col min="3569" max="3569" width="19.42578125" customWidth="1"/>
    <col min="3570" max="3570" width="0" hidden="1" customWidth="1"/>
    <col min="3571" max="3571" width="15.5703125" customWidth="1"/>
    <col min="3572" max="3572" width="17.5703125" customWidth="1"/>
    <col min="3573" max="3573" width="27.140625" customWidth="1"/>
    <col min="3574" max="3574" width="14.28515625" customWidth="1"/>
    <col min="3819" max="3819" width="35.42578125" customWidth="1"/>
    <col min="3820" max="3821" width="0" hidden="1" customWidth="1"/>
    <col min="3824" max="3824" width="17.42578125" customWidth="1"/>
    <col min="3825" max="3825" width="19.42578125" customWidth="1"/>
    <col min="3826" max="3826" width="0" hidden="1" customWidth="1"/>
    <col min="3827" max="3827" width="15.5703125" customWidth="1"/>
    <col min="3828" max="3828" width="17.5703125" customWidth="1"/>
    <col min="3829" max="3829" width="27.140625" customWidth="1"/>
    <col min="3830" max="3830" width="14.28515625" customWidth="1"/>
    <col min="4075" max="4075" width="35.42578125" customWidth="1"/>
    <col min="4076" max="4077" width="0" hidden="1" customWidth="1"/>
    <col min="4080" max="4080" width="17.42578125" customWidth="1"/>
    <col min="4081" max="4081" width="19.42578125" customWidth="1"/>
    <col min="4082" max="4082" width="0" hidden="1" customWidth="1"/>
    <col min="4083" max="4083" width="15.5703125" customWidth="1"/>
    <col min="4084" max="4084" width="17.5703125" customWidth="1"/>
    <col min="4085" max="4085" width="27.140625" customWidth="1"/>
    <col min="4086" max="4086" width="14.28515625" customWidth="1"/>
    <col min="4331" max="4331" width="35.42578125" customWidth="1"/>
    <col min="4332" max="4333" width="0" hidden="1" customWidth="1"/>
    <col min="4336" max="4336" width="17.42578125" customWidth="1"/>
    <col min="4337" max="4337" width="19.42578125" customWidth="1"/>
    <col min="4338" max="4338" width="0" hidden="1" customWidth="1"/>
    <col min="4339" max="4339" width="15.5703125" customWidth="1"/>
    <col min="4340" max="4340" width="17.5703125" customWidth="1"/>
    <col min="4341" max="4341" width="27.140625" customWidth="1"/>
    <col min="4342" max="4342" width="14.28515625" customWidth="1"/>
    <col min="4587" max="4587" width="35.42578125" customWidth="1"/>
    <col min="4588" max="4589" width="0" hidden="1" customWidth="1"/>
    <col min="4592" max="4592" width="17.42578125" customWidth="1"/>
    <col min="4593" max="4593" width="19.42578125" customWidth="1"/>
    <col min="4594" max="4594" width="0" hidden="1" customWidth="1"/>
    <col min="4595" max="4595" width="15.5703125" customWidth="1"/>
    <col min="4596" max="4596" width="17.5703125" customWidth="1"/>
    <col min="4597" max="4597" width="27.140625" customWidth="1"/>
    <col min="4598" max="4598" width="14.28515625" customWidth="1"/>
    <col min="4843" max="4843" width="35.42578125" customWidth="1"/>
    <col min="4844" max="4845" width="0" hidden="1" customWidth="1"/>
    <col min="4848" max="4848" width="17.42578125" customWidth="1"/>
    <col min="4849" max="4849" width="19.42578125" customWidth="1"/>
    <col min="4850" max="4850" width="0" hidden="1" customWidth="1"/>
    <col min="4851" max="4851" width="15.5703125" customWidth="1"/>
    <col min="4852" max="4852" width="17.5703125" customWidth="1"/>
    <col min="4853" max="4853" width="27.140625" customWidth="1"/>
    <col min="4854" max="4854" width="14.28515625" customWidth="1"/>
    <col min="5099" max="5099" width="35.42578125" customWidth="1"/>
    <col min="5100" max="5101" width="0" hidden="1" customWidth="1"/>
    <col min="5104" max="5104" width="17.42578125" customWidth="1"/>
    <col min="5105" max="5105" width="19.42578125" customWidth="1"/>
    <col min="5106" max="5106" width="0" hidden="1" customWidth="1"/>
    <col min="5107" max="5107" width="15.5703125" customWidth="1"/>
    <col min="5108" max="5108" width="17.5703125" customWidth="1"/>
    <col min="5109" max="5109" width="27.140625" customWidth="1"/>
    <col min="5110" max="5110" width="14.28515625" customWidth="1"/>
    <col min="5355" max="5355" width="35.42578125" customWidth="1"/>
    <col min="5356" max="5357" width="0" hidden="1" customWidth="1"/>
    <col min="5360" max="5360" width="17.42578125" customWidth="1"/>
    <col min="5361" max="5361" width="19.42578125" customWidth="1"/>
    <col min="5362" max="5362" width="0" hidden="1" customWidth="1"/>
    <col min="5363" max="5363" width="15.5703125" customWidth="1"/>
    <col min="5364" max="5364" width="17.5703125" customWidth="1"/>
    <col min="5365" max="5365" width="27.140625" customWidth="1"/>
    <col min="5366" max="5366" width="14.28515625" customWidth="1"/>
    <col min="5611" max="5611" width="35.42578125" customWidth="1"/>
    <col min="5612" max="5613" width="0" hidden="1" customWidth="1"/>
    <col min="5616" max="5616" width="17.42578125" customWidth="1"/>
    <col min="5617" max="5617" width="19.42578125" customWidth="1"/>
    <col min="5618" max="5618" width="0" hidden="1" customWidth="1"/>
    <col min="5619" max="5619" width="15.5703125" customWidth="1"/>
    <col min="5620" max="5620" width="17.5703125" customWidth="1"/>
    <col min="5621" max="5621" width="27.140625" customWidth="1"/>
    <col min="5622" max="5622" width="14.28515625" customWidth="1"/>
    <col min="5867" max="5867" width="35.42578125" customWidth="1"/>
    <col min="5868" max="5869" width="0" hidden="1" customWidth="1"/>
    <col min="5872" max="5872" width="17.42578125" customWidth="1"/>
    <col min="5873" max="5873" width="19.42578125" customWidth="1"/>
    <col min="5874" max="5874" width="0" hidden="1" customWidth="1"/>
    <col min="5875" max="5875" width="15.5703125" customWidth="1"/>
    <col min="5876" max="5876" width="17.5703125" customWidth="1"/>
    <col min="5877" max="5877" width="27.140625" customWidth="1"/>
    <col min="5878" max="5878" width="14.28515625" customWidth="1"/>
    <col min="6123" max="6123" width="35.42578125" customWidth="1"/>
    <col min="6124" max="6125" width="0" hidden="1" customWidth="1"/>
    <col min="6128" max="6128" width="17.42578125" customWidth="1"/>
    <col min="6129" max="6129" width="19.42578125" customWidth="1"/>
    <col min="6130" max="6130" width="0" hidden="1" customWidth="1"/>
    <col min="6131" max="6131" width="15.5703125" customWidth="1"/>
    <col min="6132" max="6132" width="17.5703125" customWidth="1"/>
    <col min="6133" max="6133" width="27.140625" customWidth="1"/>
    <col min="6134" max="6134" width="14.28515625" customWidth="1"/>
    <col min="6379" max="6379" width="35.42578125" customWidth="1"/>
    <col min="6380" max="6381" width="0" hidden="1" customWidth="1"/>
    <col min="6384" max="6384" width="17.42578125" customWidth="1"/>
    <col min="6385" max="6385" width="19.42578125" customWidth="1"/>
    <col min="6386" max="6386" width="0" hidden="1" customWidth="1"/>
    <col min="6387" max="6387" width="15.5703125" customWidth="1"/>
    <col min="6388" max="6388" width="17.5703125" customWidth="1"/>
    <col min="6389" max="6389" width="27.140625" customWidth="1"/>
    <col min="6390" max="6390" width="14.28515625" customWidth="1"/>
    <col min="6635" max="6635" width="35.42578125" customWidth="1"/>
    <col min="6636" max="6637" width="0" hidden="1" customWidth="1"/>
    <col min="6640" max="6640" width="17.42578125" customWidth="1"/>
    <col min="6641" max="6641" width="19.42578125" customWidth="1"/>
    <col min="6642" max="6642" width="0" hidden="1" customWidth="1"/>
    <col min="6643" max="6643" width="15.5703125" customWidth="1"/>
    <col min="6644" max="6644" width="17.5703125" customWidth="1"/>
    <col min="6645" max="6645" width="27.140625" customWidth="1"/>
    <col min="6646" max="6646" width="14.28515625" customWidth="1"/>
    <col min="6891" max="6891" width="35.42578125" customWidth="1"/>
    <col min="6892" max="6893" width="0" hidden="1" customWidth="1"/>
    <col min="6896" max="6896" width="17.42578125" customWidth="1"/>
    <col min="6897" max="6897" width="19.42578125" customWidth="1"/>
    <col min="6898" max="6898" width="0" hidden="1" customWidth="1"/>
    <col min="6899" max="6899" width="15.5703125" customWidth="1"/>
    <col min="6900" max="6900" width="17.5703125" customWidth="1"/>
    <col min="6901" max="6901" width="27.140625" customWidth="1"/>
    <col min="6902" max="6902" width="14.28515625" customWidth="1"/>
    <col min="7147" max="7147" width="35.42578125" customWidth="1"/>
    <col min="7148" max="7149" width="0" hidden="1" customWidth="1"/>
    <col min="7152" max="7152" width="17.42578125" customWidth="1"/>
    <col min="7153" max="7153" width="19.42578125" customWidth="1"/>
    <col min="7154" max="7154" width="0" hidden="1" customWidth="1"/>
    <col min="7155" max="7155" width="15.5703125" customWidth="1"/>
    <col min="7156" max="7156" width="17.5703125" customWidth="1"/>
    <col min="7157" max="7157" width="27.140625" customWidth="1"/>
    <col min="7158" max="7158" width="14.28515625" customWidth="1"/>
    <col min="7403" max="7403" width="35.42578125" customWidth="1"/>
    <col min="7404" max="7405" width="0" hidden="1" customWidth="1"/>
    <col min="7408" max="7408" width="17.42578125" customWidth="1"/>
    <col min="7409" max="7409" width="19.42578125" customWidth="1"/>
    <col min="7410" max="7410" width="0" hidden="1" customWidth="1"/>
    <col min="7411" max="7411" width="15.5703125" customWidth="1"/>
    <col min="7412" max="7412" width="17.5703125" customWidth="1"/>
    <col min="7413" max="7413" width="27.140625" customWidth="1"/>
    <col min="7414" max="7414" width="14.28515625" customWidth="1"/>
    <col min="7659" max="7659" width="35.42578125" customWidth="1"/>
    <col min="7660" max="7661" width="0" hidden="1" customWidth="1"/>
    <col min="7664" max="7664" width="17.42578125" customWidth="1"/>
    <col min="7665" max="7665" width="19.42578125" customWidth="1"/>
    <col min="7666" max="7666" width="0" hidden="1" customWidth="1"/>
    <col min="7667" max="7667" width="15.5703125" customWidth="1"/>
    <col min="7668" max="7668" width="17.5703125" customWidth="1"/>
    <col min="7669" max="7669" width="27.140625" customWidth="1"/>
    <col min="7670" max="7670" width="14.28515625" customWidth="1"/>
    <col min="7915" max="7915" width="35.42578125" customWidth="1"/>
    <col min="7916" max="7917" width="0" hidden="1" customWidth="1"/>
    <col min="7920" max="7920" width="17.42578125" customWidth="1"/>
    <col min="7921" max="7921" width="19.42578125" customWidth="1"/>
    <col min="7922" max="7922" width="0" hidden="1" customWidth="1"/>
    <col min="7923" max="7923" width="15.5703125" customWidth="1"/>
    <col min="7924" max="7924" width="17.5703125" customWidth="1"/>
    <col min="7925" max="7925" width="27.140625" customWidth="1"/>
    <col min="7926" max="7926" width="14.28515625" customWidth="1"/>
    <col min="8171" max="8171" width="35.42578125" customWidth="1"/>
    <col min="8172" max="8173" width="0" hidden="1" customWidth="1"/>
    <col min="8176" max="8176" width="17.42578125" customWidth="1"/>
    <col min="8177" max="8177" width="19.42578125" customWidth="1"/>
    <col min="8178" max="8178" width="0" hidden="1" customWidth="1"/>
    <col min="8179" max="8179" width="15.5703125" customWidth="1"/>
    <col min="8180" max="8180" width="17.5703125" customWidth="1"/>
    <col min="8181" max="8181" width="27.140625" customWidth="1"/>
    <col min="8182" max="8182" width="14.28515625" customWidth="1"/>
    <col min="8427" max="8427" width="35.42578125" customWidth="1"/>
    <col min="8428" max="8429" width="0" hidden="1" customWidth="1"/>
    <col min="8432" max="8432" width="17.42578125" customWidth="1"/>
    <col min="8433" max="8433" width="19.42578125" customWidth="1"/>
    <col min="8434" max="8434" width="0" hidden="1" customWidth="1"/>
    <col min="8435" max="8435" width="15.5703125" customWidth="1"/>
    <col min="8436" max="8436" width="17.5703125" customWidth="1"/>
    <col min="8437" max="8437" width="27.140625" customWidth="1"/>
    <col min="8438" max="8438" width="14.28515625" customWidth="1"/>
    <col min="8683" max="8683" width="35.42578125" customWidth="1"/>
    <col min="8684" max="8685" width="0" hidden="1" customWidth="1"/>
    <col min="8688" max="8688" width="17.42578125" customWidth="1"/>
    <col min="8689" max="8689" width="19.42578125" customWidth="1"/>
    <col min="8690" max="8690" width="0" hidden="1" customWidth="1"/>
    <col min="8691" max="8691" width="15.5703125" customWidth="1"/>
    <col min="8692" max="8692" width="17.5703125" customWidth="1"/>
    <col min="8693" max="8693" width="27.140625" customWidth="1"/>
    <col min="8694" max="8694" width="14.28515625" customWidth="1"/>
    <col min="8939" max="8939" width="35.42578125" customWidth="1"/>
    <col min="8940" max="8941" width="0" hidden="1" customWidth="1"/>
    <col min="8944" max="8944" width="17.42578125" customWidth="1"/>
    <col min="8945" max="8945" width="19.42578125" customWidth="1"/>
    <col min="8946" max="8946" width="0" hidden="1" customWidth="1"/>
    <col min="8947" max="8947" width="15.5703125" customWidth="1"/>
    <col min="8948" max="8948" width="17.5703125" customWidth="1"/>
    <col min="8949" max="8949" width="27.140625" customWidth="1"/>
    <col min="8950" max="8950" width="14.28515625" customWidth="1"/>
    <col min="9195" max="9195" width="35.42578125" customWidth="1"/>
    <col min="9196" max="9197" width="0" hidden="1" customWidth="1"/>
    <col min="9200" max="9200" width="17.42578125" customWidth="1"/>
    <col min="9201" max="9201" width="19.42578125" customWidth="1"/>
    <col min="9202" max="9202" width="0" hidden="1" customWidth="1"/>
    <col min="9203" max="9203" width="15.5703125" customWidth="1"/>
    <col min="9204" max="9204" width="17.5703125" customWidth="1"/>
    <col min="9205" max="9205" width="27.140625" customWidth="1"/>
    <col min="9206" max="9206" width="14.28515625" customWidth="1"/>
    <col min="9451" max="9451" width="35.42578125" customWidth="1"/>
    <col min="9452" max="9453" width="0" hidden="1" customWidth="1"/>
    <col min="9456" max="9456" width="17.42578125" customWidth="1"/>
    <col min="9457" max="9457" width="19.42578125" customWidth="1"/>
    <col min="9458" max="9458" width="0" hidden="1" customWidth="1"/>
    <col min="9459" max="9459" width="15.5703125" customWidth="1"/>
    <col min="9460" max="9460" width="17.5703125" customWidth="1"/>
    <col min="9461" max="9461" width="27.140625" customWidth="1"/>
    <col min="9462" max="9462" width="14.28515625" customWidth="1"/>
    <col min="9707" max="9707" width="35.42578125" customWidth="1"/>
    <col min="9708" max="9709" width="0" hidden="1" customWidth="1"/>
    <col min="9712" max="9712" width="17.42578125" customWidth="1"/>
    <col min="9713" max="9713" width="19.42578125" customWidth="1"/>
    <col min="9714" max="9714" width="0" hidden="1" customWidth="1"/>
    <col min="9715" max="9715" width="15.5703125" customWidth="1"/>
    <col min="9716" max="9716" width="17.5703125" customWidth="1"/>
    <col min="9717" max="9717" width="27.140625" customWidth="1"/>
    <col min="9718" max="9718" width="14.28515625" customWidth="1"/>
    <col min="9963" max="9963" width="35.42578125" customWidth="1"/>
    <col min="9964" max="9965" width="0" hidden="1" customWidth="1"/>
    <col min="9968" max="9968" width="17.42578125" customWidth="1"/>
    <col min="9969" max="9969" width="19.42578125" customWidth="1"/>
    <col min="9970" max="9970" width="0" hidden="1" customWidth="1"/>
    <col min="9971" max="9971" width="15.5703125" customWidth="1"/>
    <col min="9972" max="9972" width="17.5703125" customWidth="1"/>
    <col min="9973" max="9973" width="27.140625" customWidth="1"/>
    <col min="9974" max="9974" width="14.28515625" customWidth="1"/>
    <col min="10219" max="10219" width="35.42578125" customWidth="1"/>
    <col min="10220" max="10221" width="0" hidden="1" customWidth="1"/>
    <col min="10224" max="10224" width="17.42578125" customWidth="1"/>
    <col min="10225" max="10225" width="19.42578125" customWidth="1"/>
    <col min="10226" max="10226" width="0" hidden="1" customWidth="1"/>
    <col min="10227" max="10227" width="15.5703125" customWidth="1"/>
    <col min="10228" max="10228" width="17.5703125" customWidth="1"/>
    <col min="10229" max="10229" width="27.140625" customWidth="1"/>
    <col min="10230" max="10230" width="14.28515625" customWidth="1"/>
    <col min="10475" max="10475" width="35.42578125" customWidth="1"/>
    <col min="10476" max="10477" width="0" hidden="1" customWidth="1"/>
    <col min="10480" max="10480" width="17.42578125" customWidth="1"/>
    <col min="10481" max="10481" width="19.42578125" customWidth="1"/>
    <col min="10482" max="10482" width="0" hidden="1" customWidth="1"/>
    <col min="10483" max="10483" width="15.5703125" customWidth="1"/>
    <col min="10484" max="10484" width="17.5703125" customWidth="1"/>
    <col min="10485" max="10485" width="27.140625" customWidth="1"/>
    <col min="10486" max="10486" width="14.28515625" customWidth="1"/>
    <col min="10731" max="10731" width="35.42578125" customWidth="1"/>
    <col min="10732" max="10733" width="0" hidden="1" customWidth="1"/>
    <col min="10736" max="10736" width="17.42578125" customWidth="1"/>
    <col min="10737" max="10737" width="19.42578125" customWidth="1"/>
    <col min="10738" max="10738" width="0" hidden="1" customWidth="1"/>
    <col min="10739" max="10739" width="15.5703125" customWidth="1"/>
    <col min="10740" max="10740" width="17.5703125" customWidth="1"/>
    <col min="10741" max="10741" width="27.140625" customWidth="1"/>
    <col min="10742" max="10742" width="14.28515625" customWidth="1"/>
    <col min="10987" max="10987" width="35.42578125" customWidth="1"/>
    <col min="10988" max="10989" width="0" hidden="1" customWidth="1"/>
    <col min="10992" max="10992" width="17.42578125" customWidth="1"/>
    <col min="10993" max="10993" width="19.42578125" customWidth="1"/>
    <col min="10994" max="10994" width="0" hidden="1" customWidth="1"/>
    <col min="10995" max="10995" width="15.5703125" customWidth="1"/>
    <col min="10996" max="10996" width="17.5703125" customWidth="1"/>
    <col min="10997" max="10997" width="27.140625" customWidth="1"/>
    <col min="10998" max="10998" width="14.28515625" customWidth="1"/>
    <col min="11243" max="11243" width="35.42578125" customWidth="1"/>
    <col min="11244" max="11245" width="0" hidden="1" customWidth="1"/>
    <col min="11248" max="11248" width="17.42578125" customWidth="1"/>
    <col min="11249" max="11249" width="19.42578125" customWidth="1"/>
    <col min="11250" max="11250" width="0" hidden="1" customWidth="1"/>
    <col min="11251" max="11251" width="15.5703125" customWidth="1"/>
    <col min="11252" max="11252" width="17.5703125" customWidth="1"/>
    <col min="11253" max="11253" width="27.140625" customWidth="1"/>
    <col min="11254" max="11254" width="14.28515625" customWidth="1"/>
    <col min="11499" max="11499" width="35.42578125" customWidth="1"/>
    <col min="11500" max="11501" width="0" hidden="1" customWidth="1"/>
    <col min="11504" max="11504" width="17.42578125" customWidth="1"/>
    <col min="11505" max="11505" width="19.42578125" customWidth="1"/>
    <col min="11506" max="11506" width="0" hidden="1" customWidth="1"/>
    <col min="11507" max="11507" width="15.5703125" customWidth="1"/>
    <col min="11508" max="11508" width="17.5703125" customWidth="1"/>
    <col min="11509" max="11509" width="27.140625" customWidth="1"/>
    <col min="11510" max="11510" width="14.28515625" customWidth="1"/>
    <col min="11755" max="11755" width="35.42578125" customWidth="1"/>
    <col min="11756" max="11757" width="0" hidden="1" customWidth="1"/>
    <col min="11760" max="11760" width="17.42578125" customWidth="1"/>
    <col min="11761" max="11761" width="19.42578125" customWidth="1"/>
    <col min="11762" max="11762" width="0" hidden="1" customWidth="1"/>
    <col min="11763" max="11763" width="15.5703125" customWidth="1"/>
    <col min="11764" max="11764" width="17.5703125" customWidth="1"/>
    <col min="11765" max="11765" width="27.140625" customWidth="1"/>
    <col min="11766" max="11766" width="14.28515625" customWidth="1"/>
    <col min="12011" max="12011" width="35.42578125" customWidth="1"/>
    <col min="12012" max="12013" width="0" hidden="1" customWidth="1"/>
    <col min="12016" max="12016" width="17.42578125" customWidth="1"/>
    <col min="12017" max="12017" width="19.42578125" customWidth="1"/>
    <col min="12018" max="12018" width="0" hidden="1" customWidth="1"/>
    <col min="12019" max="12019" width="15.5703125" customWidth="1"/>
    <col min="12020" max="12020" width="17.5703125" customWidth="1"/>
    <col min="12021" max="12021" width="27.140625" customWidth="1"/>
    <col min="12022" max="12022" width="14.28515625" customWidth="1"/>
    <col min="12267" max="12267" width="35.42578125" customWidth="1"/>
    <col min="12268" max="12269" width="0" hidden="1" customWidth="1"/>
    <col min="12272" max="12272" width="17.42578125" customWidth="1"/>
    <col min="12273" max="12273" width="19.42578125" customWidth="1"/>
    <col min="12274" max="12274" width="0" hidden="1" customWidth="1"/>
    <col min="12275" max="12275" width="15.5703125" customWidth="1"/>
    <col min="12276" max="12276" width="17.5703125" customWidth="1"/>
    <col min="12277" max="12277" width="27.140625" customWidth="1"/>
    <col min="12278" max="12278" width="14.28515625" customWidth="1"/>
    <col min="12523" max="12523" width="35.42578125" customWidth="1"/>
    <col min="12524" max="12525" width="0" hidden="1" customWidth="1"/>
    <col min="12528" max="12528" width="17.42578125" customWidth="1"/>
    <col min="12529" max="12529" width="19.42578125" customWidth="1"/>
    <col min="12530" max="12530" width="0" hidden="1" customWidth="1"/>
    <col min="12531" max="12531" width="15.5703125" customWidth="1"/>
    <col min="12532" max="12532" width="17.5703125" customWidth="1"/>
    <col min="12533" max="12533" width="27.140625" customWidth="1"/>
    <col min="12534" max="12534" width="14.28515625" customWidth="1"/>
    <col min="12779" max="12779" width="35.42578125" customWidth="1"/>
    <col min="12780" max="12781" width="0" hidden="1" customWidth="1"/>
    <col min="12784" max="12784" width="17.42578125" customWidth="1"/>
    <col min="12785" max="12785" width="19.42578125" customWidth="1"/>
    <col min="12786" max="12786" width="0" hidden="1" customWidth="1"/>
    <col min="12787" max="12787" width="15.5703125" customWidth="1"/>
    <col min="12788" max="12788" width="17.5703125" customWidth="1"/>
    <col min="12789" max="12789" width="27.140625" customWidth="1"/>
    <col min="12790" max="12790" width="14.28515625" customWidth="1"/>
    <col min="13035" max="13035" width="35.42578125" customWidth="1"/>
    <col min="13036" max="13037" width="0" hidden="1" customWidth="1"/>
    <col min="13040" max="13040" width="17.42578125" customWidth="1"/>
    <col min="13041" max="13041" width="19.42578125" customWidth="1"/>
    <col min="13042" max="13042" width="0" hidden="1" customWidth="1"/>
    <col min="13043" max="13043" width="15.5703125" customWidth="1"/>
    <col min="13044" max="13044" width="17.5703125" customWidth="1"/>
    <col min="13045" max="13045" width="27.140625" customWidth="1"/>
    <col min="13046" max="13046" width="14.28515625" customWidth="1"/>
    <col min="13291" max="13291" width="35.42578125" customWidth="1"/>
    <col min="13292" max="13293" width="0" hidden="1" customWidth="1"/>
    <col min="13296" max="13296" width="17.42578125" customWidth="1"/>
    <col min="13297" max="13297" width="19.42578125" customWidth="1"/>
    <col min="13298" max="13298" width="0" hidden="1" customWidth="1"/>
    <col min="13299" max="13299" width="15.5703125" customWidth="1"/>
    <col min="13300" max="13300" width="17.5703125" customWidth="1"/>
    <col min="13301" max="13301" width="27.140625" customWidth="1"/>
    <col min="13302" max="13302" width="14.28515625" customWidth="1"/>
    <col min="13547" max="13547" width="35.42578125" customWidth="1"/>
    <col min="13548" max="13549" width="0" hidden="1" customWidth="1"/>
    <col min="13552" max="13552" width="17.42578125" customWidth="1"/>
    <col min="13553" max="13553" width="19.42578125" customWidth="1"/>
    <col min="13554" max="13554" width="0" hidden="1" customWidth="1"/>
    <col min="13555" max="13555" width="15.5703125" customWidth="1"/>
    <col min="13556" max="13556" width="17.5703125" customWidth="1"/>
    <col min="13557" max="13557" width="27.140625" customWidth="1"/>
    <col min="13558" max="13558" width="14.28515625" customWidth="1"/>
    <col min="13803" max="13803" width="35.42578125" customWidth="1"/>
    <col min="13804" max="13805" width="0" hidden="1" customWidth="1"/>
    <col min="13808" max="13808" width="17.42578125" customWidth="1"/>
    <col min="13809" max="13809" width="19.42578125" customWidth="1"/>
    <col min="13810" max="13810" width="0" hidden="1" customWidth="1"/>
    <col min="13811" max="13811" width="15.5703125" customWidth="1"/>
    <col min="13812" max="13812" width="17.5703125" customWidth="1"/>
    <col min="13813" max="13813" width="27.140625" customWidth="1"/>
    <col min="13814" max="13814" width="14.28515625" customWidth="1"/>
    <col min="14059" max="14059" width="35.42578125" customWidth="1"/>
    <col min="14060" max="14061" width="0" hidden="1" customWidth="1"/>
    <col min="14064" max="14064" width="17.42578125" customWidth="1"/>
    <col min="14065" max="14065" width="19.42578125" customWidth="1"/>
    <col min="14066" max="14066" width="0" hidden="1" customWidth="1"/>
    <col min="14067" max="14067" width="15.5703125" customWidth="1"/>
    <col min="14068" max="14068" width="17.5703125" customWidth="1"/>
    <col min="14069" max="14069" width="27.140625" customWidth="1"/>
    <col min="14070" max="14070" width="14.28515625" customWidth="1"/>
    <col min="14315" max="14315" width="35.42578125" customWidth="1"/>
    <col min="14316" max="14317" width="0" hidden="1" customWidth="1"/>
    <col min="14320" max="14320" width="17.42578125" customWidth="1"/>
    <col min="14321" max="14321" width="19.42578125" customWidth="1"/>
    <col min="14322" max="14322" width="0" hidden="1" customWidth="1"/>
    <col min="14323" max="14323" width="15.5703125" customWidth="1"/>
    <col min="14324" max="14324" width="17.5703125" customWidth="1"/>
    <col min="14325" max="14325" width="27.140625" customWidth="1"/>
    <col min="14326" max="14326" width="14.28515625" customWidth="1"/>
    <col min="14571" max="14571" width="35.42578125" customWidth="1"/>
    <col min="14572" max="14573" width="0" hidden="1" customWidth="1"/>
    <col min="14576" max="14576" width="17.42578125" customWidth="1"/>
    <col min="14577" max="14577" width="19.42578125" customWidth="1"/>
    <col min="14578" max="14578" width="0" hidden="1" customWidth="1"/>
    <col min="14579" max="14579" width="15.5703125" customWidth="1"/>
    <col min="14580" max="14580" width="17.5703125" customWidth="1"/>
    <col min="14581" max="14581" width="27.140625" customWidth="1"/>
    <col min="14582" max="14582" width="14.28515625" customWidth="1"/>
    <col min="14827" max="14827" width="35.42578125" customWidth="1"/>
    <col min="14828" max="14829" width="0" hidden="1" customWidth="1"/>
    <col min="14832" max="14832" width="17.42578125" customWidth="1"/>
    <col min="14833" max="14833" width="19.42578125" customWidth="1"/>
    <col min="14834" max="14834" width="0" hidden="1" customWidth="1"/>
    <col min="14835" max="14835" width="15.5703125" customWidth="1"/>
    <col min="14836" max="14836" width="17.5703125" customWidth="1"/>
    <col min="14837" max="14837" width="27.140625" customWidth="1"/>
    <col min="14838" max="14838" width="14.28515625" customWidth="1"/>
    <col min="15083" max="15083" width="35.42578125" customWidth="1"/>
    <col min="15084" max="15085" width="0" hidden="1" customWidth="1"/>
    <col min="15088" max="15088" width="17.42578125" customWidth="1"/>
    <col min="15089" max="15089" width="19.42578125" customWidth="1"/>
    <col min="15090" max="15090" width="0" hidden="1" customWidth="1"/>
    <col min="15091" max="15091" width="15.5703125" customWidth="1"/>
    <col min="15092" max="15092" width="17.5703125" customWidth="1"/>
    <col min="15093" max="15093" width="27.140625" customWidth="1"/>
    <col min="15094" max="15094" width="14.28515625" customWidth="1"/>
    <col min="15339" max="15339" width="35.42578125" customWidth="1"/>
    <col min="15340" max="15341" width="0" hidden="1" customWidth="1"/>
    <col min="15344" max="15344" width="17.42578125" customWidth="1"/>
    <col min="15345" max="15345" width="19.42578125" customWidth="1"/>
    <col min="15346" max="15346" width="0" hidden="1" customWidth="1"/>
    <col min="15347" max="15347" width="15.5703125" customWidth="1"/>
    <col min="15348" max="15348" width="17.5703125" customWidth="1"/>
    <col min="15349" max="15349" width="27.140625" customWidth="1"/>
    <col min="15350" max="15350" width="14.28515625" customWidth="1"/>
    <col min="15595" max="15595" width="35.42578125" customWidth="1"/>
    <col min="15596" max="15597" width="0" hidden="1" customWidth="1"/>
    <col min="15600" max="15600" width="17.42578125" customWidth="1"/>
    <col min="15601" max="15601" width="19.42578125" customWidth="1"/>
    <col min="15602" max="15602" width="0" hidden="1" customWidth="1"/>
    <col min="15603" max="15603" width="15.5703125" customWidth="1"/>
    <col min="15604" max="15604" width="17.5703125" customWidth="1"/>
    <col min="15605" max="15605" width="27.140625" customWidth="1"/>
    <col min="15606" max="15606" width="14.28515625" customWidth="1"/>
    <col min="15851" max="15851" width="35.42578125" customWidth="1"/>
    <col min="15852" max="15853" width="0" hidden="1" customWidth="1"/>
    <col min="15856" max="15856" width="17.42578125" customWidth="1"/>
    <col min="15857" max="15857" width="19.42578125" customWidth="1"/>
    <col min="15858" max="15858" width="0" hidden="1" customWidth="1"/>
    <col min="15859" max="15859" width="15.5703125" customWidth="1"/>
    <col min="15860" max="15860" width="17.5703125" customWidth="1"/>
    <col min="15861" max="15861" width="27.140625" customWidth="1"/>
    <col min="15862" max="15862" width="14.28515625" customWidth="1"/>
    <col min="16107" max="16107" width="35.42578125" customWidth="1"/>
    <col min="16108" max="16109" width="0" hidden="1" customWidth="1"/>
    <col min="16112" max="16112" width="17.42578125" customWidth="1"/>
    <col min="16113" max="16113" width="19.42578125" customWidth="1"/>
    <col min="16114" max="16114" width="0" hidden="1" customWidth="1"/>
    <col min="16115" max="16115" width="15.5703125" customWidth="1"/>
    <col min="16116" max="16116" width="17.5703125" customWidth="1"/>
    <col min="16117" max="16117" width="27.140625" customWidth="1"/>
    <col min="16118" max="16118" width="14.28515625" customWidth="1"/>
  </cols>
  <sheetData>
    <row r="1" spans="1:12">
      <c r="B1" s="2405"/>
      <c r="C1" s="2430" t="s">
        <v>542</v>
      </c>
      <c r="D1" s="2431"/>
      <c r="E1" s="2431"/>
      <c r="F1" s="2432"/>
      <c r="G1" s="2495" t="s">
        <v>539</v>
      </c>
      <c r="H1" s="2496"/>
      <c r="L1" s="275"/>
    </row>
    <row r="2" spans="1:12">
      <c r="B2" s="2406"/>
      <c r="C2" s="2433"/>
      <c r="D2" s="2434"/>
      <c r="E2" s="2434"/>
      <c r="F2" s="2435"/>
      <c r="G2" s="2497" t="s">
        <v>540</v>
      </c>
      <c r="H2" s="2498"/>
      <c r="L2" s="275"/>
    </row>
    <row r="3" spans="1:12" ht="15.75" thickBot="1">
      <c r="B3" s="2407"/>
      <c r="C3" s="2436"/>
      <c r="D3" s="2437"/>
      <c r="E3" s="2437"/>
      <c r="F3" s="2438"/>
      <c r="G3" s="2499" t="s">
        <v>541</v>
      </c>
      <c r="H3" s="2500"/>
      <c r="L3" s="275"/>
    </row>
    <row r="4" spans="1:12" ht="15.75" thickBot="1">
      <c r="H4" s="1180"/>
    </row>
    <row r="5" spans="1:12" s="1" customFormat="1" ht="16.5" customHeight="1" thickBot="1">
      <c r="B5" s="2402" t="s">
        <v>181</v>
      </c>
      <c r="C5" s="2403"/>
      <c r="D5" s="2403"/>
      <c r="E5" s="2403"/>
      <c r="F5" s="2403"/>
      <c r="G5" s="2403"/>
      <c r="H5" s="2404"/>
    </row>
    <row r="6" spans="1:12" s="1" customFormat="1" ht="17.25" customHeight="1" thickBot="1">
      <c r="A6" s="384"/>
      <c r="B6" s="2528" t="s">
        <v>373</v>
      </c>
      <c r="C6" s="2529"/>
      <c r="D6" s="2529"/>
      <c r="E6" s="2529"/>
      <c r="F6" s="2529"/>
      <c r="G6" s="2529"/>
      <c r="H6" s="2530"/>
    </row>
    <row r="7" spans="1:12" ht="15" customHeight="1" thickBot="1">
      <c r="A7" s="2468" t="s">
        <v>383</v>
      </c>
      <c r="B7" s="2544" t="s">
        <v>281</v>
      </c>
      <c r="C7" s="2550">
        <v>2023</v>
      </c>
      <c r="D7" s="2550"/>
      <c r="E7" s="2550"/>
      <c r="F7" s="2550"/>
      <c r="G7" s="2551"/>
      <c r="H7" s="2547" t="s">
        <v>10</v>
      </c>
      <c r="I7" s="1587" t="s">
        <v>1213</v>
      </c>
      <c r="J7" s="2397" t="s">
        <v>453</v>
      </c>
    </row>
    <row r="8" spans="1:12" ht="15" customHeight="1" thickBot="1">
      <c r="A8" s="2469"/>
      <c r="B8" s="2545"/>
      <c r="C8" s="2552" t="s">
        <v>199</v>
      </c>
      <c r="D8" s="2554" t="s">
        <v>200</v>
      </c>
      <c r="E8" s="2556" t="s">
        <v>198</v>
      </c>
      <c r="F8" s="2556"/>
      <c r="G8" s="2557"/>
      <c r="H8" s="2548"/>
      <c r="I8" s="2489" t="s">
        <v>442</v>
      </c>
      <c r="J8" s="2397"/>
    </row>
    <row r="9" spans="1:12" ht="15.75" thickBot="1">
      <c r="A9" s="2470"/>
      <c r="B9" s="2546"/>
      <c r="C9" s="2553"/>
      <c r="D9" s="2555"/>
      <c r="E9" s="459" t="s">
        <v>201</v>
      </c>
      <c r="F9" s="459" t="s">
        <v>203</v>
      </c>
      <c r="G9" s="1335" t="s">
        <v>503</v>
      </c>
      <c r="H9" s="2549"/>
      <c r="I9" s="2401"/>
      <c r="J9" s="2397"/>
    </row>
    <row r="10" spans="1:12" ht="26.25" thickBot="1">
      <c r="A10" s="203">
        <v>3202005</v>
      </c>
      <c r="B10" s="1314" t="s">
        <v>283</v>
      </c>
      <c r="C10" s="1315" t="s">
        <v>214</v>
      </c>
      <c r="D10" s="1315">
        <v>100</v>
      </c>
      <c r="E10" s="1316">
        <f>+E11</f>
        <v>125127536</v>
      </c>
      <c r="F10" s="1316">
        <f>+F11</f>
        <v>0</v>
      </c>
      <c r="G10" s="1321">
        <f>+G11</f>
        <v>0</v>
      </c>
      <c r="H10" s="1323">
        <f>+SUM(H11)</f>
        <v>125127536</v>
      </c>
      <c r="I10" s="1321">
        <f>+I11</f>
        <v>0</v>
      </c>
      <c r="J10" s="1323">
        <f>+I10+H10</f>
        <v>125127536</v>
      </c>
    </row>
    <row r="11" spans="1:12" ht="101.25" customHeight="1" thickBot="1">
      <c r="B11" s="1327" t="s">
        <v>41</v>
      </c>
      <c r="C11" s="1328" t="s">
        <v>284</v>
      </c>
      <c r="D11" s="1328">
        <v>50</v>
      </c>
      <c r="E11" s="1329">
        <f>+'ACCIONES 320203'!I11</f>
        <v>125127536</v>
      </c>
      <c r="F11" s="1329">
        <f>+'ACCIONES 320203'!J11</f>
        <v>0</v>
      </c>
      <c r="G11" s="1330">
        <f>+'ACCIONES 320203'!K11</f>
        <v>0</v>
      </c>
      <c r="H11" s="1324">
        <f>+'ACCIONES 320203'!L11</f>
        <v>125127536</v>
      </c>
      <c r="I11" s="1330">
        <f>+'ACCIONES 320203'!M11</f>
        <v>0</v>
      </c>
      <c r="J11" s="1324">
        <f>+I11+H11</f>
        <v>125127536</v>
      </c>
    </row>
    <row r="12" spans="1:12" ht="51.75" thickBot="1">
      <c r="A12" s="204">
        <v>3202006</v>
      </c>
      <c r="B12" s="43" t="s">
        <v>60</v>
      </c>
      <c r="C12" s="44" t="s">
        <v>214</v>
      </c>
      <c r="D12" s="44">
        <v>100</v>
      </c>
      <c r="E12" s="45">
        <f>+E13+E14</f>
        <v>354540048</v>
      </c>
      <c r="F12" s="45">
        <f>+F13+F14</f>
        <v>51408406.100000001</v>
      </c>
      <c r="G12" s="119">
        <f>+G13+G14</f>
        <v>0</v>
      </c>
      <c r="H12" s="1325">
        <f>+SUM(H13:H14)</f>
        <v>405948454.10000002</v>
      </c>
      <c r="I12" s="119">
        <f>+I13+I14</f>
        <v>0</v>
      </c>
      <c r="J12" s="1325">
        <f>+I12+H12</f>
        <v>405948454.10000002</v>
      </c>
    </row>
    <row r="13" spans="1:12" ht="63.75">
      <c r="B13" s="46" t="s">
        <v>285</v>
      </c>
      <c r="C13" s="1317" t="s">
        <v>284</v>
      </c>
      <c r="D13" s="1317">
        <v>20</v>
      </c>
      <c r="E13" s="1318">
        <f>+'ACCIONES 320203'!I14</f>
        <v>202683124</v>
      </c>
      <c r="F13" s="1318">
        <f>+'ACCIONES 320203'!J14</f>
        <v>51408406.100000001</v>
      </c>
      <c r="G13" s="187">
        <f>+'ACCIONES 320203'!K14</f>
        <v>0</v>
      </c>
      <c r="H13" s="1326">
        <f>+'ACCIONES 320203'!L14</f>
        <v>254091530.09999999</v>
      </c>
      <c r="I13" s="1318">
        <f>+'ACCIONES 320203'!M14</f>
        <v>0</v>
      </c>
      <c r="J13" s="1326">
        <f t="shared" ref="J13:J19" si="0">+I13+H13</f>
        <v>254091530.09999999</v>
      </c>
    </row>
    <row r="14" spans="1:12" ht="64.5" thickBot="1">
      <c r="B14" s="46" t="s">
        <v>286</v>
      </c>
      <c r="C14" s="42" t="s">
        <v>284</v>
      </c>
      <c r="D14" s="42">
        <v>80</v>
      </c>
      <c r="E14" s="1318">
        <f>+'ACCIONES 320203'!I21</f>
        <v>151856924</v>
      </c>
      <c r="F14" s="1318">
        <f>+'ACCIONES 320203'!J21</f>
        <v>0</v>
      </c>
      <c r="G14" s="187">
        <f>+'ACCIONES 320203'!K21</f>
        <v>0</v>
      </c>
      <c r="H14" s="1326">
        <f>+'ACCIONES 320203'!L21</f>
        <v>151856924</v>
      </c>
      <c r="I14" s="1318">
        <f>+'ACCIONES 320203'!M21</f>
        <v>0</v>
      </c>
      <c r="J14" s="1326">
        <f t="shared" si="0"/>
        <v>151856924</v>
      </c>
    </row>
    <row r="15" spans="1:12" ht="39.75" customHeight="1" thickBot="1">
      <c r="A15" s="204">
        <v>3202006</v>
      </c>
      <c r="B15" s="43" t="s">
        <v>42</v>
      </c>
      <c r="C15" s="44" t="s">
        <v>287</v>
      </c>
      <c r="D15" s="44">
        <v>300</v>
      </c>
      <c r="E15" s="45">
        <f>+E16+E17</f>
        <v>228081203</v>
      </c>
      <c r="F15" s="45">
        <f>+F16+F17</f>
        <v>0</v>
      </c>
      <c r="G15" s="119">
        <f>+G16+G17</f>
        <v>0</v>
      </c>
      <c r="H15" s="1325">
        <f>+SUM(H16:H17)</f>
        <v>228081203</v>
      </c>
      <c r="I15" s="119">
        <f>+I16+I17</f>
        <v>0</v>
      </c>
      <c r="J15" s="1325">
        <f>+I15+H15</f>
        <v>228081203</v>
      </c>
    </row>
    <row r="16" spans="1:12" ht="76.5">
      <c r="B16" s="567" t="s">
        <v>288</v>
      </c>
      <c r="C16" s="1319" t="s">
        <v>289</v>
      </c>
      <c r="D16" s="1319">
        <v>30000</v>
      </c>
      <c r="E16" s="1318">
        <f>+'ACCIONES 320203'!I25</f>
        <v>190738700</v>
      </c>
      <c r="F16" s="1318">
        <f>+'ACCIONES 320203'!J25</f>
        <v>0</v>
      </c>
      <c r="G16" s="187">
        <f>+'ACCIONES 320203'!K25</f>
        <v>0</v>
      </c>
      <c r="H16" s="1326">
        <f>+'ACCIONES 320203'!L25</f>
        <v>190738700</v>
      </c>
      <c r="I16" s="1318">
        <f>+'ACCIONES 320203'!M25</f>
        <v>0</v>
      </c>
      <c r="J16" s="1326">
        <f t="shared" si="0"/>
        <v>190738700</v>
      </c>
    </row>
    <row r="17" spans="1:10" ht="26.25" thickBot="1">
      <c r="B17" s="46" t="s">
        <v>290</v>
      </c>
      <c r="C17" s="42" t="s">
        <v>210</v>
      </c>
      <c r="D17" s="1318">
        <f>+'ACCIONES 320203'!H29</f>
        <v>0</v>
      </c>
      <c r="E17" s="1318">
        <f>+'ACCIONES 320203'!I29</f>
        <v>37342503</v>
      </c>
      <c r="F17" s="1318">
        <f>+'ACCIONES 320203'!J29</f>
        <v>0</v>
      </c>
      <c r="G17" s="187">
        <f>+'ACCIONES 320203'!K29</f>
        <v>0</v>
      </c>
      <c r="H17" s="1326">
        <f>+'ACCIONES 320203'!L29</f>
        <v>37342503</v>
      </c>
      <c r="I17" s="1318">
        <f>+'ACCIONES 320203'!M29</f>
        <v>0</v>
      </c>
      <c r="J17" s="1326">
        <f t="shared" si="0"/>
        <v>37342503</v>
      </c>
    </row>
    <row r="18" spans="1:10" ht="51.75" thickBot="1">
      <c r="A18" s="204">
        <v>3202006</v>
      </c>
      <c r="B18" s="43" t="s">
        <v>43</v>
      </c>
      <c r="C18" s="44" t="s">
        <v>214</v>
      </c>
      <c r="D18" s="44">
        <v>100</v>
      </c>
      <c r="E18" s="45">
        <f>+E19</f>
        <v>92251213</v>
      </c>
      <c r="F18" s="45">
        <f>+F19</f>
        <v>89244050.200000003</v>
      </c>
      <c r="G18" s="119">
        <f>+G19</f>
        <v>175610367.40000001</v>
      </c>
      <c r="H18" s="1325">
        <f>+SUM(H19)</f>
        <v>357105630.60000002</v>
      </c>
      <c r="I18" s="119">
        <f>+I19</f>
        <v>209186154.88</v>
      </c>
      <c r="J18" s="1325">
        <f>+I18+H18</f>
        <v>566291785.48000002</v>
      </c>
    </row>
    <row r="19" spans="1:10" ht="115.5" thickBot="1">
      <c r="B19" s="46" t="s">
        <v>291</v>
      </c>
      <c r="C19" s="1319" t="s">
        <v>289</v>
      </c>
      <c r="D19" s="1983">
        <v>100</v>
      </c>
      <c r="E19" s="1318">
        <f>+'ACCIONES 320203'!I32</f>
        <v>92251213</v>
      </c>
      <c r="F19" s="1318">
        <f>+'ACCIONES 320203'!J32</f>
        <v>89244050.200000003</v>
      </c>
      <c r="G19" s="187">
        <f>+'ACCIONES 320203'!K32</f>
        <v>175610367.40000001</v>
      </c>
      <c r="H19" s="1326">
        <f>+'ACCIONES 320203'!L32</f>
        <v>357105630.60000002</v>
      </c>
      <c r="I19" s="187">
        <f>+'ACCIONES 320203'!M32</f>
        <v>209186154.88</v>
      </c>
      <c r="J19" s="1326">
        <f t="shared" si="0"/>
        <v>566291785.48000002</v>
      </c>
    </row>
    <row r="20" spans="1:10" ht="64.5" thickBot="1">
      <c r="A20" s="204">
        <v>3202043</v>
      </c>
      <c r="B20" s="43" t="s">
        <v>44</v>
      </c>
      <c r="C20" s="1320" t="s">
        <v>284</v>
      </c>
      <c r="D20" s="1320">
        <v>0</v>
      </c>
      <c r="E20" s="45">
        <f>+E21+E22</f>
        <v>0</v>
      </c>
      <c r="F20" s="45">
        <f>+F21+F22</f>
        <v>0</v>
      </c>
      <c r="G20" s="119">
        <f>+G21+G22</f>
        <v>0</v>
      </c>
      <c r="H20" s="1325">
        <f>+'ACCIONES 320203'!L35</f>
        <v>0</v>
      </c>
      <c r="I20" s="119">
        <f>+I21+I22</f>
        <v>0</v>
      </c>
      <c r="J20" s="1325">
        <f>+I20+H20</f>
        <v>0</v>
      </c>
    </row>
    <row r="21" spans="1:10" ht="51">
      <c r="B21" s="565" t="s">
        <v>439</v>
      </c>
      <c r="C21" s="575" t="s">
        <v>284</v>
      </c>
      <c r="D21" s="575">
        <v>0</v>
      </c>
      <c r="E21" s="1318">
        <f>+'ACCIONES 320203'!I36</f>
        <v>0</v>
      </c>
      <c r="F21" s="1318">
        <f>+'ACCIONES 320203'!J36</f>
        <v>0</v>
      </c>
      <c r="G21" s="187">
        <f>+'ACCIONES 320203'!K36</f>
        <v>0</v>
      </c>
      <c r="H21" s="1326">
        <f>+'ACCIONES 320203'!L36</f>
        <v>0</v>
      </c>
      <c r="I21" s="187">
        <f>+'ACCIONES 320203'!M36</f>
        <v>0</v>
      </c>
      <c r="J21" s="1326">
        <f>+I21+H21</f>
        <v>0</v>
      </c>
    </row>
    <row r="22" spans="1:10" ht="15.75" thickBot="1">
      <c r="B22" s="1331"/>
      <c r="C22" s="1332"/>
      <c r="D22" s="1332"/>
      <c r="E22" s="1333"/>
      <c r="F22" s="1333"/>
      <c r="G22" s="1334"/>
      <c r="H22" s="1773"/>
      <c r="I22" s="1334"/>
      <c r="J22" s="1773"/>
    </row>
    <row r="23" spans="1:10" ht="16.5" thickBot="1">
      <c r="B23" s="2542" t="s">
        <v>270</v>
      </c>
      <c r="C23" s="2543"/>
      <c r="D23" s="2543"/>
      <c r="E23" s="753">
        <f t="shared" ref="E23:J23" si="1">+E20+E18+E15+E12+E10</f>
        <v>800000000</v>
      </c>
      <c r="F23" s="753">
        <f t="shared" si="1"/>
        <v>140652456.30000001</v>
      </c>
      <c r="G23" s="1322">
        <f t="shared" si="1"/>
        <v>175610367.40000001</v>
      </c>
      <c r="H23" s="1774">
        <f t="shared" si="1"/>
        <v>1116262823.7</v>
      </c>
      <c r="I23" s="1774">
        <f t="shared" si="1"/>
        <v>209186154.88</v>
      </c>
      <c r="J23" s="1775">
        <f t="shared" si="1"/>
        <v>1325448978.5799999</v>
      </c>
    </row>
    <row r="24" spans="1:10">
      <c r="H24" s="188"/>
      <c r="J24" s="188"/>
    </row>
    <row r="25" spans="1:10" ht="15.75" thickBot="1">
      <c r="E25" s="47"/>
      <c r="G25" s="397"/>
      <c r="I25" s="397"/>
      <c r="J25" s="1595"/>
    </row>
    <row r="26" spans="1:10" ht="15.75" thickBot="1">
      <c r="E26" s="684">
        <v>800000000</v>
      </c>
      <c r="F26" s="557">
        <v>140652456.40564001</v>
      </c>
      <c r="G26" s="557">
        <v>175610367.29436004</v>
      </c>
      <c r="H26" s="685">
        <v>1116262824</v>
      </c>
      <c r="I26" s="601">
        <v>209186154.88</v>
      </c>
      <c r="J26" s="601">
        <f>1116262824+209186154.88</f>
        <v>1325448978.8800001</v>
      </c>
    </row>
    <row r="27" spans="1:10">
      <c r="G27" s="398"/>
      <c r="I27" s="398"/>
      <c r="J27" s="1595"/>
    </row>
    <row r="28" spans="1:10">
      <c r="E28" s="1606">
        <f>+E26-E23</f>
        <v>0</v>
      </c>
      <c r="F28" s="1606">
        <f>+F26-F23</f>
        <v>0.1056399941444397</v>
      </c>
      <c r="G28" s="1606">
        <f>+G26-G23</f>
        <v>-0.10563996434211731</v>
      </c>
      <c r="H28" s="1606">
        <f>+H26-H23</f>
        <v>0.29999995231628418</v>
      </c>
      <c r="I28" s="1606">
        <f t="shared" ref="I28:J28" si="2">+I26-I23</f>
        <v>0</v>
      </c>
      <c r="J28" s="1606">
        <f t="shared" si="2"/>
        <v>0.30000019073486328</v>
      </c>
    </row>
  </sheetData>
  <mergeCells count="17">
    <mergeCell ref="J7:J9"/>
    <mergeCell ref="I8:I9"/>
    <mergeCell ref="B1:B3"/>
    <mergeCell ref="C1:F3"/>
    <mergeCell ref="G1:H1"/>
    <mergeCell ref="G2:H2"/>
    <mergeCell ref="G3:H3"/>
    <mergeCell ref="A7:A9"/>
    <mergeCell ref="B6:H6"/>
    <mergeCell ref="B5:H5"/>
    <mergeCell ref="B23:D23"/>
    <mergeCell ref="B7:B9"/>
    <mergeCell ref="H7:H9"/>
    <mergeCell ref="C7:G7"/>
    <mergeCell ref="C8:C9"/>
    <mergeCell ref="D8:D9"/>
    <mergeCell ref="E8:G8"/>
  </mergeCells>
  <pageMargins left="0.7" right="0.7" top="0.75" bottom="0.75" header="0.3" footer="0.3"/>
  <pageSetup orientation="portrait" verticalDpi="597"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tabColor theme="7" tint="0.59999389629810485"/>
  </sheetPr>
  <dimension ref="A1:S46"/>
  <sheetViews>
    <sheetView workbookViewId="0"/>
  </sheetViews>
  <sheetFormatPr baseColWidth="10" defaultRowHeight="15"/>
  <cols>
    <col min="1" max="1" width="5.7109375" style="275" customWidth="1"/>
    <col min="2" max="2" width="6.140625" style="275" customWidth="1"/>
    <col min="3" max="3" width="34.5703125" style="275" customWidth="1"/>
    <col min="4" max="4" width="22.7109375" style="275" customWidth="1"/>
    <col min="5" max="5" width="7.140625" style="275" customWidth="1"/>
    <col min="6" max="6" width="7.140625" style="362" customWidth="1"/>
    <col min="7" max="7" width="9.28515625" style="362" customWidth="1"/>
    <col min="8" max="8" width="17" style="298" customWidth="1"/>
    <col min="9" max="11" width="16.85546875" style="298" customWidth="1"/>
    <col min="12" max="12" width="17" style="275" customWidth="1"/>
    <col min="13" max="13" width="24.28515625" style="275" customWidth="1"/>
    <col min="14" max="14" width="23.42578125" style="275" customWidth="1"/>
    <col min="15" max="15" width="19.28515625" customWidth="1"/>
    <col min="16" max="16" width="16.140625" style="275" customWidth="1"/>
    <col min="17" max="250" width="11.42578125" style="275"/>
    <col min="251" max="251" width="39.85546875" style="275" customWidth="1"/>
    <col min="252" max="252" width="30.140625" style="275" customWidth="1"/>
    <col min="253" max="253" width="0" style="275" hidden="1" customWidth="1"/>
    <col min="254" max="254" width="16.140625" style="275" customWidth="1"/>
    <col min="255" max="256" width="11.42578125" style="275"/>
    <col min="257" max="260" width="14.85546875" style="275" customWidth="1"/>
    <col min="261" max="262" width="16.85546875" style="275" customWidth="1"/>
    <col min="263" max="263" width="11.42578125" style="275"/>
    <col min="264" max="264" width="0" style="275" hidden="1" customWidth="1"/>
    <col min="265" max="506" width="11.42578125" style="275"/>
    <col min="507" max="507" width="39.85546875" style="275" customWidth="1"/>
    <col min="508" max="508" width="30.140625" style="275" customWidth="1"/>
    <col min="509" max="509" width="0" style="275" hidden="1" customWidth="1"/>
    <col min="510" max="510" width="16.140625" style="275" customWidth="1"/>
    <col min="511" max="512" width="11.42578125" style="275"/>
    <col min="513" max="516" width="14.85546875" style="275" customWidth="1"/>
    <col min="517" max="518" width="16.85546875" style="275" customWidth="1"/>
    <col min="519" max="519" width="11.42578125" style="275"/>
    <col min="520" max="520" width="0" style="275" hidden="1" customWidth="1"/>
    <col min="521" max="762" width="11.42578125" style="275"/>
    <col min="763" max="763" width="39.85546875" style="275" customWidth="1"/>
    <col min="764" max="764" width="30.140625" style="275" customWidth="1"/>
    <col min="765" max="765" width="0" style="275" hidden="1" customWidth="1"/>
    <col min="766" max="766" width="16.140625" style="275" customWidth="1"/>
    <col min="767" max="768" width="11.42578125" style="275"/>
    <col min="769" max="772" width="14.85546875" style="275" customWidth="1"/>
    <col min="773" max="774" width="16.85546875" style="275" customWidth="1"/>
    <col min="775" max="775" width="11.42578125" style="275"/>
    <col min="776" max="776" width="0" style="275" hidden="1" customWidth="1"/>
    <col min="777" max="1018" width="11.42578125" style="275"/>
    <col min="1019" max="1019" width="39.85546875" style="275" customWidth="1"/>
    <col min="1020" max="1020" width="30.140625" style="275" customWidth="1"/>
    <col min="1021" max="1021" width="0" style="275" hidden="1" customWidth="1"/>
    <col min="1022" max="1022" width="16.140625" style="275" customWidth="1"/>
    <col min="1023" max="1024" width="11.42578125" style="275"/>
    <col min="1025" max="1028" width="14.85546875" style="275" customWidth="1"/>
    <col min="1029" max="1030" width="16.85546875" style="275" customWidth="1"/>
    <col min="1031" max="1031" width="11.42578125" style="275"/>
    <col min="1032" max="1032" width="0" style="275" hidden="1" customWidth="1"/>
    <col min="1033" max="1274" width="11.42578125" style="275"/>
    <col min="1275" max="1275" width="39.85546875" style="275" customWidth="1"/>
    <col min="1276" max="1276" width="30.140625" style="275" customWidth="1"/>
    <col min="1277" max="1277" width="0" style="275" hidden="1" customWidth="1"/>
    <col min="1278" max="1278" width="16.140625" style="275" customWidth="1"/>
    <col min="1279" max="1280" width="11.42578125" style="275"/>
    <col min="1281" max="1284" width="14.85546875" style="275" customWidth="1"/>
    <col min="1285" max="1286" width="16.85546875" style="275" customWidth="1"/>
    <col min="1287" max="1287" width="11.42578125" style="275"/>
    <col min="1288" max="1288" width="0" style="275" hidden="1" customWidth="1"/>
    <col min="1289" max="1530" width="11.42578125" style="275"/>
    <col min="1531" max="1531" width="39.85546875" style="275" customWidth="1"/>
    <col min="1532" max="1532" width="30.140625" style="275" customWidth="1"/>
    <col min="1533" max="1533" width="0" style="275" hidden="1" customWidth="1"/>
    <col min="1534" max="1534" width="16.140625" style="275" customWidth="1"/>
    <col min="1535" max="1536" width="11.42578125" style="275"/>
    <col min="1537" max="1540" width="14.85546875" style="275" customWidth="1"/>
    <col min="1541" max="1542" width="16.85546875" style="275" customWidth="1"/>
    <col min="1543" max="1543" width="11.42578125" style="275"/>
    <col min="1544" max="1544" width="0" style="275" hidden="1" customWidth="1"/>
    <col min="1545" max="1786" width="11.42578125" style="275"/>
    <col min="1787" max="1787" width="39.85546875" style="275" customWidth="1"/>
    <col min="1788" max="1788" width="30.140625" style="275" customWidth="1"/>
    <col min="1789" max="1789" width="0" style="275" hidden="1" customWidth="1"/>
    <col min="1790" max="1790" width="16.140625" style="275" customWidth="1"/>
    <col min="1791" max="1792" width="11.42578125" style="275"/>
    <col min="1793" max="1796" width="14.85546875" style="275" customWidth="1"/>
    <col min="1797" max="1798" width="16.85546875" style="275" customWidth="1"/>
    <col min="1799" max="1799" width="11.42578125" style="275"/>
    <col min="1800" max="1800" width="0" style="275" hidden="1" customWidth="1"/>
    <col min="1801" max="2042" width="11.42578125" style="275"/>
    <col min="2043" max="2043" width="39.85546875" style="275" customWidth="1"/>
    <col min="2044" max="2044" width="30.140625" style="275" customWidth="1"/>
    <col min="2045" max="2045" width="0" style="275" hidden="1" customWidth="1"/>
    <col min="2046" max="2046" width="16.140625" style="275" customWidth="1"/>
    <col min="2047" max="2048" width="11.42578125" style="275"/>
    <col min="2049" max="2052" width="14.85546875" style="275" customWidth="1"/>
    <col min="2053" max="2054" width="16.85546875" style="275" customWidth="1"/>
    <col min="2055" max="2055" width="11.42578125" style="275"/>
    <col min="2056" max="2056" width="0" style="275" hidden="1" customWidth="1"/>
    <col min="2057" max="2298" width="11.42578125" style="275"/>
    <col min="2299" max="2299" width="39.85546875" style="275" customWidth="1"/>
    <col min="2300" max="2300" width="30.140625" style="275" customWidth="1"/>
    <col min="2301" max="2301" width="0" style="275" hidden="1" customWidth="1"/>
    <col min="2302" max="2302" width="16.140625" style="275" customWidth="1"/>
    <col min="2303" max="2304" width="11.42578125" style="275"/>
    <col min="2305" max="2308" width="14.85546875" style="275" customWidth="1"/>
    <col min="2309" max="2310" width="16.85546875" style="275" customWidth="1"/>
    <col min="2311" max="2311" width="11.42578125" style="275"/>
    <col min="2312" max="2312" width="0" style="275" hidden="1" customWidth="1"/>
    <col min="2313" max="2554" width="11.42578125" style="275"/>
    <col min="2555" max="2555" width="39.85546875" style="275" customWidth="1"/>
    <col min="2556" max="2556" width="30.140625" style="275" customWidth="1"/>
    <col min="2557" max="2557" width="0" style="275" hidden="1" customWidth="1"/>
    <col min="2558" max="2558" width="16.140625" style="275" customWidth="1"/>
    <col min="2559" max="2560" width="11.42578125" style="275"/>
    <col min="2561" max="2564" width="14.85546875" style="275" customWidth="1"/>
    <col min="2565" max="2566" width="16.85546875" style="275" customWidth="1"/>
    <col min="2567" max="2567" width="11.42578125" style="275"/>
    <col min="2568" max="2568" width="0" style="275" hidden="1" customWidth="1"/>
    <col min="2569" max="2810" width="11.42578125" style="275"/>
    <col min="2811" max="2811" width="39.85546875" style="275" customWidth="1"/>
    <col min="2812" max="2812" width="30.140625" style="275" customWidth="1"/>
    <col min="2813" max="2813" width="0" style="275" hidden="1" customWidth="1"/>
    <col min="2814" max="2814" width="16.140625" style="275" customWidth="1"/>
    <col min="2815" max="2816" width="11.42578125" style="275"/>
    <col min="2817" max="2820" width="14.85546875" style="275" customWidth="1"/>
    <col min="2821" max="2822" width="16.85546875" style="275" customWidth="1"/>
    <col min="2823" max="2823" width="11.42578125" style="275"/>
    <col min="2824" max="2824" width="0" style="275" hidden="1" customWidth="1"/>
    <col min="2825" max="3066" width="11.42578125" style="275"/>
    <col min="3067" max="3067" width="39.85546875" style="275" customWidth="1"/>
    <col min="3068" max="3068" width="30.140625" style="275" customWidth="1"/>
    <col min="3069" max="3069" width="0" style="275" hidden="1" customWidth="1"/>
    <col min="3070" max="3070" width="16.140625" style="275" customWidth="1"/>
    <col min="3071" max="3072" width="11.42578125" style="275"/>
    <col min="3073" max="3076" width="14.85546875" style="275" customWidth="1"/>
    <col min="3077" max="3078" width="16.85546875" style="275" customWidth="1"/>
    <col min="3079" max="3079" width="11.42578125" style="275"/>
    <col min="3080" max="3080" width="0" style="275" hidden="1" customWidth="1"/>
    <col min="3081" max="3322" width="11.42578125" style="275"/>
    <col min="3323" max="3323" width="39.85546875" style="275" customWidth="1"/>
    <col min="3324" max="3324" width="30.140625" style="275" customWidth="1"/>
    <col min="3325" max="3325" width="0" style="275" hidden="1" customWidth="1"/>
    <col min="3326" max="3326" width="16.140625" style="275" customWidth="1"/>
    <col min="3327" max="3328" width="11.42578125" style="275"/>
    <col min="3329" max="3332" width="14.85546875" style="275" customWidth="1"/>
    <col min="3333" max="3334" width="16.85546875" style="275" customWidth="1"/>
    <col min="3335" max="3335" width="11.42578125" style="275"/>
    <col min="3336" max="3336" width="0" style="275" hidden="1" customWidth="1"/>
    <col min="3337" max="3578" width="11.42578125" style="275"/>
    <col min="3579" max="3579" width="39.85546875" style="275" customWidth="1"/>
    <col min="3580" max="3580" width="30.140625" style="275" customWidth="1"/>
    <col min="3581" max="3581" width="0" style="275" hidden="1" customWidth="1"/>
    <col min="3582" max="3582" width="16.140625" style="275" customWidth="1"/>
    <col min="3583" max="3584" width="11.42578125" style="275"/>
    <col min="3585" max="3588" width="14.85546875" style="275" customWidth="1"/>
    <col min="3589" max="3590" width="16.85546875" style="275" customWidth="1"/>
    <col min="3591" max="3591" width="11.42578125" style="275"/>
    <col min="3592" max="3592" width="0" style="275" hidden="1" customWidth="1"/>
    <col min="3593" max="3834" width="11.42578125" style="275"/>
    <col min="3835" max="3835" width="39.85546875" style="275" customWidth="1"/>
    <col min="3836" max="3836" width="30.140625" style="275" customWidth="1"/>
    <col min="3837" max="3837" width="0" style="275" hidden="1" customWidth="1"/>
    <col min="3838" max="3838" width="16.140625" style="275" customWidth="1"/>
    <col min="3839" max="3840" width="11.42578125" style="275"/>
    <col min="3841" max="3844" width="14.85546875" style="275" customWidth="1"/>
    <col min="3845" max="3846" width="16.85546875" style="275" customWidth="1"/>
    <col min="3847" max="3847" width="11.42578125" style="275"/>
    <col min="3848" max="3848" width="0" style="275" hidden="1" customWidth="1"/>
    <col min="3849" max="4090" width="11.42578125" style="275"/>
    <col min="4091" max="4091" width="39.85546875" style="275" customWidth="1"/>
    <col min="4092" max="4092" width="30.140625" style="275" customWidth="1"/>
    <col min="4093" max="4093" width="0" style="275" hidden="1" customWidth="1"/>
    <col min="4094" max="4094" width="16.140625" style="275" customWidth="1"/>
    <col min="4095" max="4096" width="11.42578125" style="275"/>
    <col min="4097" max="4100" width="14.85546875" style="275" customWidth="1"/>
    <col min="4101" max="4102" width="16.85546875" style="275" customWidth="1"/>
    <col min="4103" max="4103" width="11.42578125" style="275"/>
    <col min="4104" max="4104" width="0" style="275" hidden="1" customWidth="1"/>
    <col min="4105" max="4346" width="11.42578125" style="275"/>
    <col min="4347" max="4347" width="39.85546875" style="275" customWidth="1"/>
    <col min="4348" max="4348" width="30.140625" style="275" customWidth="1"/>
    <col min="4349" max="4349" width="0" style="275" hidden="1" customWidth="1"/>
    <col min="4350" max="4350" width="16.140625" style="275" customWidth="1"/>
    <col min="4351" max="4352" width="11.42578125" style="275"/>
    <col min="4353" max="4356" width="14.85546875" style="275" customWidth="1"/>
    <col min="4357" max="4358" width="16.85546875" style="275" customWidth="1"/>
    <col min="4359" max="4359" width="11.42578125" style="275"/>
    <col min="4360" max="4360" width="0" style="275" hidden="1" customWidth="1"/>
    <col min="4361" max="4602" width="11.42578125" style="275"/>
    <col min="4603" max="4603" width="39.85546875" style="275" customWidth="1"/>
    <col min="4604" max="4604" width="30.140625" style="275" customWidth="1"/>
    <col min="4605" max="4605" width="0" style="275" hidden="1" customWidth="1"/>
    <col min="4606" max="4606" width="16.140625" style="275" customWidth="1"/>
    <col min="4607" max="4608" width="11.42578125" style="275"/>
    <col min="4609" max="4612" width="14.85546875" style="275" customWidth="1"/>
    <col min="4613" max="4614" width="16.85546875" style="275" customWidth="1"/>
    <col min="4615" max="4615" width="11.42578125" style="275"/>
    <col min="4616" max="4616" width="0" style="275" hidden="1" customWidth="1"/>
    <col min="4617" max="4858" width="11.42578125" style="275"/>
    <col min="4859" max="4859" width="39.85546875" style="275" customWidth="1"/>
    <col min="4860" max="4860" width="30.140625" style="275" customWidth="1"/>
    <col min="4861" max="4861" width="0" style="275" hidden="1" customWidth="1"/>
    <col min="4862" max="4862" width="16.140625" style="275" customWidth="1"/>
    <col min="4863" max="4864" width="11.42578125" style="275"/>
    <col min="4865" max="4868" width="14.85546875" style="275" customWidth="1"/>
    <col min="4869" max="4870" width="16.85546875" style="275" customWidth="1"/>
    <col min="4871" max="4871" width="11.42578125" style="275"/>
    <col min="4872" max="4872" width="0" style="275" hidden="1" customWidth="1"/>
    <col min="4873" max="5114" width="11.42578125" style="275"/>
    <col min="5115" max="5115" width="39.85546875" style="275" customWidth="1"/>
    <col min="5116" max="5116" width="30.140625" style="275" customWidth="1"/>
    <col min="5117" max="5117" width="0" style="275" hidden="1" customWidth="1"/>
    <col min="5118" max="5118" width="16.140625" style="275" customWidth="1"/>
    <col min="5119" max="5120" width="11.42578125" style="275"/>
    <col min="5121" max="5124" width="14.85546875" style="275" customWidth="1"/>
    <col min="5125" max="5126" width="16.85546875" style="275" customWidth="1"/>
    <col min="5127" max="5127" width="11.42578125" style="275"/>
    <col min="5128" max="5128" width="0" style="275" hidden="1" customWidth="1"/>
    <col min="5129" max="5370" width="11.42578125" style="275"/>
    <col min="5371" max="5371" width="39.85546875" style="275" customWidth="1"/>
    <col min="5372" max="5372" width="30.140625" style="275" customWidth="1"/>
    <col min="5373" max="5373" width="0" style="275" hidden="1" customWidth="1"/>
    <col min="5374" max="5374" width="16.140625" style="275" customWidth="1"/>
    <col min="5375" max="5376" width="11.42578125" style="275"/>
    <col min="5377" max="5380" width="14.85546875" style="275" customWidth="1"/>
    <col min="5381" max="5382" width="16.85546875" style="275" customWidth="1"/>
    <col min="5383" max="5383" width="11.42578125" style="275"/>
    <col min="5384" max="5384" width="0" style="275" hidden="1" customWidth="1"/>
    <col min="5385" max="5626" width="11.42578125" style="275"/>
    <col min="5627" max="5627" width="39.85546875" style="275" customWidth="1"/>
    <col min="5628" max="5628" width="30.140625" style="275" customWidth="1"/>
    <col min="5629" max="5629" width="0" style="275" hidden="1" customWidth="1"/>
    <col min="5630" max="5630" width="16.140625" style="275" customWidth="1"/>
    <col min="5631" max="5632" width="11.42578125" style="275"/>
    <col min="5633" max="5636" width="14.85546875" style="275" customWidth="1"/>
    <col min="5637" max="5638" width="16.85546875" style="275" customWidth="1"/>
    <col min="5639" max="5639" width="11.42578125" style="275"/>
    <col min="5640" max="5640" width="0" style="275" hidden="1" customWidth="1"/>
    <col min="5641" max="5882" width="11.42578125" style="275"/>
    <col min="5883" max="5883" width="39.85546875" style="275" customWidth="1"/>
    <col min="5884" max="5884" width="30.140625" style="275" customWidth="1"/>
    <col min="5885" max="5885" width="0" style="275" hidden="1" customWidth="1"/>
    <col min="5886" max="5886" width="16.140625" style="275" customWidth="1"/>
    <col min="5887" max="5888" width="11.42578125" style="275"/>
    <col min="5889" max="5892" width="14.85546875" style="275" customWidth="1"/>
    <col min="5893" max="5894" width="16.85546875" style="275" customWidth="1"/>
    <col min="5895" max="5895" width="11.42578125" style="275"/>
    <col min="5896" max="5896" width="0" style="275" hidden="1" customWidth="1"/>
    <col min="5897" max="6138" width="11.42578125" style="275"/>
    <col min="6139" max="6139" width="39.85546875" style="275" customWidth="1"/>
    <col min="6140" max="6140" width="30.140625" style="275" customWidth="1"/>
    <col min="6141" max="6141" width="0" style="275" hidden="1" customWidth="1"/>
    <col min="6142" max="6142" width="16.140625" style="275" customWidth="1"/>
    <col min="6143" max="6144" width="11.42578125" style="275"/>
    <col min="6145" max="6148" width="14.85546875" style="275" customWidth="1"/>
    <col min="6149" max="6150" width="16.85546875" style="275" customWidth="1"/>
    <col min="6151" max="6151" width="11.42578125" style="275"/>
    <col min="6152" max="6152" width="0" style="275" hidden="1" customWidth="1"/>
    <col min="6153" max="6394" width="11.42578125" style="275"/>
    <col min="6395" max="6395" width="39.85546875" style="275" customWidth="1"/>
    <col min="6396" max="6396" width="30.140625" style="275" customWidth="1"/>
    <col min="6397" max="6397" width="0" style="275" hidden="1" customWidth="1"/>
    <col min="6398" max="6398" width="16.140625" style="275" customWidth="1"/>
    <col min="6399" max="6400" width="11.42578125" style="275"/>
    <col min="6401" max="6404" width="14.85546875" style="275" customWidth="1"/>
    <col min="6405" max="6406" width="16.85546875" style="275" customWidth="1"/>
    <col min="6407" max="6407" width="11.42578125" style="275"/>
    <col min="6408" max="6408" width="0" style="275" hidden="1" customWidth="1"/>
    <col min="6409" max="6650" width="11.42578125" style="275"/>
    <col min="6651" max="6651" width="39.85546875" style="275" customWidth="1"/>
    <col min="6652" max="6652" width="30.140625" style="275" customWidth="1"/>
    <col min="6653" max="6653" width="0" style="275" hidden="1" customWidth="1"/>
    <col min="6654" max="6654" width="16.140625" style="275" customWidth="1"/>
    <col min="6655" max="6656" width="11.42578125" style="275"/>
    <col min="6657" max="6660" width="14.85546875" style="275" customWidth="1"/>
    <col min="6661" max="6662" width="16.85546875" style="275" customWidth="1"/>
    <col min="6663" max="6663" width="11.42578125" style="275"/>
    <col min="6664" max="6664" width="0" style="275" hidden="1" customWidth="1"/>
    <col min="6665" max="6906" width="11.42578125" style="275"/>
    <col min="6907" max="6907" width="39.85546875" style="275" customWidth="1"/>
    <col min="6908" max="6908" width="30.140625" style="275" customWidth="1"/>
    <col min="6909" max="6909" width="0" style="275" hidden="1" customWidth="1"/>
    <col min="6910" max="6910" width="16.140625" style="275" customWidth="1"/>
    <col min="6911" max="6912" width="11.42578125" style="275"/>
    <col min="6913" max="6916" width="14.85546875" style="275" customWidth="1"/>
    <col min="6917" max="6918" width="16.85546875" style="275" customWidth="1"/>
    <col min="6919" max="6919" width="11.42578125" style="275"/>
    <col min="6920" max="6920" width="0" style="275" hidden="1" customWidth="1"/>
    <col min="6921" max="7162" width="11.42578125" style="275"/>
    <col min="7163" max="7163" width="39.85546875" style="275" customWidth="1"/>
    <col min="7164" max="7164" width="30.140625" style="275" customWidth="1"/>
    <col min="7165" max="7165" width="0" style="275" hidden="1" customWidth="1"/>
    <col min="7166" max="7166" width="16.140625" style="275" customWidth="1"/>
    <col min="7167" max="7168" width="11.42578125" style="275"/>
    <col min="7169" max="7172" width="14.85546875" style="275" customWidth="1"/>
    <col min="7173" max="7174" width="16.85546875" style="275" customWidth="1"/>
    <col min="7175" max="7175" width="11.42578125" style="275"/>
    <col min="7176" max="7176" width="0" style="275" hidden="1" customWidth="1"/>
    <col min="7177" max="7418" width="11.42578125" style="275"/>
    <col min="7419" max="7419" width="39.85546875" style="275" customWidth="1"/>
    <col min="7420" max="7420" width="30.140625" style="275" customWidth="1"/>
    <col min="7421" max="7421" width="0" style="275" hidden="1" customWidth="1"/>
    <col min="7422" max="7422" width="16.140625" style="275" customWidth="1"/>
    <col min="7423" max="7424" width="11.42578125" style="275"/>
    <col min="7425" max="7428" width="14.85546875" style="275" customWidth="1"/>
    <col min="7429" max="7430" width="16.85546875" style="275" customWidth="1"/>
    <col min="7431" max="7431" width="11.42578125" style="275"/>
    <col min="7432" max="7432" width="0" style="275" hidden="1" customWidth="1"/>
    <col min="7433" max="7674" width="11.42578125" style="275"/>
    <col min="7675" max="7675" width="39.85546875" style="275" customWidth="1"/>
    <col min="7676" max="7676" width="30.140625" style="275" customWidth="1"/>
    <col min="7677" max="7677" width="0" style="275" hidden="1" customWidth="1"/>
    <col min="7678" max="7678" width="16.140625" style="275" customWidth="1"/>
    <col min="7679" max="7680" width="11.42578125" style="275"/>
    <col min="7681" max="7684" width="14.85546875" style="275" customWidth="1"/>
    <col min="7685" max="7686" width="16.85546875" style="275" customWidth="1"/>
    <col min="7687" max="7687" width="11.42578125" style="275"/>
    <col min="7688" max="7688" width="0" style="275" hidden="1" customWidth="1"/>
    <col min="7689" max="7930" width="11.42578125" style="275"/>
    <col min="7931" max="7931" width="39.85546875" style="275" customWidth="1"/>
    <col min="7932" max="7932" width="30.140625" style="275" customWidth="1"/>
    <col min="7933" max="7933" width="0" style="275" hidden="1" customWidth="1"/>
    <col min="7934" max="7934" width="16.140625" style="275" customWidth="1"/>
    <col min="7935" max="7936" width="11.42578125" style="275"/>
    <col min="7937" max="7940" width="14.85546875" style="275" customWidth="1"/>
    <col min="7941" max="7942" width="16.85546875" style="275" customWidth="1"/>
    <col min="7943" max="7943" width="11.42578125" style="275"/>
    <col min="7944" max="7944" width="0" style="275" hidden="1" customWidth="1"/>
    <col min="7945" max="8186" width="11.42578125" style="275"/>
    <col min="8187" max="8187" width="39.85546875" style="275" customWidth="1"/>
    <col min="8188" max="8188" width="30.140625" style="275" customWidth="1"/>
    <col min="8189" max="8189" width="0" style="275" hidden="1" customWidth="1"/>
    <col min="8190" max="8190" width="16.140625" style="275" customWidth="1"/>
    <col min="8191" max="8192" width="11.42578125" style="275"/>
    <col min="8193" max="8196" width="14.85546875" style="275" customWidth="1"/>
    <col min="8197" max="8198" width="16.85546875" style="275" customWidth="1"/>
    <col min="8199" max="8199" width="11.42578125" style="275"/>
    <col min="8200" max="8200" width="0" style="275" hidden="1" customWidth="1"/>
    <col min="8201" max="8442" width="11.42578125" style="275"/>
    <col min="8443" max="8443" width="39.85546875" style="275" customWidth="1"/>
    <col min="8444" max="8444" width="30.140625" style="275" customWidth="1"/>
    <col min="8445" max="8445" width="0" style="275" hidden="1" customWidth="1"/>
    <col min="8446" max="8446" width="16.140625" style="275" customWidth="1"/>
    <col min="8447" max="8448" width="11.42578125" style="275"/>
    <col min="8449" max="8452" width="14.85546875" style="275" customWidth="1"/>
    <col min="8453" max="8454" width="16.85546875" style="275" customWidth="1"/>
    <col min="8455" max="8455" width="11.42578125" style="275"/>
    <col min="8456" max="8456" width="0" style="275" hidden="1" customWidth="1"/>
    <col min="8457" max="8698" width="11.42578125" style="275"/>
    <col min="8699" max="8699" width="39.85546875" style="275" customWidth="1"/>
    <col min="8700" max="8700" width="30.140625" style="275" customWidth="1"/>
    <col min="8701" max="8701" width="0" style="275" hidden="1" customWidth="1"/>
    <col min="8702" max="8702" width="16.140625" style="275" customWidth="1"/>
    <col min="8703" max="8704" width="11.42578125" style="275"/>
    <col min="8705" max="8708" width="14.85546875" style="275" customWidth="1"/>
    <col min="8709" max="8710" width="16.85546875" style="275" customWidth="1"/>
    <col min="8711" max="8711" width="11.42578125" style="275"/>
    <col min="8712" max="8712" width="0" style="275" hidden="1" customWidth="1"/>
    <col min="8713" max="8954" width="11.42578125" style="275"/>
    <col min="8955" max="8955" width="39.85546875" style="275" customWidth="1"/>
    <col min="8956" max="8956" width="30.140625" style="275" customWidth="1"/>
    <col min="8957" max="8957" width="0" style="275" hidden="1" customWidth="1"/>
    <col min="8958" max="8958" width="16.140625" style="275" customWidth="1"/>
    <col min="8959" max="8960" width="11.42578125" style="275"/>
    <col min="8961" max="8964" width="14.85546875" style="275" customWidth="1"/>
    <col min="8965" max="8966" width="16.85546875" style="275" customWidth="1"/>
    <col min="8967" max="8967" width="11.42578125" style="275"/>
    <col min="8968" max="8968" width="0" style="275" hidden="1" customWidth="1"/>
    <col min="8969" max="9210" width="11.42578125" style="275"/>
    <col min="9211" max="9211" width="39.85546875" style="275" customWidth="1"/>
    <col min="9212" max="9212" width="30.140625" style="275" customWidth="1"/>
    <col min="9213" max="9213" width="0" style="275" hidden="1" customWidth="1"/>
    <col min="9214" max="9214" width="16.140625" style="275" customWidth="1"/>
    <col min="9215" max="9216" width="11.42578125" style="275"/>
    <col min="9217" max="9220" width="14.85546875" style="275" customWidth="1"/>
    <col min="9221" max="9222" width="16.85546875" style="275" customWidth="1"/>
    <col min="9223" max="9223" width="11.42578125" style="275"/>
    <col min="9224" max="9224" width="0" style="275" hidden="1" customWidth="1"/>
    <col min="9225" max="9466" width="11.42578125" style="275"/>
    <col min="9467" max="9467" width="39.85546875" style="275" customWidth="1"/>
    <col min="9468" max="9468" width="30.140625" style="275" customWidth="1"/>
    <col min="9469" max="9469" width="0" style="275" hidden="1" customWidth="1"/>
    <col min="9470" max="9470" width="16.140625" style="275" customWidth="1"/>
    <col min="9471" max="9472" width="11.42578125" style="275"/>
    <col min="9473" max="9476" width="14.85546875" style="275" customWidth="1"/>
    <col min="9477" max="9478" width="16.85546875" style="275" customWidth="1"/>
    <col min="9479" max="9479" width="11.42578125" style="275"/>
    <col min="9480" max="9480" width="0" style="275" hidden="1" customWidth="1"/>
    <col min="9481" max="9722" width="11.42578125" style="275"/>
    <col min="9723" max="9723" width="39.85546875" style="275" customWidth="1"/>
    <col min="9724" max="9724" width="30.140625" style="275" customWidth="1"/>
    <col min="9725" max="9725" width="0" style="275" hidden="1" customWidth="1"/>
    <col min="9726" max="9726" width="16.140625" style="275" customWidth="1"/>
    <col min="9727" max="9728" width="11.42578125" style="275"/>
    <col min="9729" max="9732" width="14.85546875" style="275" customWidth="1"/>
    <col min="9733" max="9734" width="16.85546875" style="275" customWidth="1"/>
    <col min="9735" max="9735" width="11.42578125" style="275"/>
    <col min="9736" max="9736" width="0" style="275" hidden="1" customWidth="1"/>
    <col min="9737" max="9978" width="11.42578125" style="275"/>
    <col min="9979" max="9979" width="39.85546875" style="275" customWidth="1"/>
    <col min="9980" max="9980" width="30.140625" style="275" customWidth="1"/>
    <col min="9981" max="9981" width="0" style="275" hidden="1" customWidth="1"/>
    <col min="9982" max="9982" width="16.140625" style="275" customWidth="1"/>
    <col min="9983" max="9984" width="11.42578125" style="275"/>
    <col min="9985" max="9988" width="14.85546875" style="275" customWidth="1"/>
    <col min="9989" max="9990" width="16.85546875" style="275" customWidth="1"/>
    <col min="9991" max="9991" width="11.42578125" style="275"/>
    <col min="9992" max="9992" width="0" style="275" hidden="1" customWidth="1"/>
    <col min="9993" max="10234" width="11.42578125" style="275"/>
    <col min="10235" max="10235" width="39.85546875" style="275" customWidth="1"/>
    <col min="10236" max="10236" width="30.140625" style="275" customWidth="1"/>
    <col min="10237" max="10237" width="0" style="275" hidden="1" customWidth="1"/>
    <col min="10238" max="10238" width="16.140625" style="275" customWidth="1"/>
    <col min="10239" max="10240" width="11.42578125" style="275"/>
    <col min="10241" max="10244" width="14.85546875" style="275" customWidth="1"/>
    <col min="10245" max="10246" width="16.85546875" style="275" customWidth="1"/>
    <col min="10247" max="10247" width="11.42578125" style="275"/>
    <col min="10248" max="10248" width="0" style="275" hidden="1" customWidth="1"/>
    <col min="10249" max="10490" width="11.42578125" style="275"/>
    <col min="10491" max="10491" width="39.85546875" style="275" customWidth="1"/>
    <col min="10492" max="10492" width="30.140625" style="275" customWidth="1"/>
    <col min="10493" max="10493" width="0" style="275" hidden="1" customWidth="1"/>
    <col min="10494" max="10494" width="16.140625" style="275" customWidth="1"/>
    <col min="10495" max="10496" width="11.42578125" style="275"/>
    <col min="10497" max="10500" width="14.85546875" style="275" customWidth="1"/>
    <col min="10501" max="10502" width="16.85546875" style="275" customWidth="1"/>
    <col min="10503" max="10503" width="11.42578125" style="275"/>
    <col min="10504" max="10504" width="0" style="275" hidden="1" customWidth="1"/>
    <col min="10505" max="10746" width="11.42578125" style="275"/>
    <col min="10747" max="10747" width="39.85546875" style="275" customWidth="1"/>
    <col min="10748" max="10748" width="30.140625" style="275" customWidth="1"/>
    <col min="10749" max="10749" width="0" style="275" hidden="1" customWidth="1"/>
    <col min="10750" max="10750" width="16.140625" style="275" customWidth="1"/>
    <col min="10751" max="10752" width="11.42578125" style="275"/>
    <col min="10753" max="10756" width="14.85546875" style="275" customWidth="1"/>
    <col min="10757" max="10758" width="16.85546875" style="275" customWidth="1"/>
    <col min="10759" max="10759" width="11.42578125" style="275"/>
    <col min="10760" max="10760" width="0" style="275" hidden="1" customWidth="1"/>
    <col min="10761" max="11002" width="11.42578125" style="275"/>
    <col min="11003" max="11003" width="39.85546875" style="275" customWidth="1"/>
    <col min="11004" max="11004" width="30.140625" style="275" customWidth="1"/>
    <col min="11005" max="11005" width="0" style="275" hidden="1" customWidth="1"/>
    <col min="11006" max="11006" width="16.140625" style="275" customWidth="1"/>
    <col min="11007" max="11008" width="11.42578125" style="275"/>
    <col min="11009" max="11012" width="14.85546875" style="275" customWidth="1"/>
    <col min="11013" max="11014" width="16.85546875" style="275" customWidth="1"/>
    <col min="11015" max="11015" width="11.42578125" style="275"/>
    <col min="11016" max="11016" width="0" style="275" hidden="1" customWidth="1"/>
    <col min="11017" max="11258" width="11.42578125" style="275"/>
    <col min="11259" max="11259" width="39.85546875" style="275" customWidth="1"/>
    <col min="11260" max="11260" width="30.140625" style="275" customWidth="1"/>
    <col min="11261" max="11261" width="0" style="275" hidden="1" customWidth="1"/>
    <col min="11262" max="11262" width="16.140625" style="275" customWidth="1"/>
    <col min="11263" max="11264" width="11.42578125" style="275"/>
    <col min="11265" max="11268" width="14.85546875" style="275" customWidth="1"/>
    <col min="11269" max="11270" width="16.85546875" style="275" customWidth="1"/>
    <col min="11271" max="11271" width="11.42578125" style="275"/>
    <col min="11272" max="11272" width="0" style="275" hidden="1" customWidth="1"/>
    <col min="11273" max="11514" width="11.42578125" style="275"/>
    <col min="11515" max="11515" width="39.85546875" style="275" customWidth="1"/>
    <col min="11516" max="11516" width="30.140625" style="275" customWidth="1"/>
    <col min="11517" max="11517" width="0" style="275" hidden="1" customWidth="1"/>
    <col min="11518" max="11518" width="16.140625" style="275" customWidth="1"/>
    <col min="11519" max="11520" width="11.42578125" style="275"/>
    <col min="11521" max="11524" width="14.85546875" style="275" customWidth="1"/>
    <col min="11525" max="11526" width="16.85546875" style="275" customWidth="1"/>
    <col min="11527" max="11527" width="11.42578125" style="275"/>
    <col min="11528" max="11528" width="0" style="275" hidden="1" customWidth="1"/>
    <col min="11529" max="11770" width="11.42578125" style="275"/>
    <col min="11771" max="11771" width="39.85546875" style="275" customWidth="1"/>
    <col min="11772" max="11772" width="30.140625" style="275" customWidth="1"/>
    <col min="11773" max="11773" width="0" style="275" hidden="1" customWidth="1"/>
    <col min="11774" max="11774" width="16.140625" style="275" customWidth="1"/>
    <col min="11775" max="11776" width="11.42578125" style="275"/>
    <col min="11777" max="11780" width="14.85546875" style="275" customWidth="1"/>
    <col min="11781" max="11782" width="16.85546875" style="275" customWidth="1"/>
    <col min="11783" max="11783" width="11.42578125" style="275"/>
    <col min="11784" max="11784" width="0" style="275" hidden="1" customWidth="1"/>
    <col min="11785" max="12026" width="11.42578125" style="275"/>
    <col min="12027" max="12027" width="39.85546875" style="275" customWidth="1"/>
    <col min="12028" max="12028" width="30.140625" style="275" customWidth="1"/>
    <col min="12029" max="12029" width="0" style="275" hidden="1" customWidth="1"/>
    <col min="12030" max="12030" width="16.140625" style="275" customWidth="1"/>
    <col min="12031" max="12032" width="11.42578125" style="275"/>
    <col min="12033" max="12036" width="14.85546875" style="275" customWidth="1"/>
    <col min="12037" max="12038" width="16.85546875" style="275" customWidth="1"/>
    <col min="12039" max="12039" width="11.42578125" style="275"/>
    <col min="12040" max="12040" width="0" style="275" hidden="1" customWidth="1"/>
    <col min="12041" max="12282" width="11.42578125" style="275"/>
    <col min="12283" max="12283" width="39.85546875" style="275" customWidth="1"/>
    <col min="12284" max="12284" width="30.140625" style="275" customWidth="1"/>
    <col min="12285" max="12285" width="0" style="275" hidden="1" customWidth="1"/>
    <col min="12286" max="12286" width="16.140625" style="275" customWidth="1"/>
    <col min="12287" max="12288" width="11.42578125" style="275"/>
    <col min="12289" max="12292" width="14.85546875" style="275" customWidth="1"/>
    <col min="12293" max="12294" width="16.85546875" style="275" customWidth="1"/>
    <col min="12295" max="12295" width="11.42578125" style="275"/>
    <col min="12296" max="12296" width="0" style="275" hidden="1" customWidth="1"/>
    <col min="12297" max="12538" width="11.42578125" style="275"/>
    <col min="12539" max="12539" width="39.85546875" style="275" customWidth="1"/>
    <col min="12540" max="12540" width="30.140625" style="275" customWidth="1"/>
    <col min="12541" max="12541" width="0" style="275" hidden="1" customWidth="1"/>
    <col min="12542" max="12542" width="16.140625" style="275" customWidth="1"/>
    <col min="12543" max="12544" width="11.42578125" style="275"/>
    <col min="12545" max="12548" width="14.85546875" style="275" customWidth="1"/>
    <col min="12549" max="12550" width="16.85546875" style="275" customWidth="1"/>
    <col min="12551" max="12551" width="11.42578125" style="275"/>
    <col min="12552" max="12552" width="0" style="275" hidden="1" customWidth="1"/>
    <col min="12553" max="12794" width="11.42578125" style="275"/>
    <col min="12795" max="12795" width="39.85546875" style="275" customWidth="1"/>
    <col min="12796" max="12796" width="30.140625" style="275" customWidth="1"/>
    <col min="12797" max="12797" width="0" style="275" hidden="1" customWidth="1"/>
    <col min="12798" max="12798" width="16.140625" style="275" customWidth="1"/>
    <col min="12799" max="12800" width="11.42578125" style="275"/>
    <col min="12801" max="12804" width="14.85546875" style="275" customWidth="1"/>
    <col min="12805" max="12806" width="16.85546875" style="275" customWidth="1"/>
    <col min="12807" max="12807" width="11.42578125" style="275"/>
    <col min="12808" max="12808" width="0" style="275" hidden="1" customWidth="1"/>
    <col min="12809" max="13050" width="11.42578125" style="275"/>
    <col min="13051" max="13051" width="39.85546875" style="275" customWidth="1"/>
    <col min="13052" max="13052" width="30.140625" style="275" customWidth="1"/>
    <col min="13053" max="13053" width="0" style="275" hidden="1" customWidth="1"/>
    <col min="13054" max="13054" width="16.140625" style="275" customWidth="1"/>
    <col min="13055" max="13056" width="11.42578125" style="275"/>
    <col min="13057" max="13060" width="14.85546875" style="275" customWidth="1"/>
    <col min="13061" max="13062" width="16.85546875" style="275" customWidth="1"/>
    <col min="13063" max="13063" width="11.42578125" style="275"/>
    <col min="13064" max="13064" width="0" style="275" hidden="1" customWidth="1"/>
    <col min="13065" max="13306" width="11.42578125" style="275"/>
    <col min="13307" max="13307" width="39.85546875" style="275" customWidth="1"/>
    <col min="13308" max="13308" width="30.140625" style="275" customWidth="1"/>
    <col min="13309" max="13309" width="0" style="275" hidden="1" customWidth="1"/>
    <col min="13310" max="13310" width="16.140625" style="275" customWidth="1"/>
    <col min="13311" max="13312" width="11.42578125" style="275"/>
    <col min="13313" max="13316" width="14.85546875" style="275" customWidth="1"/>
    <col min="13317" max="13318" width="16.85546875" style="275" customWidth="1"/>
    <col min="13319" max="13319" width="11.42578125" style="275"/>
    <col min="13320" max="13320" width="0" style="275" hidden="1" customWidth="1"/>
    <col min="13321" max="13562" width="11.42578125" style="275"/>
    <col min="13563" max="13563" width="39.85546875" style="275" customWidth="1"/>
    <col min="13564" max="13564" width="30.140625" style="275" customWidth="1"/>
    <col min="13565" max="13565" width="0" style="275" hidden="1" customWidth="1"/>
    <col min="13566" max="13566" width="16.140625" style="275" customWidth="1"/>
    <col min="13567" max="13568" width="11.42578125" style="275"/>
    <col min="13569" max="13572" width="14.85546875" style="275" customWidth="1"/>
    <col min="13573" max="13574" width="16.85546875" style="275" customWidth="1"/>
    <col min="13575" max="13575" width="11.42578125" style="275"/>
    <col min="13576" max="13576" width="0" style="275" hidden="1" customWidth="1"/>
    <col min="13577" max="13818" width="11.42578125" style="275"/>
    <col min="13819" max="13819" width="39.85546875" style="275" customWidth="1"/>
    <col min="13820" max="13820" width="30.140625" style="275" customWidth="1"/>
    <col min="13821" max="13821" width="0" style="275" hidden="1" customWidth="1"/>
    <col min="13822" max="13822" width="16.140625" style="275" customWidth="1"/>
    <col min="13823" max="13824" width="11.42578125" style="275"/>
    <col min="13825" max="13828" width="14.85546875" style="275" customWidth="1"/>
    <col min="13829" max="13830" width="16.85546875" style="275" customWidth="1"/>
    <col min="13831" max="13831" width="11.42578125" style="275"/>
    <col min="13832" max="13832" width="0" style="275" hidden="1" customWidth="1"/>
    <col min="13833" max="14074" width="11.42578125" style="275"/>
    <col min="14075" max="14075" width="39.85546875" style="275" customWidth="1"/>
    <col min="14076" max="14076" width="30.140625" style="275" customWidth="1"/>
    <col min="14077" max="14077" width="0" style="275" hidden="1" customWidth="1"/>
    <col min="14078" max="14078" width="16.140625" style="275" customWidth="1"/>
    <col min="14079" max="14080" width="11.42578125" style="275"/>
    <col min="14081" max="14084" width="14.85546875" style="275" customWidth="1"/>
    <col min="14085" max="14086" width="16.85546875" style="275" customWidth="1"/>
    <col min="14087" max="14087" width="11.42578125" style="275"/>
    <col min="14088" max="14088" width="0" style="275" hidden="1" customWidth="1"/>
    <col min="14089" max="14330" width="11.42578125" style="275"/>
    <col min="14331" max="14331" width="39.85546875" style="275" customWidth="1"/>
    <col min="14332" max="14332" width="30.140625" style="275" customWidth="1"/>
    <col min="14333" max="14333" width="0" style="275" hidden="1" customWidth="1"/>
    <col min="14334" max="14334" width="16.140625" style="275" customWidth="1"/>
    <col min="14335" max="14336" width="11.42578125" style="275"/>
    <col min="14337" max="14340" width="14.85546875" style="275" customWidth="1"/>
    <col min="14341" max="14342" width="16.85546875" style="275" customWidth="1"/>
    <col min="14343" max="14343" width="11.42578125" style="275"/>
    <col min="14344" max="14344" width="0" style="275" hidden="1" customWidth="1"/>
    <col min="14345" max="14586" width="11.42578125" style="275"/>
    <col min="14587" max="14587" width="39.85546875" style="275" customWidth="1"/>
    <col min="14588" max="14588" width="30.140625" style="275" customWidth="1"/>
    <col min="14589" max="14589" width="0" style="275" hidden="1" customWidth="1"/>
    <col min="14590" max="14590" width="16.140625" style="275" customWidth="1"/>
    <col min="14591" max="14592" width="11.42578125" style="275"/>
    <col min="14593" max="14596" width="14.85546875" style="275" customWidth="1"/>
    <col min="14597" max="14598" width="16.85546875" style="275" customWidth="1"/>
    <col min="14599" max="14599" width="11.42578125" style="275"/>
    <col min="14600" max="14600" width="0" style="275" hidden="1" customWidth="1"/>
    <col min="14601" max="14842" width="11.42578125" style="275"/>
    <col min="14843" max="14843" width="39.85546875" style="275" customWidth="1"/>
    <col min="14844" max="14844" width="30.140625" style="275" customWidth="1"/>
    <col min="14845" max="14845" width="0" style="275" hidden="1" customWidth="1"/>
    <col min="14846" max="14846" width="16.140625" style="275" customWidth="1"/>
    <col min="14847" max="14848" width="11.42578125" style="275"/>
    <col min="14849" max="14852" width="14.85546875" style="275" customWidth="1"/>
    <col min="14853" max="14854" width="16.85546875" style="275" customWidth="1"/>
    <col min="14855" max="14855" width="11.42578125" style="275"/>
    <col min="14856" max="14856" width="0" style="275" hidden="1" customWidth="1"/>
    <col min="14857" max="15098" width="11.42578125" style="275"/>
    <col min="15099" max="15099" width="39.85546875" style="275" customWidth="1"/>
    <col min="15100" max="15100" width="30.140625" style="275" customWidth="1"/>
    <col min="15101" max="15101" width="0" style="275" hidden="1" customWidth="1"/>
    <col min="15102" max="15102" width="16.140625" style="275" customWidth="1"/>
    <col min="15103" max="15104" width="11.42578125" style="275"/>
    <col min="15105" max="15108" width="14.85546875" style="275" customWidth="1"/>
    <col min="15109" max="15110" width="16.85546875" style="275" customWidth="1"/>
    <col min="15111" max="15111" width="11.42578125" style="275"/>
    <col min="15112" max="15112" width="0" style="275" hidden="1" customWidth="1"/>
    <col min="15113" max="15354" width="11.42578125" style="275"/>
    <col min="15355" max="15355" width="39.85546875" style="275" customWidth="1"/>
    <col min="15356" max="15356" width="30.140625" style="275" customWidth="1"/>
    <col min="15357" max="15357" width="0" style="275" hidden="1" customWidth="1"/>
    <col min="15358" max="15358" width="16.140625" style="275" customWidth="1"/>
    <col min="15359" max="15360" width="11.42578125" style="275"/>
    <col min="15361" max="15364" width="14.85546875" style="275" customWidth="1"/>
    <col min="15365" max="15366" width="16.85546875" style="275" customWidth="1"/>
    <col min="15367" max="15367" width="11.42578125" style="275"/>
    <col min="15368" max="15368" width="0" style="275" hidden="1" customWidth="1"/>
    <col min="15369" max="15610" width="11.42578125" style="275"/>
    <col min="15611" max="15611" width="39.85546875" style="275" customWidth="1"/>
    <col min="15612" max="15612" width="30.140625" style="275" customWidth="1"/>
    <col min="15613" max="15613" width="0" style="275" hidden="1" customWidth="1"/>
    <col min="15614" max="15614" width="16.140625" style="275" customWidth="1"/>
    <col min="15615" max="15616" width="11.42578125" style="275"/>
    <col min="15617" max="15620" width="14.85546875" style="275" customWidth="1"/>
    <col min="15621" max="15622" width="16.85546875" style="275" customWidth="1"/>
    <col min="15623" max="15623" width="11.42578125" style="275"/>
    <col min="15624" max="15624" width="0" style="275" hidden="1" customWidth="1"/>
    <col min="15625" max="15866" width="11.42578125" style="275"/>
    <col min="15867" max="15867" width="39.85546875" style="275" customWidth="1"/>
    <col min="15868" max="15868" width="30.140625" style="275" customWidth="1"/>
    <col min="15869" max="15869" width="0" style="275" hidden="1" customWidth="1"/>
    <col min="15870" max="15870" width="16.140625" style="275" customWidth="1"/>
    <col min="15871" max="15872" width="11.42578125" style="275"/>
    <col min="15873" max="15876" width="14.85546875" style="275" customWidth="1"/>
    <col min="15877" max="15878" width="16.85546875" style="275" customWidth="1"/>
    <col min="15879" max="15879" width="11.42578125" style="275"/>
    <col min="15880" max="15880" width="0" style="275" hidden="1" customWidth="1"/>
    <col min="15881" max="16122" width="11.42578125" style="275"/>
    <col min="16123" max="16123" width="39.85546875" style="275" customWidth="1"/>
    <col min="16124" max="16124" width="30.140625" style="275" customWidth="1"/>
    <col min="16125" max="16125" width="0" style="275" hidden="1" customWidth="1"/>
    <col min="16126" max="16126" width="16.140625" style="275" customWidth="1"/>
    <col min="16127" max="16128" width="11.42578125" style="275"/>
    <col min="16129" max="16132" width="14.85546875" style="275" customWidth="1"/>
    <col min="16133" max="16134" width="16.85546875" style="275" customWidth="1"/>
    <col min="16135" max="16135" width="11.42578125" style="275"/>
    <col min="16136" max="16136" width="0" style="275" hidden="1" customWidth="1"/>
    <col min="16137" max="16384" width="11.42578125" style="275"/>
  </cols>
  <sheetData>
    <row r="1" spans="1:19">
      <c r="C1" s="2405"/>
      <c r="D1" s="2430" t="s">
        <v>542</v>
      </c>
      <c r="E1" s="2431"/>
      <c r="F1" s="2431"/>
      <c r="G1" s="2431"/>
      <c r="H1" s="2431"/>
      <c r="I1" s="2431"/>
      <c r="J1" s="2431"/>
      <c r="K1" s="2431"/>
      <c r="L1" s="2432"/>
      <c r="M1" s="2495" t="s">
        <v>539</v>
      </c>
      <c r="N1" s="2496"/>
    </row>
    <row r="2" spans="1:19">
      <c r="C2" s="2406"/>
      <c r="D2" s="2433"/>
      <c r="E2" s="2434"/>
      <c r="F2" s="2434"/>
      <c r="G2" s="2434"/>
      <c r="H2" s="2434"/>
      <c r="I2" s="2434"/>
      <c r="J2" s="2434"/>
      <c r="K2" s="2434"/>
      <c r="L2" s="2435"/>
      <c r="M2" s="2497" t="s">
        <v>540</v>
      </c>
      <c r="N2" s="2498"/>
    </row>
    <row r="3" spans="1:19" ht="15.75" thickBot="1">
      <c r="C3" s="2407"/>
      <c r="D3" s="2436"/>
      <c r="E3" s="2437"/>
      <c r="F3" s="2437"/>
      <c r="G3" s="2437"/>
      <c r="H3" s="2437"/>
      <c r="I3" s="2437"/>
      <c r="J3" s="2437"/>
      <c r="K3" s="2437"/>
      <c r="L3" s="2438"/>
      <c r="M3" s="2499" t="s">
        <v>541</v>
      </c>
      <c r="N3" s="2500"/>
    </row>
    <row r="4" spans="1:19" ht="11.25" customHeight="1" thickBot="1"/>
    <row r="5" spans="1:19" s="1" customFormat="1" ht="17.25" customHeight="1" thickBot="1">
      <c r="C5" s="2559" t="s">
        <v>181</v>
      </c>
      <c r="D5" s="2560"/>
      <c r="E5" s="2560"/>
      <c r="F5" s="2560"/>
      <c r="G5" s="2560"/>
      <c r="H5" s="2560"/>
      <c r="I5" s="2560"/>
      <c r="J5" s="2560"/>
      <c r="K5" s="2560"/>
      <c r="L5" s="2560"/>
      <c r="M5" s="2560"/>
      <c r="N5" s="2561"/>
      <c r="O5"/>
    </row>
    <row r="6" spans="1:19" ht="15.75" thickBot="1">
      <c r="C6" s="2562" t="s">
        <v>373</v>
      </c>
      <c r="D6" s="2563"/>
      <c r="E6" s="2563"/>
      <c r="F6" s="2563"/>
      <c r="G6" s="2563"/>
      <c r="H6" s="2563"/>
      <c r="I6" s="2563"/>
      <c r="J6" s="2563"/>
      <c r="K6" s="2563"/>
      <c r="L6" s="2563"/>
      <c r="M6" s="2563"/>
      <c r="N6" s="2564"/>
    </row>
    <row r="7" spans="1:19" ht="30" customHeight="1" thickBot="1">
      <c r="A7" s="2466" t="s">
        <v>543</v>
      </c>
      <c r="B7" s="2474" t="s">
        <v>544</v>
      </c>
      <c r="C7" s="2401" t="s">
        <v>435</v>
      </c>
      <c r="D7" s="2401" t="s">
        <v>436</v>
      </c>
      <c r="E7" s="2401" t="s">
        <v>497</v>
      </c>
      <c r="F7" s="2401" t="s">
        <v>437</v>
      </c>
      <c r="G7" s="2401" t="s">
        <v>200</v>
      </c>
      <c r="H7" s="2401" t="s">
        <v>576</v>
      </c>
      <c r="I7" s="2401" t="s">
        <v>198</v>
      </c>
      <c r="J7" s="2401"/>
      <c r="K7" s="2401"/>
      <c r="L7" s="2401" t="s">
        <v>453</v>
      </c>
      <c r="M7" s="1589" t="s">
        <v>1234</v>
      </c>
      <c r="N7" s="2401" t="s">
        <v>453</v>
      </c>
    </row>
    <row r="8" spans="1:19" ht="22.5" customHeight="1" thickBot="1">
      <c r="A8" s="2466"/>
      <c r="B8" s="2474"/>
      <c r="C8" s="2397"/>
      <c r="D8" s="2397"/>
      <c r="E8" s="2397"/>
      <c r="F8" s="2397"/>
      <c r="G8" s="2397"/>
      <c r="H8" s="2397"/>
      <c r="I8" s="2397" t="s">
        <v>201</v>
      </c>
      <c r="J8" s="2397" t="s">
        <v>231</v>
      </c>
      <c r="K8" s="2397" t="s">
        <v>503</v>
      </c>
      <c r="L8" s="2397"/>
      <c r="M8" s="2489" t="s">
        <v>442</v>
      </c>
      <c r="N8" s="2397"/>
    </row>
    <row r="9" spans="1:19" ht="15.75" thickBot="1">
      <c r="A9" s="2466"/>
      <c r="B9" s="2474"/>
      <c r="C9" s="2489"/>
      <c r="D9" s="2489"/>
      <c r="E9" s="2489"/>
      <c r="F9" s="2489"/>
      <c r="G9" s="2489"/>
      <c r="H9" s="2489"/>
      <c r="I9" s="2489"/>
      <c r="J9" s="2489"/>
      <c r="K9" s="2489"/>
      <c r="L9" s="2489"/>
      <c r="M9" s="2401"/>
      <c r="N9" s="2489"/>
    </row>
    <row r="10" spans="1:19" ht="38.25" customHeight="1" thickBot="1">
      <c r="A10" s="171">
        <v>130</v>
      </c>
      <c r="B10" s="1442"/>
      <c r="C10" s="1313" t="s">
        <v>283</v>
      </c>
      <c r="D10" s="688"/>
      <c r="E10" s="688"/>
      <c r="F10" s="689" t="s">
        <v>214</v>
      </c>
      <c r="G10" s="689">
        <v>100</v>
      </c>
      <c r="H10" s="689"/>
      <c r="I10" s="690">
        <f>+I11</f>
        <v>125127536</v>
      </c>
      <c r="J10" s="689">
        <f>+J11</f>
        <v>0</v>
      </c>
      <c r="K10" s="689">
        <f>+K11</f>
        <v>0</v>
      </c>
      <c r="L10" s="691">
        <f>+L11</f>
        <v>125127536</v>
      </c>
      <c r="M10" s="691">
        <f>+M11</f>
        <v>0</v>
      </c>
      <c r="N10" s="691">
        <f>+M10+L10</f>
        <v>125127536</v>
      </c>
      <c r="P10"/>
      <c r="Q10"/>
      <c r="R10"/>
      <c r="S10"/>
    </row>
    <row r="11" spans="1:19" ht="91.5" customHeight="1">
      <c r="A11" s="171"/>
      <c r="B11" s="1442" t="s">
        <v>1122</v>
      </c>
      <c r="C11" s="628" t="s">
        <v>41</v>
      </c>
      <c r="D11" s="623"/>
      <c r="E11" s="623"/>
      <c r="F11" s="629" t="s">
        <v>284</v>
      </c>
      <c r="G11" s="629">
        <v>50</v>
      </c>
      <c r="H11" s="629"/>
      <c r="I11" s="686">
        <f>+SUM(I12:I12)</f>
        <v>125127536</v>
      </c>
      <c r="J11" s="686">
        <f>+SUM(J12:J12)</f>
        <v>0</v>
      </c>
      <c r="K11" s="686">
        <f>+SUM(K12:K12)</f>
        <v>0</v>
      </c>
      <c r="L11" s="700">
        <f>+SUM(L12:L12)</f>
        <v>125127536</v>
      </c>
      <c r="M11" s="1777">
        <f>+M12</f>
        <v>0</v>
      </c>
      <c r="N11" s="1066">
        <f>+M11+L11</f>
        <v>125127536</v>
      </c>
      <c r="P11"/>
      <c r="Q11"/>
      <c r="R11"/>
      <c r="S11"/>
    </row>
    <row r="12" spans="1:19" s="571" customFormat="1" ht="18.75" customHeight="1" thickBot="1">
      <c r="B12" s="1422"/>
      <c r="C12" s="567" t="s">
        <v>731</v>
      </c>
      <c r="D12" s="19" t="s">
        <v>598</v>
      </c>
      <c r="E12" s="19">
        <v>91131</v>
      </c>
      <c r="F12" s="18" t="s">
        <v>732</v>
      </c>
      <c r="G12" s="18">
        <v>1</v>
      </c>
      <c r="H12" s="492">
        <v>160000000</v>
      </c>
      <c r="I12" s="492">
        <f>160000000-34872464</f>
        <v>125127536</v>
      </c>
      <c r="J12" s="492"/>
      <c r="K12" s="492"/>
      <c r="L12" s="523">
        <f>SUM(I12:K12)</f>
        <v>125127536</v>
      </c>
      <c r="M12" s="1778"/>
      <c r="N12" s="1786">
        <f>+M12+L12</f>
        <v>125127536</v>
      </c>
      <c r="O12"/>
      <c r="P12"/>
      <c r="Q12"/>
      <c r="R12"/>
      <c r="S12"/>
    </row>
    <row r="13" spans="1:19" s="252" customFormat="1" ht="58.5" customHeight="1" thickBot="1">
      <c r="A13" s="171">
        <v>131</v>
      </c>
      <c r="B13" s="1442"/>
      <c r="C13" s="458" t="s">
        <v>60</v>
      </c>
      <c r="D13" s="692"/>
      <c r="E13" s="692"/>
      <c r="F13" s="693" t="s">
        <v>214</v>
      </c>
      <c r="G13" s="693">
        <v>100</v>
      </c>
      <c r="H13" s="693"/>
      <c r="I13" s="694">
        <f>+I14+I21</f>
        <v>354540048</v>
      </c>
      <c r="J13" s="694">
        <f>+J14+J21</f>
        <v>51408406.100000001</v>
      </c>
      <c r="K13" s="694">
        <f>+K14+K21</f>
        <v>0</v>
      </c>
      <c r="L13" s="695">
        <f>+L14+L21</f>
        <v>405948454.10000002</v>
      </c>
      <c r="M13" s="1779">
        <f>+M14</f>
        <v>0</v>
      </c>
      <c r="N13" s="1787">
        <f>+M13+L13</f>
        <v>405948454.10000002</v>
      </c>
      <c r="O13"/>
      <c r="P13"/>
      <c r="Q13"/>
      <c r="R13"/>
      <c r="S13"/>
    </row>
    <row r="14" spans="1:19" s="252" customFormat="1" ht="60.75" customHeight="1">
      <c r="A14" s="171"/>
      <c r="B14" s="1442" t="s">
        <v>1123</v>
      </c>
      <c r="C14" s="627" t="s">
        <v>285</v>
      </c>
      <c r="D14" s="623"/>
      <c r="E14" s="623"/>
      <c r="F14" s="629" t="s">
        <v>284</v>
      </c>
      <c r="G14" s="629">
        <v>20</v>
      </c>
      <c r="H14" s="629"/>
      <c r="I14" s="686">
        <f t="shared" ref="I14:N14" si="0">SUM(I15:I20)</f>
        <v>202683124</v>
      </c>
      <c r="J14" s="686">
        <f t="shared" si="0"/>
        <v>51408406.100000001</v>
      </c>
      <c r="K14" s="686">
        <f t="shared" si="0"/>
        <v>0</v>
      </c>
      <c r="L14" s="682">
        <f t="shared" si="0"/>
        <v>254091530.09999999</v>
      </c>
      <c r="M14" s="700">
        <f t="shared" si="0"/>
        <v>0</v>
      </c>
      <c r="N14" s="1788">
        <f t="shared" si="0"/>
        <v>254091530.09999999</v>
      </c>
      <c r="O14"/>
      <c r="P14"/>
      <c r="Q14"/>
      <c r="R14"/>
      <c r="S14"/>
    </row>
    <row r="15" spans="1:19" s="564" customFormat="1">
      <c r="B15" s="1454"/>
      <c r="C15" s="567" t="s">
        <v>733</v>
      </c>
      <c r="D15" s="31" t="s">
        <v>598</v>
      </c>
      <c r="E15" s="27">
        <v>91131</v>
      </c>
      <c r="F15" s="27" t="s">
        <v>284</v>
      </c>
      <c r="G15" s="27">
        <v>10</v>
      </c>
      <c r="H15" s="576">
        <v>82328000</v>
      </c>
      <c r="I15" s="576">
        <v>165314624</v>
      </c>
      <c r="J15" s="576"/>
      <c r="K15" s="576"/>
      <c r="L15" s="300">
        <f t="shared" ref="L15:L20" si="1">SUM(I15:K15)</f>
        <v>165314624</v>
      </c>
      <c r="M15" s="1780"/>
      <c r="N15" s="1786">
        <f t="shared" ref="N15:N23" si="2">+M15+L15</f>
        <v>165314624</v>
      </c>
      <c r="O15"/>
      <c r="P15"/>
      <c r="Q15"/>
      <c r="R15"/>
      <c r="S15"/>
    </row>
    <row r="16" spans="1:19" s="564" customFormat="1">
      <c r="B16" s="1454"/>
      <c r="C16" s="567" t="s">
        <v>734</v>
      </c>
      <c r="D16" s="31" t="s">
        <v>235</v>
      </c>
      <c r="E16" s="27">
        <v>83990</v>
      </c>
      <c r="F16" s="27" t="s">
        <v>732</v>
      </c>
      <c r="G16" s="27">
        <v>1</v>
      </c>
      <c r="H16" s="576">
        <v>8232800</v>
      </c>
      <c r="I16" s="576">
        <v>0</v>
      </c>
      <c r="J16" s="576"/>
      <c r="K16" s="576"/>
      <c r="L16" s="300">
        <f t="shared" si="1"/>
        <v>0</v>
      </c>
      <c r="M16" s="1780"/>
      <c r="N16" s="1786">
        <f t="shared" si="2"/>
        <v>0</v>
      </c>
      <c r="O16"/>
      <c r="P16"/>
      <c r="Q16"/>
      <c r="R16"/>
      <c r="S16"/>
    </row>
    <row r="17" spans="1:19" s="564" customFormat="1" ht="25.5">
      <c r="B17" s="1454"/>
      <c r="C17" s="567" t="s">
        <v>735</v>
      </c>
      <c r="D17" s="31" t="s">
        <v>557</v>
      </c>
      <c r="E17" s="27" t="s">
        <v>736</v>
      </c>
      <c r="F17" s="27" t="s">
        <v>209</v>
      </c>
      <c r="G17" s="27">
        <v>1</v>
      </c>
      <c r="H17" s="576">
        <v>20080000</v>
      </c>
      <c r="I17" s="576">
        <f>20080000-20080000</f>
        <v>0</v>
      </c>
      <c r="J17" s="576"/>
      <c r="K17" s="576"/>
      <c r="L17" s="300">
        <f t="shared" si="1"/>
        <v>0</v>
      </c>
      <c r="M17" s="1780"/>
      <c r="N17" s="1786">
        <f t="shared" si="2"/>
        <v>0</v>
      </c>
      <c r="O17"/>
      <c r="P17"/>
      <c r="Q17"/>
      <c r="R17"/>
      <c r="S17"/>
    </row>
    <row r="18" spans="1:19" s="564" customFormat="1" ht="51">
      <c r="B18" s="1454"/>
      <c r="C18" s="567" t="s">
        <v>737</v>
      </c>
      <c r="D18" s="31" t="s">
        <v>568</v>
      </c>
      <c r="E18" s="27" t="s">
        <v>602</v>
      </c>
      <c r="F18" s="27" t="s">
        <v>732</v>
      </c>
      <c r="G18" s="27">
        <v>1</v>
      </c>
      <c r="H18" s="576">
        <v>20080000</v>
      </c>
      <c r="I18" s="576">
        <v>20080000</v>
      </c>
      <c r="J18" s="576"/>
      <c r="K18" s="576"/>
      <c r="L18" s="300">
        <f t="shared" si="1"/>
        <v>20080000</v>
      </c>
      <c r="M18" s="1780"/>
      <c r="N18" s="1786">
        <f t="shared" si="2"/>
        <v>20080000</v>
      </c>
      <c r="O18"/>
      <c r="P18"/>
      <c r="Q18"/>
      <c r="R18"/>
      <c r="S18"/>
    </row>
    <row r="19" spans="1:19" s="564" customFormat="1" ht="51">
      <c r="B19" s="1454"/>
      <c r="C19" s="567" t="s">
        <v>738</v>
      </c>
      <c r="D19" s="31" t="s">
        <v>568</v>
      </c>
      <c r="E19" s="27"/>
      <c r="F19" s="27"/>
      <c r="G19" s="27"/>
      <c r="H19" s="576">
        <v>20080000</v>
      </c>
      <c r="I19" s="576"/>
      <c r="J19" s="576">
        <v>20080000</v>
      </c>
      <c r="K19" s="576"/>
      <c r="L19" s="300">
        <f t="shared" si="1"/>
        <v>20080000</v>
      </c>
      <c r="M19" s="1780"/>
      <c r="N19" s="1786">
        <f t="shared" si="2"/>
        <v>20080000</v>
      </c>
      <c r="O19"/>
      <c r="P19"/>
      <c r="Q19"/>
      <c r="R19"/>
      <c r="S19"/>
    </row>
    <row r="20" spans="1:19" s="564" customFormat="1" ht="25.5">
      <c r="B20" s="1454"/>
      <c r="C20" s="567" t="s">
        <v>739</v>
      </c>
      <c r="D20" s="31" t="s">
        <v>235</v>
      </c>
      <c r="E20" s="27">
        <v>83990</v>
      </c>
      <c r="F20" s="27" t="s">
        <v>207</v>
      </c>
      <c r="G20" s="27">
        <v>11</v>
      </c>
      <c r="H20" s="576">
        <v>55531653.099999994</v>
      </c>
      <c r="I20" s="576">
        <f>17955653-667153</f>
        <v>17288500</v>
      </c>
      <c r="J20" s="576">
        <f>37576000.1-6247594</f>
        <v>31328406.100000001</v>
      </c>
      <c r="K20" s="576"/>
      <c r="L20" s="300">
        <f t="shared" si="1"/>
        <v>48616906.100000001</v>
      </c>
      <c r="M20" s="1780"/>
      <c r="N20" s="1786">
        <f t="shared" si="2"/>
        <v>48616906.100000001</v>
      </c>
      <c r="O20"/>
      <c r="P20"/>
      <c r="Q20"/>
      <c r="R20"/>
      <c r="S20"/>
    </row>
    <row r="21" spans="1:19" ht="63" customHeight="1">
      <c r="A21" s="171"/>
      <c r="B21" s="1442" t="s">
        <v>1124</v>
      </c>
      <c r="C21" s="169" t="s">
        <v>286</v>
      </c>
      <c r="D21" s="171"/>
      <c r="E21" s="171"/>
      <c r="F21" s="174" t="s">
        <v>284</v>
      </c>
      <c r="G21" s="174">
        <v>80</v>
      </c>
      <c r="H21" s="174"/>
      <c r="I21" s="356">
        <f>SUM(I22:I23)</f>
        <v>151856924</v>
      </c>
      <c r="J21" s="356">
        <f>SUM(J22:J23)</f>
        <v>0</v>
      </c>
      <c r="K21" s="356">
        <f>SUM(K22:K23)</f>
        <v>0</v>
      </c>
      <c r="L21" s="356">
        <f>SUM(L22:L23)</f>
        <v>151856924</v>
      </c>
      <c r="M21" s="572">
        <f>+SUM(M22:M23)</f>
        <v>0</v>
      </c>
      <c r="N21" s="1068">
        <f>SUM(N22:N23)</f>
        <v>151856924</v>
      </c>
      <c r="P21"/>
      <c r="Q21"/>
      <c r="R21"/>
      <c r="S21"/>
    </row>
    <row r="22" spans="1:19" s="571" customFormat="1">
      <c r="B22" s="1422"/>
      <c r="C22" s="567" t="s">
        <v>740</v>
      </c>
      <c r="D22" s="810" t="s">
        <v>742</v>
      </c>
      <c r="E22" s="810">
        <v>91131</v>
      </c>
      <c r="F22" s="811" t="s">
        <v>284</v>
      </c>
      <c r="G22" s="811">
        <v>80</v>
      </c>
      <c r="H22" s="357">
        <v>129239936.00000001</v>
      </c>
      <c r="I22" s="357">
        <v>129239936.00000001</v>
      </c>
      <c r="J22" s="357"/>
      <c r="K22" s="357"/>
      <c r="L22" s="259">
        <f>+SUM(I22:K22)</f>
        <v>129239936.00000001</v>
      </c>
      <c r="M22" s="1483"/>
      <c r="N22" s="1786">
        <f t="shared" si="2"/>
        <v>129239936.00000001</v>
      </c>
      <c r="O22"/>
      <c r="P22"/>
      <c r="Q22"/>
      <c r="R22"/>
      <c r="S22"/>
    </row>
    <row r="23" spans="1:19" s="252" customFormat="1" ht="15.75" thickBot="1">
      <c r="B23" s="1421"/>
      <c r="C23" s="52" t="s">
        <v>741</v>
      </c>
      <c r="D23" s="602" t="s">
        <v>235</v>
      </c>
      <c r="E23" s="602">
        <v>83990</v>
      </c>
      <c r="F23" s="18" t="s">
        <v>732</v>
      </c>
      <c r="G23" s="18">
        <v>1</v>
      </c>
      <c r="H23" s="492">
        <v>22616988</v>
      </c>
      <c r="I23" s="492">
        <v>22616988</v>
      </c>
      <c r="J23" s="492">
        <v>0</v>
      </c>
      <c r="K23" s="492"/>
      <c r="L23" s="259">
        <f>+SUM(I23:K23)</f>
        <v>22616988</v>
      </c>
      <c r="M23" s="1483"/>
      <c r="N23" s="1786">
        <f t="shared" si="2"/>
        <v>22616988</v>
      </c>
      <c r="O23"/>
      <c r="P23"/>
      <c r="Q23"/>
      <c r="R23"/>
      <c r="S23"/>
    </row>
    <row r="24" spans="1:19" ht="39" thickBot="1">
      <c r="A24" s="171">
        <v>132</v>
      </c>
      <c r="B24" s="1442"/>
      <c r="C24" s="458" t="s">
        <v>42</v>
      </c>
      <c r="D24" s="692"/>
      <c r="E24" s="692"/>
      <c r="F24" s="693" t="s">
        <v>287</v>
      </c>
      <c r="G24" s="693">
        <v>300</v>
      </c>
      <c r="H24" s="693"/>
      <c r="I24" s="694">
        <f>+I25+I29</f>
        <v>228081203</v>
      </c>
      <c r="J24" s="694">
        <f>+J25+J29</f>
        <v>0</v>
      </c>
      <c r="K24" s="694">
        <f>+K25+K29</f>
        <v>0</v>
      </c>
      <c r="L24" s="695">
        <f>+L25+L29</f>
        <v>228081203</v>
      </c>
      <c r="M24" s="1779">
        <f>+M25</f>
        <v>0</v>
      </c>
      <c r="N24" s="1787">
        <f>+M24+L24</f>
        <v>228081203</v>
      </c>
      <c r="P24"/>
      <c r="Q24"/>
      <c r="R24"/>
      <c r="S24"/>
    </row>
    <row r="25" spans="1:19" ht="76.5">
      <c r="A25" s="171"/>
      <c r="B25" s="1442" t="s">
        <v>1125</v>
      </c>
      <c r="C25" s="627" t="s">
        <v>288</v>
      </c>
      <c r="D25" s="623"/>
      <c r="E25" s="623"/>
      <c r="F25" s="629" t="s">
        <v>289</v>
      </c>
      <c r="G25" s="687">
        <v>30000</v>
      </c>
      <c r="H25" s="629"/>
      <c r="I25" s="686">
        <f>SUM(I26:I28)</f>
        <v>190738700</v>
      </c>
      <c r="J25" s="686">
        <f>SUM(J26:J28)</f>
        <v>0</v>
      </c>
      <c r="K25" s="686">
        <f>SUM(K26:K28)</f>
        <v>0</v>
      </c>
      <c r="L25" s="682">
        <f>SUM(L26:L28)</f>
        <v>190738700</v>
      </c>
      <c r="M25" s="1781">
        <f>+SUM(M26:M28)</f>
        <v>0</v>
      </c>
      <c r="N25" s="1788">
        <f>SUM(N26:N28)</f>
        <v>190738700</v>
      </c>
    </row>
    <row r="26" spans="1:19" s="571" customFormat="1">
      <c r="B26" s="1422"/>
      <c r="C26" s="567" t="s">
        <v>744</v>
      </c>
      <c r="D26" s="8" t="s">
        <v>598</v>
      </c>
      <c r="E26" s="8">
        <v>91131</v>
      </c>
      <c r="F26" s="570" t="s">
        <v>745</v>
      </c>
      <c r="G26" s="577"/>
      <c r="H26" s="357">
        <v>0</v>
      </c>
      <c r="I26" s="357">
        <v>152156200</v>
      </c>
      <c r="J26" s="357"/>
      <c r="K26" s="357"/>
      <c r="L26" s="259">
        <f>SUM(I26:K26)</f>
        <v>152156200</v>
      </c>
      <c r="M26" s="1483"/>
      <c r="N26" s="1786">
        <f t="shared" ref="N26:N28" si="3">+M26+L26</f>
        <v>152156200</v>
      </c>
      <c r="O26"/>
    </row>
    <row r="27" spans="1:19" s="571" customFormat="1">
      <c r="B27" s="1422"/>
      <c r="C27" s="567" t="s">
        <v>741</v>
      </c>
      <c r="D27" s="8" t="s">
        <v>235</v>
      </c>
      <c r="E27" s="8">
        <v>83990</v>
      </c>
      <c r="F27" s="570" t="s">
        <v>732</v>
      </c>
      <c r="G27" s="570">
        <v>1</v>
      </c>
      <c r="H27" s="357">
        <v>15215620</v>
      </c>
      <c r="I27" s="357"/>
      <c r="J27" s="357"/>
      <c r="K27" s="357"/>
      <c r="L27" s="259">
        <f>SUM(I27:K27)</f>
        <v>0</v>
      </c>
      <c r="M27" s="1483"/>
      <c r="N27" s="1786">
        <f t="shared" si="3"/>
        <v>0</v>
      </c>
      <c r="O27"/>
    </row>
    <row r="28" spans="1:19" s="571" customFormat="1" ht="25.5">
      <c r="B28" s="1422"/>
      <c r="C28" s="567" t="s">
        <v>746</v>
      </c>
      <c r="D28" s="810" t="s">
        <v>235</v>
      </c>
      <c r="E28" s="810">
        <v>83990</v>
      </c>
      <c r="F28" s="811" t="s">
        <v>207</v>
      </c>
      <c r="G28" s="811">
        <v>11</v>
      </c>
      <c r="H28" s="357">
        <v>38582499.999999993</v>
      </c>
      <c r="I28" s="357">
        <v>38582499.999999993</v>
      </c>
      <c r="J28" s="357"/>
      <c r="K28" s="357"/>
      <c r="L28" s="259">
        <f>SUM(I28:K28)</f>
        <v>38582499.999999993</v>
      </c>
      <c r="M28" s="1483"/>
      <c r="N28" s="1786">
        <f t="shared" si="3"/>
        <v>38582499.999999993</v>
      </c>
      <c r="O28"/>
    </row>
    <row r="29" spans="1:19" ht="25.5">
      <c r="A29" s="171"/>
      <c r="B29" s="1442" t="s">
        <v>1126</v>
      </c>
      <c r="C29" s="169" t="s">
        <v>290</v>
      </c>
      <c r="D29" s="171"/>
      <c r="E29" s="171"/>
      <c r="F29" s="174" t="s">
        <v>210</v>
      </c>
      <c r="G29" s="174">
        <v>0</v>
      </c>
      <c r="H29" s="174"/>
      <c r="I29" s="356">
        <f>+I30</f>
        <v>37342503</v>
      </c>
      <c r="J29" s="356">
        <f>+J30</f>
        <v>0</v>
      </c>
      <c r="K29" s="356">
        <f>+K30</f>
        <v>0</v>
      </c>
      <c r="L29" s="257">
        <f>SUM(L30)</f>
        <v>37342503</v>
      </c>
      <c r="M29" s="1782">
        <f>+M30</f>
        <v>0</v>
      </c>
      <c r="N29" s="1789">
        <f>SUM(N30)</f>
        <v>37342503</v>
      </c>
    </row>
    <row r="30" spans="1:19" s="571" customFormat="1" ht="26.25" thickBot="1">
      <c r="B30" s="1422"/>
      <c r="C30" s="52" t="s">
        <v>747</v>
      </c>
      <c r="D30" s="19" t="s">
        <v>235</v>
      </c>
      <c r="E30" s="19">
        <v>83990</v>
      </c>
      <c r="F30" s="18" t="s">
        <v>732</v>
      </c>
      <c r="G30" s="18">
        <v>1</v>
      </c>
      <c r="H30" s="492">
        <v>50000000</v>
      </c>
      <c r="I30" s="492">
        <f>50000000-1886583-10770914</f>
        <v>37342503</v>
      </c>
      <c r="J30" s="492"/>
      <c r="K30" s="492"/>
      <c r="L30" s="523">
        <f>+SUM(I30:K30)</f>
        <v>37342503</v>
      </c>
      <c r="M30" s="1778"/>
      <c r="N30" s="1786">
        <f t="shared" ref="N30" si="4">+M30+L30</f>
        <v>37342503</v>
      </c>
      <c r="O30"/>
    </row>
    <row r="31" spans="1:19" s="252" customFormat="1" ht="51.75" thickBot="1">
      <c r="A31" s="171">
        <v>133</v>
      </c>
      <c r="B31" s="1442"/>
      <c r="C31" s="458" t="s">
        <v>43</v>
      </c>
      <c r="D31" s="692"/>
      <c r="E31" s="692"/>
      <c r="F31" s="693" t="s">
        <v>214</v>
      </c>
      <c r="G31" s="693">
        <v>100</v>
      </c>
      <c r="H31" s="693"/>
      <c r="I31" s="694">
        <f>+I32</f>
        <v>92251213</v>
      </c>
      <c r="J31" s="694">
        <f>+J32</f>
        <v>89244050.200000003</v>
      </c>
      <c r="K31" s="694">
        <f>+K32</f>
        <v>175610367.40000001</v>
      </c>
      <c r="L31" s="695">
        <f>+L32</f>
        <v>357105630.60000002</v>
      </c>
      <c r="M31" s="1779">
        <f>+M32</f>
        <v>209186154.88</v>
      </c>
      <c r="N31" s="1787">
        <f>+M31+L31</f>
        <v>566291785.48000002</v>
      </c>
      <c r="O31"/>
    </row>
    <row r="32" spans="1:19" s="252" customFormat="1" ht="126" customHeight="1">
      <c r="A32" s="171"/>
      <c r="B32" s="1442" t="s">
        <v>1127</v>
      </c>
      <c r="C32" s="627" t="s">
        <v>291</v>
      </c>
      <c r="D32" s="623"/>
      <c r="E32" s="623"/>
      <c r="F32" s="629" t="s">
        <v>289</v>
      </c>
      <c r="G32" s="1984">
        <v>100000</v>
      </c>
      <c r="H32" s="686"/>
      <c r="I32" s="686">
        <f t="shared" ref="I32:N32" si="5">SUM(I33:I34)</f>
        <v>92251213</v>
      </c>
      <c r="J32" s="686">
        <f t="shared" si="5"/>
        <v>89244050.200000003</v>
      </c>
      <c r="K32" s="686">
        <f t="shared" si="5"/>
        <v>175610367.40000001</v>
      </c>
      <c r="L32" s="682">
        <f t="shared" si="5"/>
        <v>357105630.60000002</v>
      </c>
      <c r="M32" s="700">
        <f t="shared" si="5"/>
        <v>209186154.88</v>
      </c>
      <c r="N32" s="1788">
        <f t="shared" si="5"/>
        <v>566291785.48000002</v>
      </c>
      <c r="O32"/>
    </row>
    <row r="33" spans="1:15" s="569" customFormat="1" ht="27" customHeight="1">
      <c r="B33" s="1437"/>
      <c r="C33" s="567" t="s">
        <v>748</v>
      </c>
      <c r="D33" s="810" t="s">
        <v>591</v>
      </c>
      <c r="E33" s="810">
        <v>91131</v>
      </c>
      <c r="F33" s="811" t="s">
        <v>745</v>
      </c>
      <c r="G33" s="577">
        <v>47019.42236363636</v>
      </c>
      <c r="H33" s="513">
        <v>5500</v>
      </c>
      <c r="I33" s="870">
        <v>66390531</v>
      </c>
      <c r="J33" s="513">
        <f>82996456.2+6247594</f>
        <v>89244050.200000003</v>
      </c>
      <c r="K33" s="513">
        <v>175610367.40000001</v>
      </c>
      <c r="L33" s="578">
        <f>+SUM(I33:K33)</f>
        <v>331244948.60000002</v>
      </c>
      <c r="M33" s="1783">
        <v>209186154.88</v>
      </c>
      <c r="N33" s="1786">
        <f t="shared" ref="N33:N34" si="6">+M33+L33</f>
        <v>540431103.48000002</v>
      </c>
      <c r="O33"/>
    </row>
    <row r="34" spans="1:15" s="569" customFormat="1" ht="27" customHeight="1" thickBot="1">
      <c r="B34" s="1437"/>
      <c r="C34" s="567" t="s">
        <v>741</v>
      </c>
      <c r="D34" s="19" t="s">
        <v>235</v>
      </c>
      <c r="E34" s="19">
        <v>83990</v>
      </c>
      <c r="F34" s="18" t="s">
        <v>732</v>
      </c>
      <c r="G34" s="18">
        <v>1</v>
      </c>
      <c r="H34" s="681">
        <v>25860682.300000001</v>
      </c>
      <c r="I34" s="681">
        <v>25860682</v>
      </c>
      <c r="J34" s="681"/>
      <c r="K34" s="681">
        <v>0</v>
      </c>
      <c r="L34" s="578">
        <f>+SUM(I34:K34)</f>
        <v>25860682</v>
      </c>
      <c r="M34" s="1783"/>
      <c r="N34" s="1786">
        <f t="shared" si="6"/>
        <v>25860682</v>
      </c>
      <c r="O34"/>
    </row>
    <row r="35" spans="1:15" s="252" customFormat="1" ht="64.5" thickBot="1">
      <c r="A35" s="171">
        <v>134</v>
      </c>
      <c r="B35" s="1442"/>
      <c r="C35" s="458" t="s">
        <v>44</v>
      </c>
      <c r="D35" s="692"/>
      <c r="E35" s="692"/>
      <c r="F35" s="693" t="s">
        <v>284</v>
      </c>
      <c r="G35" s="693">
        <v>0</v>
      </c>
      <c r="H35" s="693"/>
      <c r="I35" s="694">
        <f>+I36</f>
        <v>0</v>
      </c>
      <c r="J35" s="694">
        <f>+J36</f>
        <v>0</v>
      </c>
      <c r="K35" s="694">
        <f>+K36</f>
        <v>0</v>
      </c>
      <c r="L35" s="695">
        <f>L36</f>
        <v>0</v>
      </c>
      <c r="M35" s="1779">
        <f>+M36</f>
        <v>0</v>
      </c>
      <c r="N35" s="1787">
        <f>+M35+L35</f>
        <v>0</v>
      </c>
      <c r="O35"/>
    </row>
    <row r="36" spans="1:15" s="252" customFormat="1" ht="51">
      <c r="A36" s="171"/>
      <c r="B36" s="1442" t="s">
        <v>1128</v>
      </c>
      <c r="C36" s="627" t="s">
        <v>439</v>
      </c>
      <c r="D36" s="623"/>
      <c r="E36" s="623"/>
      <c r="F36" s="629" t="s">
        <v>284</v>
      </c>
      <c r="G36" s="629">
        <v>0</v>
      </c>
      <c r="H36" s="629"/>
      <c r="I36" s="686">
        <f>+I37</f>
        <v>0</v>
      </c>
      <c r="J36" s="629"/>
      <c r="K36" s="686">
        <f>+K37</f>
        <v>0</v>
      </c>
      <c r="L36" s="682">
        <f>SUM(L37:L37)</f>
        <v>0</v>
      </c>
      <c r="M36" s="1781">
        <f>+M37</f>
        <v>0</v>
      </c>
      <c r="N36" s="1788">
        <f>SUM(N37:N37)</f>
        <v>0</v>
      </c>
      <c r="O36"/>
    </row>
    <row r="37" spans="1:15" s="571" customFormat="1" ht="12" customHeight="1" thickBot="1">
      <c r="B37" s="1422"/>
      <c r="C37" s="567" t="s">
        <v>749</v>
      </c>
      <c r="D37" s="191" t="s">
        <v>750</v>
      </c>
      <c r="E37" s="191" t="s">
        <v>751</v>
      </c>
      <c r="F37" s="127" t="s">
        <v>284</v>
      </c>
      <c r="G37" s="127">
        <v>100</v>
      </c>
      <c r="H37" s="525">
        <v>150000000</v>
      </c>
      <c r="I37" s="525"/>
      <c r="J37" s="525"/>
      <c r="K37" s="525"/>
      <c r="L37" s="894">
        <f>SUM(I37:K37)</f>
        <v>0</v>
      </c>
      <c r="M37" s="1784"/>
      <c r="N37" s="1790">
        <f>+M37</f>
        <v>0</v>
      </c>
      <c r="O37"/>
    </row>
    <row r="38" spans="1:15" s="252" customFormat="1" ht="15.75" customHeight="1" thickBot="1">
      <c r="B38" s="1421"/>
      <c r="C38" s="2441" t="s">
        <v>10</v>
      </c>
      <c r="D38" s="2442"/>
      <c r="E38" s="2442"/>
      <c r="F38" s="2442"/>
      <c r="G38" s="2442"/>
      <c r="H38" s="2558"/>
      <c r="I38" s="751">
        <f t="shared" ref="I38:N38" si="7">+I10+I13+I24+I31+I35</f>
        <v>800000000</v>
      </c>
      <c r="J38" s="751">
        <f t="shared" si="7"/>
        <v>140652456.30000001</v>
      </c>
      <c r="K38" s="751">
        <f t="shared" si="7"/>
        <v>175610367.40000001</v>
      </c>
      <c r="L38" s="752">
        <f t="shared" si="7"/>
        <v>1116262823.7</v>
      </c>
      <c r="M38" s="1785">
        <f t="shared" si="7"/>
        <v>209186154.88</v>
      </c>
      <c r="N38" s="1791">
        <f t="shared" si="7"/>
        <v>1325448978.5799999</v>
      </c>
      <c r="O38"/>
    </row>
    <row r="39" spans="1:15" ht="15.75" thickBot="1">
      <c r="H39" s="362"/>
      <c r="I39" s="362"/>
      <c r="J39" s="362"/>
      <c r="K39" s="362"/>
      <c r="L39" s="298"/>
      <c r="M39" s="599"/>
      <c r="N39" s="298"/>
    </row>
    <row r="40" spans="1:15" ht="15.75" thickBot="1">
      <c r="I40" s="600">
        <v>800000000</v>
      </c>
      <c r="J40" s="600">
        <v>140652456.40564001</v>
      </c>
      <c r="K40" s="600">
        <v>175610367.29436004</v>
      </c>
      <c r="L40" s="601">
        <v>1116262824</v>
      </c>
      <c r="M40" s="601">
        <v>209186154.88</v>
      </c>
      <c r="N40" s="601">
        <f>1116262824+209186154.88</f>
        <v>1325448978.8800001</v>
      </c>
    </row>
    <row r="41" spans="1:15">
      <c r="M41" s="598"/>
      <c r="N41" s="598"/>
    </row>
    <row r="42" spans="1:15">
      <c r="I42" s="120">
        <f>+I40-I38</f>
        <v>0</v>
      </c>
      <c r="J42" s="120">
        <f>+J40-J38</f>
        <v>0.1056399941444397</v>
      </c>
      <c r="K42" s="120">
        <f>+K40-K38</f>
        <v>-0.10563996434211731</v>
      </c>
      <c r="L42" s="120">
        <f>+L40-L38</f>
        <v>0.29999995231628418</v>
      </c>
      <c r="M42" s="120">
        <f t="shared" ref="M42:N42" si="8">+M40-M38</f>
        <v>0</v>
      </c>
      <c r="N42" s="120">
        <f t="shared" si="8"/>
        <v>0.30000019073486328</v>
      </c>
    </row>
    <row r="43" spans="1:15">
      <c r="M43" s="598"/>
      <c r="N43" s="598"/>
    </row>
    <row r="44" spans="1:15">
      <c r="I44" s="120"/>
      <c r="M44" s="598"/>
      <c r="N44" s="598"/>
    </row>
    <row r="45" spans="1:15">
      <c r="I45" s="120"/>
    </row>
    <row r="46" spans="1:15" ht="21">
      <c r="N46" s="2131">
        <f>+L40+M40</f>
        <v>1325448978.8800001</v>
      </c>
    </row>
  </sheetData>
  <mergeCells count="23">
    <mergeCell ref="M8:M9"/>
    <mergeCell ref="N7:N9"/>
    <mergeCell ref="A7:A9"/>
    <mergeCell ref="B7:B9"/>
    <mergeCell ref="C1:C3"/>
    <mergeCell ref="M1:N1"/>
    <mergeCell ref="M2:N2"/>
    <mergeCell ref="M3:N3"/>
    <mergeCell ref="L7:L9"/>
    <mergeCell ref="D1:L3"/>
    <mergeCell ref="C5:N5"/>
    <mergeCell ref="C6:N6"/>
    <mergeCell ref="C38:H38"/>
    <mergeCell ref="K8:K9"/>
    <mergeCell ref="C7:C9"/>
    <mergeCell ref="D7:D9"/>
    <mergeCell ref="E7:E9"/>
    <mergeCell ref="F7:F9"/>
    <mergeCell ref="I8:I9"/>
    <mergeCell ref="J8:J9"/>
    <mergeCell ref="G7:G9"/>
    <mergeCell ref="H7:H9"/>
    <mergeCell ref="I7:K7"/>
  </mergeCells>
  <pageMargins left="0.7" right="0.7" top="0.75" bottom="0.75" header="0.3" footer="0.3"/>
  <pageSetup orientation="portrait" verticalDpi="597"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theme="7" tint="0.59999389629810485"/>
  </sheetPr>
  <dimension ref="A1:N22"/>
  <sheetViews>
    <sheetView workbookViewId="0"/>
  </sheetViews>
  <sheetFormatPr baseColWidth="10" defaultRowHeight="15"/>
  <cols>
    <col min="1" max="1" width="13.7109375" customWidth="1"/>
    <col min="2" max="2" width="38.140625" customWidth="1"/>
    <col min="3" max="3" width="8.42578125" customWidth="1"/>
    <col min="4" max="4" width="8.5703125" customWidth="1"/>
    <col min="5" max="5" width="15.140625" customWidth="1"/>
    <col min="6" max="6" width="16" customWidth="1"/>
    <col min="7" max="7" width="15.7109375" customWidth="1"/>
    <col min="8" max="8" width="16" customWidth="1"/>
    <col min="9" max="9" width="17.140625" customWidth="1"/>
    <col min="10" max="10" width="12.7109375" customWidth="1"/>
    <col min="11" max="12" width="15.42578125" customWidth="1"/>
    <col min="13" max="13" width="17" customWidth="1"/>
  </cols>
  <sheetData>
    <row r="1" spans="1:14">
      <c r="B1" s="2405"/>
      <c r="C1" s="2430" t="s">
        <v>542</v>
      </c>
      <c r="D1" s="2431"/>
      <c r="E1" s="2431"/>
      <c r="F1" s="2431"/>
      <c r="G1" s="2431"/>
      <c r="H1" s="2431"/>
      <c r="I1" s="2431"/>
      <c r="J1" s="2431"/>
      <c r="K1" s="2432"/>
      <c r="L1" s="2495" t="s">
        <v>539</v>
      </c>
      <c r="M1" s="2496"/>
    </row>
    <row r="2" spans="1:14">
      <c r="B2" s="2406"/>
      <c r="C2" s="2433"/>
      <c r="D2" s="2434"/>
      <c r="E2" s="2434"/>
      <c r="F2" s="2434"/>
      <c r="G2" s="2434"/>
      <c r="H2" s="2434"/>
      <c r="I2" s="2434"/>
      <c r="J2" s="2434"/>
      <c r="K2" s="2435"/>
      <c r="L2" s="2497" t="s">
        <v>540</v>
      </c>
      <c r="M2" s="2498"/>
    </row>
    <row r="3" spans="1:14" ht="15.75" thickBot="1">
      <c r="B3" s="2407"/>
      <c r="C3" s="2436"/>
      <c r="D3" s="2437"/>
      <c r="E3" s="2437"/>
      <c r="F3" s="2437"/>
      <c r="G3" s="2437"/>
      <c r="H3" s="2437"/>
      <c r="I3" s="2437"/>
      <c r="J3" s="2437"/>
      <c r="K3" s="2438"/>
      <c r="L3" s="2499" t="s">
        <v>541</v>
      </c>
      <c r="M3" s="2500"/>
    </row>
    <row r="4" spans="1:14" ht="9.75" customHeight="1" thickBot="1"/>
    <row r="5" spans="1:14" s="1" customFormat="1" ht="24.75" customHeight="1" thickBot="1">
      <c r="B5" s="2528" t="s">
        <v>184</v>
      </c>
      <c r="C5" s="2529"/>
      <c r="D5" s="2529"/>
      <c r="E5" s="2529"/>
      <c r="F5" s="2529"/>
      <c r="G5" s="2529"/>
      <c r="H5" s="2529"/>
      <c r="I5" s="2529"/>
      <c r="J5" s="2529"/>
      <c r="K5" s="2529"/>
      <c r="L5" s="2529"/>
      <c r="M5" s="2530"/>
    </row>
    <row r="6" spans="1:14" ht="12.75" customHeight="1" thickBot="1">
      <c r="B6" s="2402" t="s">
        <v>504</v>
      </c>
      <c r="C6" s="2403"/>
      <c r="D6" s="2403"/>
      <c r="E6" s="2403"/>
      <c r="F6" s="2403"/>
      <c r="G6" s="2403"/>
      <c r="H6" s="2403"/>
      <c r="I6" s="2403"/>
      <c r="J6" s="2403"/>
      <c r="K6" s="2403"/>
      <c r="L6" s="2403"/>
      <c r="M6" s="2404"/>
    </row>
    <row r="7" spans="1:14" ht="15" customHeight="1" thickBot="1">
      <c r="A7" s="2479" t="s">
        <v>383</v>
      </c>
      <c r="B7" s="2551" t="s">
        <v>773</v>
      </c>
      <c r="C7" s="2539">
        <v>2023</v>
      </c>
      <c r="D7" s="2540"/>
      <c r="E7" s="2540"/>
      <c r="F7" s="2540"/>
      <c r="G7" s="2540"/>
      <c r="H7" s="2540"/>
      <c r="I7" s="2540"/>
      <c r="J7" s="2540"/>
      <c r="K7" s="2540"/>
      <c r="L7" s="2541"/>
      <c r="M7" s="2489" t="s">
        <v>453</v>
      </c>
    </row>
    <row r="8" spans="1:14" ht="15" customHeight="1" thickBot="1">
      <c r="A8" s="2480"/>
      <c r="B8" s="2557"/>
      <c r="C8" s="2572" t="s">
        <v>199</v>
      </c>
      <c r="D8" s="2567" t="s">
        <v>200</v>
      </c>
      <c r="E8" s="2567" t="s">
        <v>198</v>
      </c>
      <c r="F8" s="2567"/>
      <c r="G8" s="2567"/>
      <c r="H8" s="2568"/>
      <c r="I8" s="2566" t="s">
        <v>1212</v>
      </c>
      <c r="J8" s="2418" t="s">
        <v>1213</v>
      </c>
      <c r="K8" s="2400"/>
      <c r="L8" s="1568"/>
      <c r="M8" s="2423"/>
    </row>
    <row r="9" spans="1:14" ht="32.25" customHeight="1" thickBot="1">
      <c r="A9" s="2569"/>
      <c r="B9" s="2570"/>
      <c r="C9" s="2573"/>
      <c r="D9" s="2571"/>
      <c r="E9" s="696" t="s">
        <v>201</v>
      </c>
      <c r="F9" s="696" t="s">
        <v>203</v>
      </c>
      <c r="G9" s="1312" t="s">
        <v>250</v>
      </c>
      <c r="H9" s="1593" t="s">
        <v>202</v>
      </c>
      <c r="I9" s="2566"/>
      <c r="J9" s="1594" t="s">
        <v>201</v>
      </c>
      <c r="K9" s="1593" t="s">
        <v>202</v>
      </c>
      <c r="L9" s="1587" t="s">
        <v>341</v>
      </c>
      <c r="M9" s="2401"/>
    </row>
    <row r="10" spans="1:14" ht="64.5" customHeight="1" thickBot="1">
      <c r="A10" s="497">
        <v>3203039</v>
      </c>
      <c r="B10" s="1347" t="s">
        <v>39</v>
      </c>
      <c r="C10" s="1353" t="s">
        <v>214</v>
      </c>
      <c r="D10" s="1354">
        <v>100</v>
      </c>
      <c r="E10" s="1355">
        <f t="shared" ref="E10:J10" si="0">+SUM(E11:E12)</f>
        <v>112607339.82000001</v>
      </c>
      <c r="F10" s="1355">
        <f t="shared" si="0"/>
        <v>284622237</v>
      </c>
      <c r="G10" s="1355">
        <f t="shared" si="0"/>
        <v>0</v>
      </c>
      <c r="H10" s="1808">
        <f t="shared" si="0"/>
        <v>1057483237</v>
      </c>
      <c r="I10" s="1807">
        <f t="shared" si="0"/>
        <v>1454712813.8199999</v>
      </c>
      <c r="J10" s="1809">
        <f t="shared" si="0"/>
        <v>0</v>
      </c>
      <c r="K10" s="1808">
        <f t="shared" ref="K10:L10" si="1">+SUM(K11:K12)</f>
        <v>0</v>
      </c>
      <c r="L10" s="1807">
        <f t="shared" si="1"/>
        <v>0</v>
      </c>
      <c r="M10" s="1792">
        <f>+SUM(M11:M12)</f>
        <v>1454712813.8199999</v>
      </c>
    </row>
    <row r="11" spans="1:14" s="813" customFormat="1" ht="64.5" customHeight="1">
      <c r="A11" s="1341"/>
      <c r="B11" s="1348" t="s">
        <v>292</v>
      </c>
      <c r="C11" s="1356" t="s">
        <v>210</v>
      </c>
      <c r="D11" s="42">
        <v>2</v>
      </c>
      <c r="E11" s="1344">
        <f>+'ACCIONES 320301'!J11</f>
        <v>112607339.82000001</v>
      </c>
      <c r="F11" s="1344">
        <f>+'ACCIONES 320301'!K11</f>
        <v>0</v>
      </c>
      <c r="G11" s="1344">
        <f>+'ACCIONES 320301'!L11</f>
        <v>0</v>
      </c>
      <c r="H11" s="1344">
        <f>+'ACCIONES 320301'!M11</f>
        <v>1057483237</v>
      </c>
      <c r="I11" s="1798">
        <f>+'ACCIONES 320301'!N11</f>
        <v>1170090576.8199999</v>
      </c>
      <c r="J11" s="1800">
        <f>+'ACCIONES 320301'!O11</f>
        <v>0</v>
      </c>
      <c r="K11" s="1344">
        <f>+'ACCIONES 320301'!P11</f>
        <v>0</v>
      </c>
      <c r="L11" s="1798">
        <f>+SUM(J11:K11)</f>
        <v>0</v>
      </c>
      <c r="M11" s="1793">
        <f>+L11+I11</f>
        <v>1170090576.8199999</v>
      </c>
    </row>
    <row r="12" spans="1:14" ht="26.25" customHeight="1" thickBot="1">
      <c r="B12" s="1349" t="s">
        <v>660</v>
      </c>
      <c r="C12" s="1356" t="s">
        <v>772</v>
      </c>
      <c r="D12" s="42">
        <v>1</v>
      </c>
      <c r="E12" s="1344">
        <f>+'ACCIONES 320301'!J16</f>
        <v>0</v>
      </c>
      <c r="F12" s="1344">
        <f>+'ACCIONES 320301'!K16</f>
        <v>284622237</v>
      </c>
      <c r="G12" s="1344">
        <f>+'ACCIONES 320301'!L16</f>
        <v>0</v>
      </c>
      <c r="H12" s="1344">
        <f>+'ACCIONES 320301'!M16</f>
        <v>0</v>
      </c>
      <c r="I12" s="1798">
        <f>+'ACCIONES 320301'!N16</f>
        <v>284622237</v>
      </c>
      <c r="J12" s="1800">
        <f>+'ACCIONES 320301'!O16</f>
        <v>0</v>
      </c>
      <c r="K12" s="1344">
        <f>+'ACCIONES 320301'!P16</f>
        <v>0</v>
      </c>
      <c r="L12" s="1798">
        <f>+SUM(J12:K12)</f>
        <v>0</v>
      </c>
      <c r="M12" s="1793">
        <f>+L12+I12</f>
        <v>284622237</v>
      </c>
    </row>
    <row r="13" spans="1:14" ht="64.5" customHeight="1" thickBot="1">
      <c r="A13" s="497">
        <v>3203047</v>
      </c>
      <c r="B13" s="1350" t="s">
        <v>40</v>
      </c>
      <c r="C13" s="1357" t="s">
        <v>214</v>
      </c>
      <c r="D13" s="41">
        <v>100</v>
      </c>
      <c r="E13" s="1343">
        <f t="shared" ref="E13:J13" si="2">+SUM(E14)</f>
        <v>3186523268.5999999</v>
      </c>
      <c r="F13" s="1343">
        <f t="shared" si="2"/>
        <v>36729606</v>
      </c>
      <c r="G13" s="1343">
        <f t="shared" si="2"/>
        <v>0</v>
      </c>
      <c r="H13" s="1343">
        <f t="shared" si="2"/>
        <v>1593367979</v>
      </c>
      <c r="I13" s="1804">
        <f t="shared" si="2"/>
        <v>4816620853.5999994</v>
      </c>
      <c r="J13" s="1799">
        <f t="shared" si="2"/>
        <v>14999999.816000002</v>
      </c>
      <c r="K13" s="1343">
        <f t="shared" ref="K13:L13" si="3">+SUM(K14)</f>
        <v>1062275855.646857</v>
      </c>
      <c r="L13" s="1797">
        <f t="shared" si="3"/>
        <v>1077275855.462857</v>
      </c>
      <c r="M13" s="1794">
        <f>+SUM(M14)</f>
        <v>5893896709.0628567</v>
      </c>
    </row>
    <row r="14" spans="1:14" s="68" customFormat="1" ht="66" customHeight="1" thickBot="1">
      <c r="B14" s="1351" t="s">
        <v>440</v>
      </c>
      <c r="C14" s="1356" t="s">
        <v>214</v>
      </c>
      <c r="D14" s="42">
        <v>100</v>
      </c>
      <c r="E14" s="1345">
        <f>+'ACCIONES 320301'!J18</f>
        <v>3186523268.5999999</v>
      </c>
      <c r="F14" s="1345">
        <f>+'ACCIONES 320301'!K18</f>
        <v>36729606</v>
      </c>
      <c r="G14" s="1345">
        <f>+'ACCIONES 320301'!L18</f>
        <v>0</v>
      </c>
      <c r="H14" s="1345">
        <f>+'ACCIONES 320301'!M18</f>
        <v>1593367979</v>
      </c>
      <c r="I14" s="1805">
        <f>+'ACCIONES 320301'!N18</f>
        <v>4816620853.5999994</v>
      </c>
      <c r="J14" s="1801">
        <f>+'ACCIONES 320301'!O18</f>
        <v>14999999.816000002</v>
      </c>
      <c r="K14" s="1345">
        <f>+'ACCIONES 320301'!P18</f>
        <v>1062275855.646857</v>
      </c>
      <c r="L14" s="1798">
        <f>+SUM(J14:K14)</f>
        <v>1077275855.462857</v>
      </c>
      <c r="M14" s="1793">
        <f>+L14+I14</f>
        <v>5893896709.0628567</v>
      </c>
      <c r="N14"/>
    </row>
    <row r="15" spans="1:14" ht="110.25" customHeight="1" thickBot="1">
      <c r="A15" s="498">
        <v>3203047</v>
      </c>
      <c r="B15" s="498" t="s">
        <v>293</v>
      </c>
      <c r="C15" s="1358" t="s">
        <v>210</v>
      </c>
      <c r="D15" s="1346">
        <v>1</v>
      </c>
      <c r="E15" s="45">
        <f t="shared" ref="E15:J15" si="4">+E16</f>
        <v>0</v>
      </c>
      <c r="F15" s="45">
        <f t="shared" si="4"/>
        <v>0</v>
      </c>
      <c r="G15" s="45">
        <f t="shared" si="4"/>
        <v>2124435842</v>
      </c>
      <c r="H15" s="45">
        <f t="shared" si="4"/>
        <v>0</v>
      </c>
      <c r="I15" s="119">
        <f t="shared" si="4"/>
        <v>2124435842</v>
      </c>
      <c r="J15" s="1802">
        <f t="shared" si="4"/>
        <v>0</v>
      </c>
      <c r="K15" s="45">
        <f t="shared" ref="K15:L15" si="5">+K16</f>
        <v>0</v>
      </c>
      <c r="L15" s="119">
        <f t="shared" si="5"/>
        <v>0</v>
      </c>
      <c r="M15" s="1795">
        <f>+M16</f>
        <v>2124435842</v>
      </c>
    </row>
    <row r="16" spans="1:14" ht="27" customHeight="1" thickBot="1">
      <c r="B16" s="1352" t="s">
        <v>454</v>
      </c>
      <c r="C16" s="1359"/>
      <c r="D16" s="1342"/>
      <c r="E16" s="1333">
        <f>+'ACCIONES 320301'!J62</f>
        <v>0</v>
      </c>
      <c r="F16" s="1333">
        <f>+'ACCIONES 320301'!K62</f>
        <v>0</v>
      </c>
      <c r="G16" s="1333">
        <f>+'ACCIONES 320301'!L62</f>
        <v>2124435842</v>
      </c>
      <c r="H16" s="1796">
        <f>+'ACCIONES 320301'!M62</f>
        <v>0</v>
      </c>
      <c r="I16" s="1806">
        <f>+'ACCIONES 320301'!N62</f>
        <v>2124435842</v>
      </c>
      <c r="J16" s="1803">
        <f>+'ACCIONES 320301'!O62</f>
        <v>0</v>
      </c>
      <c r="K16" s="1796">
        <f>+'ACCIONES 320301'!P62</f>
        <v>0</v>
      </c>
      <c r="L16" s="1798">
        <f>+SUM(J16:K16)</f>
        <v>0</v>
      </c>
      <c r="M16" s="1793">
        <f>+L16+I16</f>
        <v>2124435842</v>
      </c>
    </row>
    <row r="17" spans="2:13" ht="24" customHeight="1" thickBot="1">
      <c r="B17" s="2436" t="s">
        <v>270</v>
      </c>
      <c r="C17" s="2437"/>
      <c r="D17" s="2565"/>
      <c r="E17" s="753">
        <f>+E15+E13+E10</f>
        <v>3299130608.4200001</v>
      </c>
      <c r="F17" s="753">
        <f>+F15+F13+F10</f>
        <v>321351843</v>
      </c>
      <c r="G17" s="753">
        <f>+G15+G13+G10</f>
        <v>2124435842</v>
      </c>
      <c r="H17" s="1322">
        <f>+H15+H13+H10</f>
        <v>2650851216</v>
      </c>
      <c r="I17" s="1360">
        <f>+I10+I13+I15</f>
        <v>8395769509.4199991</v>
      </c>
      <c r="J17" s="1360">
        <f t="shared" ref="J17:M17" si="6">+J10+J13+J15</f>
        <v>14999999.816000002</v>
      </c>
      <c r="K17" s="1360">
        <f t="shared" si="6"/>
        <v>1062275855.646857</v>
      </c>
      <c r="L17" s="1360">
        <f t="shared" si="6"/>
        <v>1077275855.462857</v>
      </c>
      <c r="M17" s="1360">
        <f t="shared" si="6"/>
        <v>9473045364.8828564</v>
      </c>
    </row>
    <row r="19" spans="2:13" ht="15.75" thickBot="1"/>
    <row r="20" spans="2:13" ht="15.75" thickBot="1">
      <c r="E20" s="559">
        <v>3299130608</v>
      </c>
      <c r="F20" s="559">
        <v>321351843</v>
      </c>
      <c r="G20" s="559">
        <f>2155298058-30862216</f>
        <v>2124435842</v>
      </c>
      <c r="H20" s="559">
        <v>2650851216</v>
      </c>
      <c r="I20" s="901">
        <f>8426631725-30862216</f>
        <v>8395769509</v>
      </c>
      <c r="J20" s="559">
        <v>15000000</v>
      </c>
      <c r="K20" s="559">
        <v>1062275855.646857</v>
      </c>
      <c r="L20" s="901">
        <v>1077275856</v>
      </c>
      <c r="M20" s="901">
        <f>9503907581-30862216</f>
        <v>9473045365</v>
      </c>
    </row>
    <row r="22" spans="2:13">
      <c r="E22" s="47">
        <f>+E20-E17</f>
        <v>-0.42000007629394531</v>
      </c>
      <c r="F22" s="47">
        <f>+F20-F17</f>
        <v>0</v>
      </c>
      <c r="G22" s="47">
        <f>+G20-G17</f>
        <v>0</v>
      </c>
      <c r="H22" s="47">
        <f>+H20-H17</f>
        <v>0</v>
      </c>
      <c r="I22" s="47">
        <f>+I20-I17</f>
        <v>-0.41999912261962891</v>
      </c>
      <c r="J22" s="47">
        <f t="shared" ref="J22:M22" si="7">+J20-J17</f>
        <v>0.18399999849498272</v>
      </c>
      <c r="K22" s="47">
        <f t="shared" si="7"/>
        <v>0</v>
      </c>
      <c r="L22" s="47">
        <f t="shared" si="7"/>
        <v>0.53714299201965332</v>
      </c>
      <c r="M22" s="47">
        <f t="shared" si="7"/>
        <v>0.11714363098144531</v>
      </c>
    </row>
  </sheetData>
  <mergeCells count="17">
    <mergeCell ref="J8:K8"/>
    <mergeCell ref="M7:M9"/>
    <mergeCell ref="C7:L7"/>
    <mergeCell ref="B1:B3"/>
    <mergeCell ref="L1:M1"/>
    <mergeCell ref="L2:M2"/>
    <mergeCell ref="L3:M3"/>
    <mergeCell ref="B5:M5"/>
    <mergeCell ref="B6:M6"/>
    <mergeCell ref="C1:K3"/>
    <mergeCell ref="B17:D17"/>
    <mergeCell ref="I8:I9"/>
    <mergeCell ref="E8:H8"/>
    <mergeCell ref="A7:A9"/>
    <mergeCell ref="B7:B9"/>
    <mergeCell ref="D8:D9"/>
    <mergeCell ref="C8:C9"/>
  </mergeCells>
  <pageMargins left="0.7" right="0.7" top="0.75" bottom="0.75" header="0.3" footer="0.3"/>
  <pageSetup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theme="7" tint="0.59999389629810485"/>
  </sheetPr>
  <dimension ref="A1:AB71"/>
  <sheetViews>
    <sheetView workbookViewId="0"/>
  </sheetViews>
  <sheetFormatPr baseColWidth="10" defaultRowHeight="15"/>
  <cols>
    <col min="1" max="1" width="6.5703125" customWidth="1"/>
    <col min="2" max="2" width="7.42578125" customWidth="1"/>
    <col min="3" max="3" width="35.28515625" customWidth="1"/>
    <col min="4" max="4" width="20.5703125" style="362" customWidth="1"/>
    <col min="5" max="8" width="9.42578125" style="362" customWidth="1"/>
    <col min="9" max="9" width="11.5703125" style="362" customWidth="1"/>
    <col min="10" max="10" width="17.42578125" style="362" customWidth="1"/>
    <col min="11" max="11" width="14.85546875" style="362" customWidth="1"/>
    <col min="12" max="12" width="15.7109375" style="362" customWidth="1"/>
    <col min="13" max="13" width="15.85546875" style="362" customWidth="1"/>
    <col min="14" max="14" width="21.5703125" customWidth="1"/>
    <col min="15" max="15" width="13.85546875" customWidth="1"/>
    <col min="16" max="16" width="15.7109375" customWidth="1"/>
    <col min="17" max="17" width="16.5703125" customWidth="1"/>
    <col min="18" max="18" width="20" customWidth="1"/>
    <col min="19" max="19" width="16.42578125" customWidth="1"/>
    <col min="20" max="20" width="20.140625" customWidth="1"/>
    <col min="21" max="21" width="18.85546875" customWidth="1"/>
    <col min="24" max="24" width="17.7109375" bestFit="1" customWidth="1"/>
    <col min="25" max="25" width="20.140625" customWidth="1"/>
  </cols>
  <sheetData>
    <row r="1" spans="1:19" s="1" customFormat="1" ht="23.25" customHeight="1">
      <c r="C1" s="2405"/>
      <c r="D1" s="2430" t="s">
        <v>542</v>
      </c>
      <c r="E1" s="2431"/>
      <c r="F1" s="2431"/>
      <c r="G1" s="2431"/>
      <c r="H1" s="2431"/>
      <c r="I1" s="2431"/>
      <c r="J1" s="2431"/>
      <c r="K1" s="2431"/>
      <c r="L1" s="2431"/>
      <c r="M1" s="2431"/>
      <c r="N1" s="2431"/>
      <c r="O1" s="2431"/>
      <c r="P1" s="2432"/>
      <c r="Q1" s="2495" t="s">
        <v>539</v>
      </c>
      <c r="R1" s="2496"/>
      <c r="S1"/>
    </row>
    <row r="2" spans="1:19" s="1" customFormat="1" ht="23.25" customHeight="1">
      <c r="C2" s="2406"/>
      <c r="D2" s="2433"/>
      <c r="E2" s="2434"/>
      <c r="F2" s="2434"/>
      <c r="G2" s="2434"/>
      <c r="H2" s="2434"/>
      <c r="I2" s="2434"/>
      <c r="J2" s="2434"/>
      <c r="K2" s="2434"/>
      <c r="L2" s="2434"/>
      <c r="M2" s="2434"/>
      <c r="N2" s="2434"/>
      <c r="O2" s="2434"/>
      <c r="P2" s="2435"/>
      <c r="Q2" s="2497" t="s">
        <v>540</v>
      </c>
      <c r="R2" s="2498"/>
      <c r="S2"/>
    </row>
    <row r="3" spans="1:19" s="1" customFormat="1" ht="23.25" customHeight="1" thickBot="1">
      <c r="C3" s="2407"/>
      <c r="D3" s="2436"/>
      <c r="E3" s="2437"/>
      <c r="F3" s="2437"/>
      <c r="G3" s="2437"/>
      <c r="H3" s="2437"/>
      <c r="I3" s="2437"/>
      <c r="J3" s="2437"/>
      <c r="K3" s="2437"/>
      <c r="L3" s="2437"/>
      <c r="M3" s="2437"/>
      <c r="N3" s="2437"/>
      <c r="O3" s="2437"/>
      <c r="P3" s="2438"/>
      <c r="Q3" s="2499" t="s">
        <v>541</v>
      </c>
      <c r="R3" s="2500"/>
      <c r="S3"/>
    </row>
    <row r="4" spans="1:19" s="1" customFormat="1" ht="13.5" customHeight="1" thickBot="1">
      <c r="S4"/>
    </row>
    <row r="5" spans="1:19" s="1" customFormat="1" ht="24.75" customHeight="1" thickBot="1">
      <c r="C5" s="2528" t="s">
        <v>184</v>
      </c>
      <c r="D5" s="2529"/>
      <c r="E5" s="2529"/>
      <c r="F5" s="2529"/>
      <c r="G5" s="2529"/>
      <c r="H5" s="2529"/>
      <c r="I5" s="2529"/>
      <c r="J5" s="2529"/>
      <c r="K5" s="2529"/>
      <c r="L5" s="2529"/>
      <c r="M5" s="2529"/>
      <c r="N5" s="2529"/>
      <c r="O5" s="2529"/>
      <c r="P5" s="2529"/>
      <c r="Q5" s="2529"/>
      <c r="R5" s="2530"/>
      <c r="S5"/>
    </row>
    <row r="6" spans="1:19" ht="15.75" thickBot="1">
      <c r="C6" s="2585" t="s">
        <v>504</v>
      </c>
      <c r="D6" s="2586"/>
      <c r="E6" s="2586"/>
      <c r="F6" s="2586"/>
      <c r="G6" s="2586"/>
      <c r="H6" s="2586"/>
      <c r="I6" s="2586"/>
      <c r="J6" s="2586"/>
      <c r="K6" s="2586"/>
      <c r="L6" s="2586"/>
      <c r="M6" s="2586"/>
      <c r="N6" s="2586"/>
      <c r="O6" s="2586"/>
      <c r="P6" s="2586"/>
      <c r="Q6" s="2586"/>
      <c r="R6" s="2586"/>
    </row>
    <row r="7" spans="1:19" ht="20.25" customHeight="1" thickBot="1">
      <c r="A7" s="2466" t="s">
        <v>543</v>
      </c>
      <c r="B7" s="2474" t="s">
        <v>544</v>
      </c>
      <c r="C7" s="2397" t="s">
        <v>435</v>
      </c>
      <c r="D7" s="2397" t="s">
        <v>436</v>
      </c>
      <c r="E7" s="2397" t="s">
        <v>230</v>
      </c>
      <c r="F7" s="2397" t="s">
        <v>497</v>
      </c>
      <c r="G7" s="2397" t="s">
        <v>437</v>
      </c>
      <c r="H7" s="2397" t="s">
        <v>200</v>
      </c>
      <c r="I7" s="2397" t="s">
        <v>576</v>
      </c>
      <c r="J7" s="2567" t="s">
        <v>201</v>
      </c>
      <c r="K7" s="2567" t="s">
        <v>203</v>
      </c>
      <c r="L7" s="2567" t="s">
        <v>250</v>
      </c>
      <c r="M7" s="2567" t="s">
        <v>202</v>
      </c>
      <c r="N7" s="2397" t="s">
        <v>341</v>
      </c>
      <c r="O7" s="2418" t="s">
        <v>1213</v>
      </c>
      <c r="P7" s="2400"/>
      <c r="Q7" s="2397" t="s">
        <v>341</v>
      </c>
      <c r="R7" s="2397" t="s">
        <v>453</v>
      </c>
    </row>
    <row r="8" spans="1:19" ht="15" customHeight="1" thickBot="1">
      <c r="A8" s="2466"/>
      <c r="B8" s="2474"/>
      <c r="C8" s="2397"/>
      <c r="D8" s="2397"/>
      <c r="E8" s="2397"/>
      <c r="F8" s="2397"/>
      <c r="G8" s="2397"/>
      <c r="H8" s="2397"/>
      <c r="I8" s="2397"/>
      <c r="J8" s="2567"/>
      <c r="K8" s="2567"/>
      <c r="L8" s="2567"/>
      <c r="M8" s="2567"/>
      <c r="N8" s="2398"/>
      <c r="O8" s="2571" t="s">
        <v>201</v>
      </c>
      <c r="P8" s="2571" t="s">
        <v>202</v>
      </c>
      <c r="Q8" s="2397"/>
      <c r="R8" s="2397"/>
    </row>
    <row r="9" spans="1:19" ht="18.75" customHeight="1" thickBot="1">
      <c r="A9" s="2466"/>
      <c r="B9" s="2474"/>
      <c r="C9" s="2489"/>
      <c r="D9" s="2489"/>
      <c r="E9" s="2489"/>
      <c r="F9" s="2489"/>
      <c r="G9" s="2489"/>
      <c r="H9" s="2489"/>
      <c r="I9" s="2489"/>
      <c r="J9" s="2571"/>
      <c r="K9" s="2571"/>
      <c r="L9" s="2571"/>
      <c r="M9" s="2571"/>
      <c r="N9" s="2418"/>
      <c r="O9" s="2587"/>
      <c r="P9" s="2587"/>
      <c r="Q9" s="2397"/>
      <c r="R9" s="2397"/>
    </row>
    <row r="10" spans="1:19" ht="92.25" customHeight="1" thickBot="1">
      <c r="A10" s="1306">
        <v>135</v>
      </c>
      <c r="B10" s="1425"/>
      <c r="C10" s="495" t="s">
        <v>39</v>
      </c>
      <c r="D10" s="703"/>
      <c r="E10" s="703"/>
      <c r="F10" s="703"/>
      <c r="G10" s="496" t="s">
        <v>214</v>
      </c>
      <c r="H10" s="496">
        <v>100</v>
      </c>
      <c r="I10" s="704"/>
      <c r="J10" s="704">
        <f>+J11+J16</f>
        <v>112607339.82000001</v>
      </c>
      <c r="K10" s="704">
        <f>+K11+K15</f>
        <v>284622237</v>
      </c>
      <c r="L10" s="704">
        <f>+L11+L15</f>
        <v>0</v>
      </c>
      <c r="M10" s="704">
        <f>+M11+M15</f>
        <v>1057483237</v>
      </c>
      <c r="N10" s="704">
        <f>+N11+N15</f>
        <v>1454712813.8199999</v>
      </c>
      <c r="O10" s="1810">
        <f>+O11+O15</f>
        <v>0</v>
      </c>
      <c r="P10" s="704">
        <f>+P11+P16</f>
        <v>0</v>
      </c>
      <c r="Q10" s="704">
        <f>+Q11+Q15</f>
        <v>0</v>
      </c>
      <c r="R10" s="1812">
        <f>+Q10+N10</f>
        <v>1454712813.8199999</v>
      </c>
      <c r="S10" s="1623"/>
    </row>
    <row r="11" spans="1:19" ht="25.5">
      <c r="A11" s="1306"/>
      <c r="B11" s="1425" t="s">
        <v>1069</v>
      </c>
      <c r="C11" s="627" t="s">
        <v>292</v>
      </c>
      <c r="D11" s="629"/>
      <c r="E11" s="629"/>
      <c r="F11" s="629"/>
      <c r="G11" s="629" t="s">
        <v>210</v>
      </c>
      <c r="H11" s="629">
        <v>2</v>
      </c>
      <c r="I11" s="700"/>
      <c r="J11" s="700">
        <f t="shared" ref="J11:P11" si="0">SUM(J12:J14)</f>
        <v>112607339.82000001</v>
      </c>
      <c r="K11" s="700">
        <f t="shared" si="0"/>
        <v>0</v>
      </c>
      <c r="L11" s="700">
        <f t="shared" si="0"/>
        <v>0</v>
      </c>
      <c r="M11" s="700">
        <f t="shared" si="0"/>
        <v>1057483237</v>
      </c>
      <c r="N11" s="701">
        <f t="shared" si="0"/>
        <v>1170090576.8199999</v>
      </c>
      <c r="O11" s="700">
        <f t="shared" si="0"/>
        <v>0</v>
      </c>
      <c r="P11" s="700">
        <f t="shared" si="0"/>
        <v>0</v>
      </c>
      <c r="Q11" s="701">
        <f>+SUM(O11:P11)</f>
        <v>0</v>
      </c>
      <c r="R11" s="701">
        <f>SUM(R12:R14)</f>
        <v>1170090576.8199999</v>
      </c>
    </row>
    <row r="12" spans="1:19" s="813" customFormat="1" ht="25.5">
      <c r="B12" s="1433"/>
      <c r="C12" s="567" t="s">
        <v>752</v>
      </c>
      <c r="D12" s="567" t="s">
        <v>235</v>
      </c>
      <c r="E12" s="810">
        <v>7490</v>
      </c>
      <c r="F12" s="810">
        <v>83931</v>
      </c>
      <c r="G12" s="811" t="s">
        <v>210</v>
      </c>
      <c r="H12" s="811">
        <v>1</v>
      </c>
      <c r="I12" s="273">
        <v>1057483237</v>
      </c>
      <c r="J12" s="273"/>
      <c r="K12" s="273"/>
      <c r="L12" s="273"/>
      <c r="M12" s="273">
        <v>1057483237</v>
      </c>
      <c r="N12" s="259">
        <f>SUM(J12:M12)</f>
        <v>1057483237</v>
      </c>
      <c r="O12" s="273"/>
      <c r="P12" s="273"/>
      <c r="Q12" s="259">
        <f>+SUM(O12:P12)</f>
        <v>0</v>
      </c>
      <c r="R12" s="259">
        <f>+SUM(Q12+N12)</f>
        <v>1057483237</v>
      </c>
      <c r="S12"/>
    </row>
    <row r="13" spans="1:19" s="813" customFormat="1" ht="25.5">
      <c r="B13" s="1433"/>
      <c r="C13" s="567" t="s">
        <v>753</v>
      </c>
      <c r="D13" s="567" t="s">
        <v>235</v>
      </c>
      <c r="E13" s="810">
        <v>7490</v>
      </c>
      <c r="F13" s="810">
        <v>83931</v>
      </c>
      <c r="G13" s="811" t="s">
        <v>210</v>
      </c>
      <c r="H13" s="811">
        <v>1</v>
      </c>
      <c r="I13" s="273"/>
      <c r="J13" s="273">
        <v>112607339.82000001</v>
      </c>
      <c r="K13" s="273"/>
      <c r="L13" s="273"/>
      <c r="M13" s="273"/>
      <c r="N13" s="259">
        <f>SUM(J13:M13)</f>
        <v>112607339.82000001</v>
      </c>
      <c r="O13" s="273"/>
      <c r="P13" s="273"/>
      <c r="Q13" s="259">
        <f t="shared" ref="Q13:Q14" si="1">+SUM(O13:P13)</f>
        <v>0</v>
      </c>
      <c r="R13" s="259">
        <f t="shared" ref="R13:R14" si="2">+SUM(Q13+N13)</f>
        <v>112607339.82000001</v>
      </c>
      <c r="S13"/>
    </row>
    <row r="14" spans="1:19" s="812" customFormat="1" ht="25.5">
      <c r="B14" s="1423"/>
      <c r="C14" s="567" t="s">
        <v>754</v>
      </c>
      <c r="D14" s="810" t="s">
        <v>235</v>
      </c>
      <c r="E14" s="810">
        <v>7490</v>
      </c>
      <c r="F14" s="810">
        <v>83931</v>
      </c>
      <c r="G14" s="811" t="s">
        <v>755</v>
      </c>
      <c r="H14" s="811">
        <v>11</v>
      </c>
      <c r="I14" s="273">
        <v>94432800</v>
      </c>
      <c r="J14" s="273">
        <f>12428996-12428996</f>
        <v>0</v>
      </c>
      <c r="K14" s="273"/>
      <c r="L14" s="273"/>
      <c r="M14" s="273"/>
      <c r="N14" s="259">
        <f>SUM(J14:M14)</f>
        <v>0</v>
      </c>
      <c r="O14" s="273"/>
      <c r="P14" s="273">
        <f>34805577-34805577</f>
        <v>0</v>
      </c>
      <c r="Q14" s="259">
        <f t="shared" si="1"/>
        <v>0</v>
      </c>
      <c r="R14" s="259">
        <f t="shared" si="2"/>
        <v>0</v>
      </c>
      <c r="S14"/>
    </row>
    <row r="15" spans="1:19" s="812" customFormat="1" ht="34.5" customHeight="1">
      <c r="A15" s="1306"/>
      <c r="B15" s="1425" t="s">
        <v>1070</v>
      </c>
      <c r="C15" s="171" t="s">
        <v>660</v>
      </c>
      <c r="D15" s="171"/>
      <c r="E15" s="171"/>
      <c r="F15" s="171"/>
      <c r="G15" s="171"/>
      <c r="H15" s="171">
        <v>1</v>
      </c>
      <c r="I15" s="171"/>
      <c r="J15" s="171"/>
      <c r="K15" s="1336">
        <f>+SUM(K16)</f>
        <v>284622237</v>
      </c>
      <c r="L15" s="1336">
        <f>+SUM(L16)</f>
        <v>0</v>
      </c>
      <c r="M15" s="1336">
        <f>+SUM(M16)</f>
        <v>0</v>
      </c>
      <c r="N15" s="1811">
        <f>+SUM(N16)</f>
        <v>284622237</v>
      </c>
      <c r="O15" s="2152">
        <f>+O16</f>
        <v>0</v>
      </c>
      <c r="P15" s="2152">
        <f>+P16</f>
        <v>0</v>
      </c>
      <c r="Q15" s="701">
        <f>+Q16</f>
        <v>0</v>
      </c>
      <c r="R15" s="1811">
        <f>+Q15+N15</f>
        <v>284622237</v>
      </c>
      <c r="S15" s="1623"/>
    </row>
    <row r="16" spans="1:19" s="1" customFormat="1" ht="15.75" thickBot="1">
      <c r="A16"/>
      <c r="B16" s="1434"/>
      <c r="C16" s="491" t="s">
        <v>227</v>
      </c>
      <c r="D16" s="699"/>
      <c r="E16" s="699"/>
      <c r="F16" s="699"/>
      <c r="G16" s="289"/>
      <c r="H16" s="289"/>
      <c r="I16" s="698"/>
      <c r="J16" s="698"/>
      <c r="K16" s="698">
        <v>284622237</v>
      </c>
      <c r="L16" s="698"/>
      <c r="M16" s="698"/>
      <c r="N16" s="697">
        <f>+SUM(J16:M16)</f>
        <v>284622237</v>
      </c>
      <c r="O16" s="698"/>
      <c r="P16" s="698"/>
      <c r="Q16" s="697"/>
      <c r="R16" s="697">
        <f>+Q16+N16</f>
        <v>284622237</v>
      </c>
      <c r="S16"/>
    </row>
    <row r="17" spans="1:28" s="1" customFormat="1" ht="64.5" thickBot="1">
      <c r="A17" s="1306">
        <v>136</v>
      </c>
      <c r="B17" s="1425"/>
      <c r="C17" s="495" t="s">
        <v>40</v>
      </c>
      <c r="D17" s="703"/>
      <c r="E17" s="703"/>
      <c r="F17" s="703"/>
      <c r="G17" s="703" t="s">
        <v>214</v>
      </c>
      <c r="H17" s="703">
        <v>100</v>
      </c>
      <c r="I17" s="707"/>
      <c r="J17" s="706">
        <f>SUM(J18)</f>
        <v>3186523268.5999999</v>
      </c>
      <c r="K17" s="706">
        <f>SUM(K18)</f>
        <v>36729606</v>
      </c>
      <c r="L17" s="706">
        <f>SUM(L18)</f>
        <v>0</v>
      </c>
      <c r="M17" s="706">
        <f>SUM(M18)</f>
        <v>1593367979</v>
      </c>
      <c r="N17" s="705">
        <f>+N18</f>
        <v>4816620853.5999994</v>
      </c>
      <c r="O17" s="706">
        <f>SUM(O18)</f>
        <v>14999999.816000002</v>
      </c>
      <c r="P17" s="706">
        <f>SUM(P18)</f>
        <v>1062275855.646857</v>
      </c>
      <c r="Q17" s="1813">
        <f>+Q18</f>
        <v>1077275855.4628572</v>
      </c>
      <c r="R17" s="1816">
        <f>+R18</f>
        <v>5893896709.0628557</v>
      </c>
      <c r="S17"/>
    </row>
    <row r="18" spans="1:28" ht="63.75" customHeight="1">
      <c r="A18" s="1306"/>
      <c r="B18" s="1425" t="s">
        <v>1071</v>
      </c>
      <c r="C18" s="627" t="s">
        <v>440</v>
      </c>
      <c r="D18" s="629"/>
      <c r="E18" s="629"/>
      <c r="F18" s="629"/>
      <c r="G18" s="629" t="s">
        <v>214</v>
      </c>
      <c r="H18" s="629">
        <v>100</v>
      </c>
      <c r="I18" s="702"/>
      <c r="J18" s="700">
        <f t="shared" ref="J18:R18" si="3">SUM(J19:J60)</f>
        <v>3186523268.5999999</v>
      </c>
      <c r="K18" s="700">
        <f t="shared" si="3"/>
        <v>36729606</v>
      </c>
      <c r="L18" s="700">
        <f t="shared" si="3"/>
        <v>0</v>
      </c>
      <c r="M18" s="700">
        <f t="shared" si="3"/>
        <v>1593367979</v>
      </c>
      <c r="N18" s="700">
        <f t="shared" si="3"/>
        <v>4816620853.5999994</v>
      </c>
      <c r="O18" s="1776">
        <f t="shared" si="3"/>
        <v>14999999.816000002</v>
      </c>
      <c r="P18" s="700">
        <f t="shared" si="3"/>
        <v>1062275855.646857</v>
      </c>
      <c r="Q18" s="700">
        <f t="shared" si="3"/>
        <v>1077275855.4628572</v>
      </c>
      <c r="R18" s="1063">
        <f t="shared" si="3"/>
        <v>5893896709.0628557</v>
      </c>
    </row>
    <row r="19" spans="1:28" s="68" customFormat="1" ht="50.25" customHeight="1">
      <c r="A19" s="813"/>
      <c r="B19" s="1433"/>
      <c r="C19" s="567" t="s">
        <v>756</v>
      </c>
      <c r="D19" s="2213" t="s">
        <v>235</v>
      </c>
      <c r="E19" s="2213" t="s">
        <v>757</v>
      </c>
      <c r="F19" s="2213"/>
      <c r="G19" s="2213"/>
      <c r="H19" s="2213"/>
      <c r="I19" s="273">
        <v>3846750000</v>
      </c>
      <c r="J19" s="273">
        <v>2306813820</v>
      </c>
      <c r="K19" s="273"/>
      <c r="L19" s="273"/>
      <c r="M19" s="273">
        <v>1588906980</v>
      </c>
      <c r="N19" s="259">
        <f>SUM(J19:M19)</f>
        <v>3895720800</v>
      </c>
      <c r="O19" s="273"/>
      <c r="P19" s="273"/>
      <c r="Q19" s="1483">
        <f>+SUM(O19:P19)</f>
        <v>0</v>
      </c>
      <c r="R19" s="1817">
        <f>+Q19+N19</f>
        <v>3895720800</v>
      </c>
      <c r="S19"/>
      <c r="W19" s="813"/>
      <c r="X19" s="813"/>
    </row>
    <row r="20" spans="1:28" s="813" customFormat="1" ht="50.25" customHeight="1">
      <c r="B20" s="1433"/>
      <c r="C20" s="2220" t="s">
        <v>1421</v>
      </c>
      <c r="D20" s="2048" t="s">
        <v>1333</v>
      </c>
      <c r="E20" s="2048"/>
      <c r="F20" s="2048">
        <v>61159</v>
      </c>
      <c r="G20" s="2048"/>
      <c r="H20" s="2048"/>
      <c r="I20" s="2049">
        <f>+J20+K20+M20</f>
        <v>90893356</v>
      </c>
      <c r="J20" s="2049">
        <v>89146368</v>
      </c>
      <c r="K20" s="2049"/>
      <c r="L20" s="2049"/>
      <c r="M20" s="2049">
        <v>1746988</v>
      </c>
      <c r="N20" s="2206">
        <f>+I20</f>
        <v>90893356</v>
      </c>
      <c r="O20" s="2049"/>
      <c r="P20" s="2049"/>
      <c r="Q20" s="2207">
        <f>+SUM(O20:P20)</f>
        <v>0</v>
      </c>
      <c r="R20" s="2051">
        <f>+Q20+N20</f>
        <v>90893356</v>
      </c>
      <c r="S20" s="278"/>
      <c r="T20" s="278"/>
      <c r="U20" s="569"/>
    </row>
    <row r="21" spans="1:28" s="813" customFormat="1" ht="50.25" customHeight="1">
      <c r="B21" s="1433"/>
      <c r="C21" s="2055" t="s">
        <v>1336</v>
      </c>
      <c r="D21" s="2048" t="s">
        <v>591</v>
      </c>
      <c r="E21" s="2048">
        <v>8414</v>
      </c>
      <c r="F21" s="2048">
        <v>91131</v>
      </c>
      <c r="G21" s="2048" t="s">
        <v>1337</v>
      </c>
      <c r="H21" s="2048"/>
      <c r="I21" s="2049"/>
      <c r="J21" s="2049"/>
      <c r="K21" s="2049"/>
      <c r="L21" s="2049"/>
      <c r="M21" s="2049">
        <f>4460999-1746988</f>
        <v>2714011</v>
      </c>
      <c r="N21" s="259">
        <f t="shared" ref="N21:N60" si="4">SUM(J21:M21)</f>
        <v>2714011</v>
      </c>
      <c r="O21" s="2049"/>
      <c r="P21" s="2049">
        <f>113627079+34805577</f>
        <v>148432656</v>
      </c>
      <c r="Q21" s="1483">
        <f t="shared" ref="Q21:Q60" si="5">+SUM(O21:P21)</f>
        <v>148432656</v>
      </c>
      <c r="R21" s="2051">
        <f>+N21+Q21</f>
        <v>151146667</v>
      </c>
      <c r="S21" s="278"/>
    </row>
    <row r="22" spans="1:28" s="813" customFormat="1" ht="50.25" customHeight="1">
      <c r="B22" s="1433"/>
      <c r="C22" s="2055" t="s">
        <v>1338</v>
      </c>
      <c r="D22" s="2048" t="s">
        <v>235</v>
      </c>
      <c r="E22" s="2048">
        <v>7490</v>
      </c>
      <c r="F22" s="2048">
        <v>83990</v>
      </c>
      <c r="G22" s="2048" t="s">
        <v>732</v>
      </c>
      <c r="H22" s="2048"/>
      <c r="I22" s="2049"/>
      <c r="J22" s="2049">
        <f>9369943+76662</f>
        <v>9446605</v>
      </c>
      <c r="K22" s="2049"/>
      <c r="L22" s="2049"/>
      <c r="M22" s="2049"/>
      <c r="N22" s="259">
        <f t="shared" si="4"/>
        <v>9446605</v>
      </c>
      <c r="O22" s="2049"/>
      <c r="P22" s="1506"/>
      <c r="Q22" s="1483">
        <f t="shared" si="5"/>
        <v>0</v>
      </c>
      <c r="R22" s="2051">
        <f>+N22+Q22</f>
        <v>9446605</v>
      </c>
      <c r="S22" s="278"/>
    </row>
    <row r="23" spans="1:28" s="813" customFormat="1" ht="50.25" customHeight="1">
      <c r="B23" s="1433"/>
      <c r="C23" s="2574" t="s">
        <v>1332</v>
      </c>
      <c r="D23" s="2048" t="s">
        <v>1333</v>
      </c>
      <c r="E23" s="2213"/>
      <c r="F23" s="2213"/>
      <c r="G23" s="2577" t="s">
        <v>758</v>
      </c>
      <c r="H23" s="2577">
        <v>5</v>
      </c>
      <c r="I23" s="273">
        <v>272809751</v>
      </c>
      <c r="J23" s="274"/>
      <c r="K23" s="273"/>
      <c r="L23" s="273"/>
      <c r="M23" s="273"/>
      <c r="N23" s="259">
        <f t="shared" si="4"/>
        <v>0</v>
      </c>
      <c r="O23" s="274"/>
      <c r="P23" s="274">
        <f>699399878.646857-243019179</f>
        <v>456380699.64685702</v>
      </c>
      <c r="Q23" s="1483">
        <f t="shared" si="5"/>
        <v>456380699.64685702</v>
      </c>
      <c r="R23" s="1817">
        <f t="shared" ref="R23:R60" si="6">+Q23+N23</f>
        <v>456380699.64685702</v>
      </c>
      <c r="S23" s="47">
        <f>+P23-'[5]ACCIONES 320301'!$P$22</f>
        <v>-0.35314297676086426</v>
      </c>
      <c r="U23" s="782"/>
    </row>
    <row r="24" spans="1:28" s="813" customFormat="1" ht="50.25" customHeight="1">
      <c r="B24" s="1433"/>
      <c r="C24" s="2576"/>
      <c r="D24" s="2048" t="s">
        <v>598</v>
      </c>
      <c r="E24" s="2213"/>
      <c r="F24" s="2213"/>
      <c r="G24" s="2578"/>
      <c r="H24" s="2578"/>
      <c r="I24" s="273"/>
      <c r="J24" s="274"/>
      <c r="K24" s="273"/>
      <c r="L24" s="273"/>
      <c r="M24" s="273"/>
      <c r="N24" s="259">
        <f t="shared" si="4"/>
        <v>0</v>
      </c>
      <c r="O24" s="274"/>
      <c r="P24" s="274">
        <v>196422500</v>
      </c>
      <c r="Q24" s="1483">
        <f t="shared" si="5"/>
        <v>196422500</v>
      </c>
      <c r="R24" s="1817">
        <f t="shared" si="6"/>
        <v>196422500</v>
      </c>
      <c r="S24"/>
      <c r="U24" s="782"/>
    </row>
    <row r="25" spans="1:28" s="813" customFormat="1" ht="84" customHeight="1">
      <c r="B25" s="1433"/>
      <c r="C25" s="567" t="s">
        <v>1334</v>
      </c>
      <c r="D25" s="2054" t="s">
        <v>235</v>
      </c>
      <c r="E25" s="2054">
        <v>83990</v>
      </c>
      <c r="F25" s="2054"/>
      <c r="G25" s="2054" t="s">
        <v>759</v>
      </c>
      <c r="H25" s="2054">
        <v>18</v>
      </c>
      <c r="I25" s="273">
        <v>87876000</v>
      </c>
      <c r="J25" s="274"/>
      <c r="K25" s="273"/>
      <c r="L25" s="273"/>
      <c r="M25" s="273"/>
      <c r="N25" s="259">
        <f t="shared" si="4"/>
        <v>0</v>
      </c>
      <c r="O25" s="274"/>
      <c r="P25" s="274">
        <f>98421120+162618880</f>
        <v>261040000</v>
      </c>
      <c r="Q25" s="1483">
        <f t="shared" si="5"/>
        <v>261040000</v>
      </c>
      <c r="R25" s="1817">
        <f t="shared" si="6"/>
        <v>261040000</v>
      </c>
      <c r="S25" s="47">
        <f>+'[5]ACCIONES 320301'!$P$24-P25</f>
        <v>0</v>
      </c>
      <c r="U25" s="782"/>
    </row>
    <row r="26" spans="1:28" s="813" customFormat="1" ht="50.25" customHeight="1">
      <c r="B26" s="1433"/>
      <c r="C26" s="567" t="s">
        <v>760</v>
      </c>
      <c r="D26" s="2054" t="s">
        <v>235</v>
      </c>
      <c r="E26" s="2054"/>
      <c r="F26" s="2054"/>
      <c r="G26" s="2054" t="s">
        <v>759</v>
      </c>
      <c r="H26" s="2054">
        <v>18</v>
      </c>
      <c r="I26" s="273">
        <v>87876000</v>
      </c>
      <c r="J26" s="274"/>
      <c r="K26" s="273"/>
      <c r="L26" s="273"/>
      <c r="M26" s="273"/>
      <c r="N26" s="259">
        <f t="shared" si="4"/>
        <v>0</v>
      </c>
      <c r="O26" s="274"/>
      <c r="P26" s="274">
        <f>98421120-98421120</f>
        <v>0</v>
      </c>
      <c r="Q26" s="1483">
        <f t="shared" si="5"/>
        <v>0</v>
      </c>
      <c r="R26" s="1817">
        <f t="shared" si="6"/>
        <v>0</v>
      </c>
      <c r="S26"/>
      <c r="U26" s="782"/>
    </row>
    <row r="27" spans="1:28" s="813" customFormat="1" ht="50.25" customHeight="1">
      <c r="B27" s="1433"/>
      <c r="C27" s="567" t="s">
        <v>761</v>
      </c>
      <c r="D27" s="2054" t="s">
        <v>235</v>
      </c>
      <c r="E27" s="2054"/>
      <c r="F27" s="2054"/>
      <c r="G27" s="2054" t="s">
        <v>759</v>
      </c>
      <c r="H27" s="2054">
        <v>24</v>
      </c>
      <c r="I27" s="273">
        <v>117168000</v>
      </c>
      <c r="J27" s="274"/>
      <c r="K27" s="273"/>
      <c r="L27" s="273"/>
      <c r="M27" s="273"/>
      <c r="N27" s="259">
        <f t="shared" si="4"/>
        <v>0</v>
      </c>
      <c r="O27" s="274"/>
      <c r="P27" s="274">
        <f>131228160-131228160</f>
        <v>0</v>
      </c>
      <c r="Q27" s="1483">
        <f t="shared" si="5"/>
        <v>0</v>
      </c>
      <c r="R27" s="1817">
        <f t="shared" si="6"/>
        <v>0</v>
      </c>
      <c r="S27"/>
      <c r="U27"/>
      <c r="V27"/>
      <c r="W27"/>
      <c r="X27"/>
      <c r="Y27"/>
      <c r="Z27"/>
      <c r="AA27"/>
      <c r="AB27"/>
    </row>
    <row r="28" spans="1:28" s="813" customFormat="1" ht="28.5" customHeight="1">
      <c r="B28" s="1433"/>
      <c r="C28" s="2579" t="s">
        <v>1219</v>
      </c>
      <c r="D28" s="2054" t="s">
        <v>934</v>
      </c>
      <c r="E28" s="2048"/>
      <c r="F28" s="2048">
        <v>27320</v>
      </c>
      <c r="G28" s="2048"/>
      <c r="H28" s="2048"/>
      <c r="I28" s="2049"/>
      <c r="J28" s="2050"/>
      <c r="K28" s="2049"/>
      <c r="L28" s="2049"/>
      <c r="M28" s="273"/>
      <c r="N28" s="259">
        <f t="shared" si="4"/>
        <v>0</v>
      </c>
      <c r="O28" s="1483">
        <f>839998*1.004</f>
        <v>843357.99199999997</v>
      </c>
      <c r="P28" s="2050"/>
      <c r="Q28" s="1483">
        <f t="shared" si="5"/>
        <v>843357.99199999997</v>
      </c>
      <c r="R28" s="1817">
        <f t="shared" si="6"/>
        <v>843357.99199999997</v>
      </c>
      <c r="S28" s="821"/>
      <c r="T28" s="2052"/>
      <c r="U28"/>
      <c r="V28"/>
      <c r="W28"/>
      <c r="X28"/>
      <c r="Y28"/>
      <c r="Z28"/>
      <c r="AA28"/>
      <c r="AB28"/>
    </row>
    <row r="29" spans="1:28" s="813" customFormat="1" ht="28.5" customHeight="1">
      <c r="B29" s="1433"/>
      <c r="C29" s="2580"/>
      <c r="D29" s="2582" t="s">
        <v>729</v>
      </c>
      <c r="E29" s="2048"/>
      <c r="F29" s="2048">
        <v>36490</v>
      </c>
      <c r="G29" s="2048"/>
      <c r="H29" s="2048"/>
      <c r="I29" s="2049"/>
      <c r="J29" s="2050"/>
      <c r="K29" s="2049"/>
      <c r="L29" s="2049"/>
      <c r="M29" s="273"/>
      <c r="N29" s="259">
        <f t="shared" si="4"/>
        <v>0</v>
      </c>
      <c r="O29" s="1483">
        <f>607968*1.004</f>
        <v>610399.87199999997</v>
      </c>
      <c r="P29" s="2050"/>
      <c r="Q29" s="1483">
        <f t="shared" si="5"/>
        <v>610399.87199999997</v>
      </c>
      <c r="R29" s="1817">
        <f t="shared" si="6"/>
        <v>610399.87199999997</v>
      </c>
      <c r="S29" s="821"/>
      <c r="T29" s="2052"/>
      <c r="U29"/>
      <c r="V29"/>
      <c r="W29"/>
      <c r="X29"/>
      <c r="Y29"/>
      <c r="Z29"/>
      <c r="AA29"/>
      <c r="AB29"/>
    </row>
    <row r="30" spans="1:28" s="813" customFormat="1" ht="28.5" customHeight="1">
      <c r="B30" s="1433"/>
      <c r="C30" s="2580"/>
      <c r="D30" s="2583"/>
      <c r="E30" s="2048"/>
      <c r="F30" s="2048">
        <v>32210</v>
      </c>
      <c r="G30" s="2048"/>
      <c r="H30" s="2048"/>
      <c r="I30" s="2049"/>
      <c r="J30" s="2050"/>
      <c r="K30" s="2049"/>
      <c r="L30" s="2049"/>
      <c r="M30" s="273"/>
      <c r="N30" s="259">
        <f t="shared" si="4"/>
        <v>0</v>
      </c>
      <c r="O30" s="1483">
        <f>180000*1.004</f>
        <v>180720</v>
      </c>
      <c r="P30" s="2050"/>
      <c r="Q30" s="1483">
        <f t="shared" si="5"/>
        <v>180720</v>
      </c>
      <c r="R30" s="1817">
        <f t="shared" si="6"/>
        <v>180720</v>
      </c>
      <c r="S30" s="821"/>
      <c r="T30" s="2052"/>
      <c r="U30"/>
      <c r="V30"/>
      <c r="W30"/>
      <c r="X30"/>
      <c r="Y30"/>
      <c r="Z30"/>
      <c r="AA30"/>
      <c r="AB30"/>
    </row>
    <row r="31" spans="1:28" s="813" customFormat="1" ht="28.5" customHeight="1">
      <c r="B31" s="1433"/>
      <c r="C31" s="2580"/>
      <c r="D31" s="2583"/>
      <c r="E31" s="2048"/>
      <c r="F31" s="2048">
        <v>34131</v>
      </c>
      <c r="G31" s="2048"/>
      <c r="H31" s="2048"/>
      <c r="I31" s="2049"/>
      <c r="J31" s="2050"/>
      <c r="K31" s="2049"/>
      <c r="L31" s="2049"/>
      <c r="M31" s="273"/>
      <c r="N31" s="259">
        <f t="shared" si="4"/>
        <v>0</v>
      </c>
      <c r="O31" s="1483">
        <f>186940*1.004</f>
        <v>187687.76</v>
      </c>
      <c r="P31" s="2050"/>
      <c r="Q31" s="1483">
        <f t="shared" si="5"/>
        <v>187687.76</v>
      </c>
      <c r="R31" s="1817">
        <f t="shared" si="6"/>
        <v>187687.76</v>
      </c>
      <c r="S31" s="821"/>
      <c r="T31" s="2052"/>
      <c r="U31"/>
      <c r="V31"/>
      <c r="W31"/>
      <c r="X31"/>
      <c r="Y31"/>
      <c r="Z31"/>
      <c r="AA31"/>
      <c r="AB31"/>
    </row>
    <row r="32" spans="1:28" s="813" customFormat="1" ht="28.5" customHeight="1">
      <c r="B32" s="1433"/>
      <c r="C32" s="2580"/>
      <c r="D32" s="2583"/>
      <c r="E32" s="2048"/>
      <c r="F32" s="2048">
        <v>36940</v>
      </c>
      <c r="G32" s="2048"/>
      <c r="H32" s="2048"/>
      <c r="I32" s="2049"/>
      <c r="J32" s="2050"/>
      <c r="K32" s="2049"/>
      <c r="L32" s="2049"/>
      <c r="M32" s="273"/>
      <c r="N32" s="259">
        <f t="shared" si="4"/>
        <v>0</v>
      </c>
      <c r="O32" s="1483">
        <f>83600*1.004</f>
        <v>83934.399999999994</v>
      </c>
      <c r="P32" s="2050"/>
      <c r="Q32" s="1483">
        <f t="shared" si="5"/>
        <v>83934.399999999994</v>
      </c>
      <c r="R32" s="1817">
        <f t="shared" si="6"/>
        <v>83934.399999999994</v>
      </c>
      <c r="S32" s="821"/>
      <c r="T32" s="2052"/>
      <c r="U32"/>
      <c r="V32"/>
      <c r="W32"/>
      <c r="X32"/>
      <c r="Y32"/>
      <c r="Z32"/>
      <c r="AA32"/>
      <c r="AB32"/>
    </row>
    <row r="33" spans="2:28" s="813" customFormat="1" ht="28.5" customHeight="1">
      <c r="B33" s="1433"/>
      <c r="C33" s="2580"/>
      <c r="D33" s="2583"/>
      <c r="E33" s="2048"/>
      <c r="F33" s="2048">
        <v>36940</v>
      </c>
      <c r="G33" s="2048"/>
      <c r="H33" s="2048"/>
      <c r="I33" s="2049"/>
      <c r="J33" s="2050"/>
      <c r="K33" s="2049"/>
      <c r="L33" s="2049"/>
      <c r="M33" s="273"/>
      <c r="N33" s="259">
        <f t="shared" si="4"/>
        <v>0</v>
      </c>
      <c r="O33" s="1483">
        <f>63960*1.004</f>
        <v>64215.840000000004</v>
      </c>
      <c r="P33" s="2050"/>
      <c r="Q33" s="1483">
        <f t="shared" si="5"/>
        <v>64215.840000000004</v>
      </c>
      <c r="R33" s="1817">
        <f t="shared" si="6"/>
        <v>64215.840000000004</v>
      </c>
      <c r="S33" s="821"/>
      <c r="T33" s="2052"/>
      <c r="U33"/>
      <c r="V33"/>
      <c r="W33"/>
      <c r="X33"/>
      <c r="Y33"/>
      <c r="Z33"/>
      <c r="AA33"/>
      <c r="AB33"/>
    </row>
    <row r="34" spans="2:28" s="813" customFormat="1" ht="28.5" customHeight="1">
      <c r="B34" s="1433"/>
      <c r="C34" s="2580"/>
      <c r="D34" s="2583"/>
      <c r="E34" s="2048"/>
      <c r="F34" s="2048">
        <v>38560</v>
      </c>
      <c r="G34" s="2048"/>
      <c r="H34" s="2048"/>
      <c r="I34" s="2049"/>
      <c r="J34" s="2050"/>
      <c r="K34" s="2049"/>
      <c r="L34" s="2049"/>
      <c r="M34" s="273"/>
      <c r="N34" s="259">
        <f t="shared" si="4"/>
        <v>0</v>
      </c>
      <c r="O34" s="1483">
        <f>1300*1.004+20000</f>
        <v>21305.200000000001</v>
      </c>
      <c r="P34" s="2050"/>
      <c r="Q34" s="1483">
        <f t="shared" si="5"/>
        <v>21305.200000000001</v>
      </c>
      <c r="R34" s="1817">
        <f t="shared" si="6"/>
        <v>21305.200000000001</v>
      </c>
      <c r="S34" s="821"/>
      <c r="T34" s="2052"/>
      <c r="U34"/>
      <c r="V34"/>
      <c r="W34"/>
      <c r="X34"/>
      <c r="Y34"/>
      <c r="Z34"/>
      <c r="AA34"/>
      <c r="AB34"/>
    </row>
    <row r="35" spans="2:28" s="813" customFormat="1" ht="28.5" customHeight="1">
      <c r="B35" s="1433"/>
      <c r="C35" s="2580"/>
      <c r="D35" s="2584"/>
      <c r="E35" s="2048"/>
      <c r="F35" s="2048">
        <v>38911</v>
      </c>
      <c r="G35" s="2048"/>
      <c r="H35" s="2048"/>
      <c r="I35" s="2049"/>
      <c r="J35" s="2050"/>
      <c r="K35" s="2049"/>
      <c r="L35" s="2049"/>
      <c r="M35" s="273"/>
      <c r="N35" s="259">
        <f t="shared" si="4"/>
        <v>0</v>
      </c>
      <c r="O35" s="1483">
        <f>75960*1.004</f>
        <v>76263.839999999997</v>
      </c>
      <c r="P35" s="2050"/>
      <c r="Q35" s="1483">
        <f t="shared" si="5"/>
        <v>76263.839999999997</v>
      </c>
      <c r="R35" s="1817">
        <f t="shared" si="6"/>
        <v>76263.839999999997</v>
      </c>
      <c r="S35" s="821"/>
      <c r="T35" s="2052"/>
      <c r="U35"/>
      <c r="V35"/>
      <c r="W35"/>
      <c r="X35"/>
      <c r="Y35"/>
      <c r="Z35"/>
      <c r="AA35"/>
      <c r="AB35"/>
    </row>
    <row r="36" spans="2:28" s="813" customFormat="1" ht="28.5" customHeight="1">
      <c r="B36" s="1433"/>
      <c r="C36" s="2580"/>
      <c r="D36" s="2582" t="s">
        <v>1335</v>
      </c>
      <c r="E36" s="2048"/>
      <c r="F36" s="2048">
        <v>48314</v>
      </c>
      <c r="G36" s="2048"/>
      <c r="H36" s="2048"/>
      <c r="I36" s="2049"/>
      <c r="J36" s="2050"/>
      <c r="K36" s="2049"/>
      <c r="L36" s="2049"/>
      <c r="M36" s="273"/>
      <c r="N36" s="259">
        <f t="shared" si="4"/>
        <v>0</v>
      </c>
      <c r="O36" s="1483">
        <f>1203500*1.004</f>
        <v>1208314</v>
      </c>
      <c r="P36" s="2050"/>
      <c r="Q36" s="1483">
        <f t="shared" si="5"/>
        <v>1208314</v>
      </c>
      <c r="R36" s="1817">
        <f t="shared" si="6"/>
        <v>1208314</v>
      </c>
      <c r="S36" s="821"/>
      <c r="T36" s="2052"/>
      <c r="U36"/>
      <c r="V36"/>
      <c r="W36"/>
      <c r="X36"/>
      <c r="Y36"/>
      <c r="Z36"/>
      <c r="AA36"/>
      <c r="AB36"/>
    </row>
    <row r="37" spans="2:28" s="813" customFormat="1" ht="28.5" customHeight="1">
      <c r="B37" s="1433"/>
      <c r="C37" s="2580"/>
      <c r="D37" s="2583"/>
      <c r="E37" s="2048"/>
      <c r="F37" s="2048">
        <v>48322</v>
      </c>
      <c r="G37" s="2048"/>
      <c r="H37" s="2048"/>
      <c r="I37" s="2049"/>
      <c r="J37" s="2050"/>
      <c r="K37" s="2049"/>
      <c r="L37" s="2049"/>
      <c r="M37" s="273"/>
      <c r="N37" s="259">
        <f t="shared" si="4"/>
        <v>0</v>
      </c>
      <c r="O37" s="1483">
        <f>3129900*1.004</f>
        <v>3142419.6</v>
      </c>
      <c r="P37" s="2050"/>
      <c r="Q37" s="1483">
        <f t="shared" si="5"/>
        <v>3142419.6</v>
      </c>
      <c r="R37" s="1817">
        <f t="shared" si="6"/>
        <v>3142419.6</v>
      </c>
      <c r="S37" s="821"/>
      <c r="T37" s="2052"/>
      <c r="U37"/>
      <c r="V37"/>
      <c r="W37"/>
      <c r="X37"/>
      <c r="Y37"/>
      <c r="Z37"/>
      <c r="AA37"/>
      <c r="AB37"/>
    </row>
    <row r="38" spans="2:28" s="813" customFormat="1" ht="28.5" customHeight="1">
      <c r="B38" s="1433"/>
      <c r="C38" s="2580"/>
      <c r="D38" s="2583"/>
      <c r="E38" s="2048"/>
      <c r="F38" s="2048">
        <v>48430</v>
      </c>
      <c r="G38" s="2048"/>
      <c r="H38" s="2048"/>
      <c r="I38" s="2049"/>
      <c r="J38" s="2050"/>
      <c r="K38" s="2049"/>
      <c r="L38" s="2049"/>
      <c r="M38" s="273"/>
      <c r="N38" s="259">
        <f t="shared" si="4"/>
        <v>0</v>
      </c>
      <c r="O38" s="1483">
        <f>67600*1.004+15000</f>
        <v>82870.399999999994</v>
      </c>
      <c r="P38" s="2050"/>
      <c r="Q38" s="1483">
        <f t="shared" si="5"/>
        <v>82870.399999999994</v>
      </c>
      <c r="R38" s="1817">
        <f t="shared" si="6"/>
        <v>82870.399999999994</v>
      </c>
      <c r="S38" s="821"/>
      <c r="T38" s="2052"/>
      <c r="U38"/>
      <c r="V38"/>
      <c r="W38"/>
      <c r="X38"/>
      <c r="Y38"/>
      <c r="Z38"/>
      <c r="AA38"/>
      <c r="AB38"/>
    </row>
    <row r="39" spans="2:28" s="813" customFormat="1" ht="28.5" customHeight="1">
      <c r="B39" s="1433"/>
      <c r="C39" s="2580"/>
      <c r="D39" s="2583"/>
      <c r="E39" s="2048"/>
      <c r="F39" s="2048">
        <v>48322</v>
      </c>
      <c r="G39" s="2048"/>
      <c r="H39" s="2048"/>
      <c r="I39" s="2049"/>
      <c r="J39" s="2050"/>
      <c r="K39" s="2049"/>
      <c r="L39" s="2049"/>
      <c r="M39" s="273"/>
      <c r="N39" s="259">
        <f t="shared" si="4"/>
        <v>0</v>
      </c>
      <c r="O39" s="1483">
        <f>1330000*1.004</f>
        <v>1335320</v>
      </c>
      <c r="P39" s="2050"/>
      <c r="Q39" s="1483">
        <f t="shared" si="5"/>
        <v>1335320</v>
      </c>
      <c r="R39" s="1817">
        <f t="shared" si="6"/>
        <v>1335320</v>
      </c>
      <c r="S39" s="821"/>
      <c r="T39" s="2052"/>
      <c r="U39"/>
      <c r="V39"/>
      <c r="W39"/>
      <c r="X39"/>
      <c r="Y39"/>
      <c r="Z39"/>
      <c r="AA39"/>
      <c r="AB39"/>
    </row>
    <row r="40" spans="2:28" s="813" customFormat="1" ht="28.5" customHeight="1">
      <c r="B40" s="1433"/>
      <c r="C40" s="2580"/>
      <c r="D40" s="2583"/>
      <c r="E40" s="2048"/>
      <c r="F40" s="2048">
        <v>48220</v>
      </c>
      <c r="G40" s="2048"/>
      <c r="H40" s="2048"/>
      <c r="I40" s="2049"/>
      <c r="J40" s="2050"/>
      <c r="K40" s="2049"/>
      <c r="L40" s="2049"/>
      <c r="M40" s="273"/>
      <c r="N40" s="259">
        <f t="shared" si="4"/>
        <v>0</v>
      </c>
      <c r="O40" s="1483">
        <f>1355800*1.004</f>
        <v>1361223.2</v>
      </c>
      <c r="P40" s="2050"/>
      <c r="Q40" s="1483">
        <f t="shared" si="5"/>
        <v>1361223.2</v>
      </c>
      <c r="R40" s="1817">
        <f t="shared" si="6"/>
        <v>1361223.2</v>
      </c>
      <c r="S40" s="821"/>
      <c r="T40" s="2052"/>
      <c r="U40"/>
      <c r="V40"/>
      <c r="W40"/>
      <c r="X40"/>
      <c r="Y40"/>
      <c r="Z40"/>
      <c r="AA40"/>
      <c r="AB40"/>
    </row>
    <row r="41" spans="2:28" s="813" customFormat="1" ht="28.5" customHeight="1">
      <c r="B41" s="1433"/>
      <c r="C41" s="2580"/>
      <c r="D41" s="2583"/>
      <c r="E41" s="2048"/>
      <c r="F41" s="2048">
        <v>48252</v>
      </c>
      <c r="G41" s="2048"/>
      <c r="H41" s="2048"/>
      <c r="I41" s="2049"/>
      <c r="J41" s="2050"/>
      <c r="K41" s="2049"/>
      <c r="L41" s="2049"/>
      <c r="M41" s="273"/>
      <c r="N41" s="259">
        <f t="shared" si="4"/>
        <v>0</v>
      </c>
      <c r="O41" s="1483">
        <f>244980*1.004</f>
        <v>245959.92</v>
      </c>
      <c r="P41" s="2050"/>
      <c r="Q41" s="1483">
        <f t="shared" si="5"/>
        <v>245959.92</v>
      </c>
      <c r="R41" s="1817">
        <f t="shared" si="6"/>
        <v>245959.92</v>
      </c>
      <c r="S41" s="821"/>
      <c r="T41" s="2052"/>
      <c r="U41"/>
      <c r="V41"/>
      <c r="W41"/>
      <c r="X41"/>
      <c r="Y41"/>
      <c r="Z41"/>
      <c r="AA41"/>
      <c r="AB41"/>
    </row>
    <row r="42" spans="2:28" s="813" customFormat="1" ht="28.5" customHeight="1">
      <c r="B42" s="1433"/>
      <c r="C42" s="2580"/>
      <c r="D42" s="2583"/>
      <c r="E42" s="2048"/>
      <c r="F42" s="2048">
        <v>48252</v>
      </c>
      <c r="G42" s="2048"/>
      <c r="H42" s="2048"/>
      <c r="I42" s="2049"/>
      <c r="J42" s="2050"/>
      <c r="K42" s="2049"/>
      <c r="L42" s="2049"/>
      <c r="M42" s="273"/>
      <c r="N42" s="259">
        <f t="shared" si="4"/>
        <v>0</v>
      </c>
      <c r="O42" s="1483">
        <f>595600*1.004</f>
        <v>597982.4</v>
      </c>
      <c r="P42" s="2050"/>
      <c r="Q42" s="1483">
        <f t="shared" si="5"/>
        <v>597982.4</v>
      </c>
      <c r="R42" s="1817">
        <f t="shared" si="6"/>
        <v>597982.4</v>
      </c>
      <c r="S42" s="821"/>
      <c r="T42" s="2052"/>
      <c r="U42"/>
      <c r="V42"/>
      <c r="W42"/>
      <c r="X42"/>
      <c r="Y42"/>
      <c r="Z42"/>
      <c r="AA42"/>
      <c r="AB42"/>
    </row>
    <row r="43" spans="2:28" s="813" customFormat="1" ht="28.5" customHeight="1">
      <c r="B43" s="1433"/>
      <c r="C43" s="2580"/>
      <c r="D43" s="2583"/>
      <c r="E43" s="2048"/>
      <c r="F43" s="2048">
        <v>48252</v>
      </c>
      <c r="G43" s="2048"/>
      <c r="H43" s="2048"/>
      <c r="I43" s="2049"/>
      <c r="J43" s="2050"/>
      <c r="K43" s="2049"/>
      <c r="L43" s="2049"/>
      <c r="M43" s="273"/>
      <c r="N43" s="259">
        <f t="shared" si="4"/>
        <v>0</v>
      </c>
      <c r="O43" s="1483">
        <f>1280000*1.004</f>
        <v>1285120</v>
      </c>
      <c r="P43" s="2050"/>
      <c r="Q43" s="1483">
        <f t="shared" si="5"/>
        <v>1285120</v>
      </c>
      <c r="R43" s="1817">
        <f t="shared" si="6"/>
        <v>1285120</v>
      </c>
      <c r="S43" s="821"/>
      <c r="T43" s="2052"/>
      <c r="U43"/>
      <c r="V43"/>
      <c r="W43"/>
      <c r="X43"/>
      <c r="Y43"/>
      <c r="Z43"/>
      <c r="AA43"/>
      <c r="AB43"/>
    </row>
    <row r="44" spans="2:28" s="813" customFormat="1" ht="28.5" customHeight="1">
      <c r="B44" s="1433"/>
      <c r="C44" s="2580"/>
      <c r="D44" s="2583"/>
      <c r="E44" s="2048"/>
      <c r="F44" s="2048">
        <v>48252</v>
      </c>
      <c r="G44" s="2048"/>
      <c r="H44" s="2048"/>
      <c r="I44" s="2049"/>
      <c r="J44" s="2050"/>
      <c r="K44" s="2049"/>
      <c r="L44" s="2049"/>
      <c r="M44" s="273"/>
      <c r="N44" s="259">
        <f t="shared" si="4"/>
        <v>0</v>
      </c>
      <c r="O44" s="1483">
        <f>300000*1.004</f>
        <v>301200</v>
      </c>
      <c r="P44" s="2050"/>
      <c r="Q44" s="1483">
        <f t="shared" si="5"/>
        <v>301200</v>
      </c>
      <c r="R44" s="1817">
        <f t="shared" si="6"/>
        <v>301200</v>
      </c>
      <c r="S44" s="821"/>
      <c r="T44" s="2052"/>
      <c r="U44"/>
      <c r="V44"/>
      <c r="W44"/>
      <c r="X44"/>
      <c r="Y44"/>
      <c r="Z44"/>
      <c r="AA44"/>
      <c r="AB44"/>
    </row>
    <row r="45" spans="2:28" s="813" customFormat="1" ht="28.5" customHeight="1">
      <c r="B45" s="1433"/>
      <c r="C45" s="2580"/>
      <c r="D45" s="2583"/>
      <c r="E45" s="2048"/>
      <c r="F45" s="2048">
        <v>4831501</v>
      </c>
      <c r="G45" s="2048"/>
      <c r="H45" s="2048"/>
      <c r="I45" s="2049"/>
      <c r="J45" s="2050"/>
      <c r="K45" s="2049"/>
      <c r="L45" s="2049"/>
      <c r="M45" s="273"/>
      <c r="N45" s="259">
        <f t="shared" si="4"/>
        <v>0</v>
      </c>
      <c r="O45" s="1483">
        <f>239600*1.004</f>
        <v>240558.4</v>
      </c>
      <c r="P45" s="2050"/>
      <c r="Q45" s="1483">
        <f t="shared" si="5"/>
        <v>240558.4</v>
      </c>
      <c r="R45" s="1817">
        <f t="shared" si="6"/>
        <v>240558.4</v>
      </c>
      <c r="S45" s="821"/>
      <c r="T45" s="2052"/>
      <c r="U45"/>
      <c r="V45"/>
      <c r="W45"/>
      <c r="X45"/>
      <c r="Y45"/>
      <c r="Z45"/>
      <c r="AA45"/>
      <c r="AB45"/>
    </row>
    <row r="46" spans="2:28" s="813" customFormat="1" ht="28.5" customHeight="1">
      <c r="B46" s="1433"/>
      <c r="C46" s="2580"/>
      <c r="D46" s="2583"/>
      <c r="E46" s="2048"/>
      <c r="F46" s="2048">
        <v>4823301</v>
      </c>
      <c r="G46" s="2048"/>
      <c r="H46" s="2048"/>
      <c r="I46" s="2049"/>
      <c r="J46" s="2050"/>
      <c r="K46" s="2049"/>
      <c r="L46" s="2049"/>
      <c r="M46" s="273"/>
      <c r="N46" s="259">
        <f t="shared" si="4"/>
        <v>0</v>
      </c>
      <c r="O46" s="1483">
        <f>121000*1.004</f>
        <v>121484</v>
      </c>
      <c r="P46" s="2050"/>
      <c r="Q46" s="1483">
        <f t="shared" si="5"/>
        <v>121484</v>
      </c>
      <c r="R46" s="1817">
        <f t="shared" si="6"/>
        <v>121484</v>
      </c>
      <c r="S46" s="821"/>
      <c r="T46" s="2052"/>
      <c r="U46"/>
      <c r="V46"/>
      <c r="W46"/>
      <c r="X46"/>
      <c r="Y46"/>
      <c r="Z46"/>
      <c r="AA46"/>
      <c r="AB46"/>
    </row>
    <row r="47" spans="2:28" s="813" customFormat="1" ht="28.5" customHeight="1">
      <c r="B47" s="1433"/>
      <c r="C47" s="2580"/>
      <c r="D47" s="2583"/>
      <c r="E47" s="2048"/>
      <c r="F47" s="2048">
        <v>48261</v>
      </c>
      <c r="G47" s="2048"/>
      <c r="H47" s="2048"/>
      <c r="I47" s="2049"/>
      <c r="J47" s="2050"/>
      <c r="K47" s="2049"/>
      <c r="L47" s="2049"/>
      <c r="M47" s="273"/>
      <c r="N47" s="259">
        <f t="shared" si="4"/>
        <v>0</v>
      </c>
      <c r="O47" s="1483">
        <f>2907000*1.004+34813</f>
        <v>2953441</v>
      </c>
      <c r="P47" s="2050"/>
      <c r="Q47" s="1483">
        <f t="shared" si="5"/>
        <v>2953441</v>
      </c>
      <c r="R47" s="1817">
        <f t="shared" si="6"/>
        <v>2953441</v>
      </c>
      <c r="S47" s="821"/>
      <c r="T47" s="2052"/>
      <c r="U47"/>
      <c r="V47"/>
      <c r="W47"/>
      <c r="X47"/>
      <c r="Y47"/>
      <c r="Z47"/>
      <c r="AA47"/>
      <c r="AB47"/>
    </row>
    <row r="48" spans="2:28" s="813" customFormat="1" ht="28.5" customHeight="1">
      <c r="B48" s="1433"/>
      <c r="C48" s="2581"/>
      <c r="D48" s="2584"/>
      <c r="E48" s="2048"/>
      <c r="F48" s="2048">
        <v>48253</v>
      </c>
      <c r="G48" s="2048"/>
      <c r="H48" s="2048"/>
      <c r="I48" s="2049"/>
      <c r="J48" s="2050"/>
      <c r="K48" s="2049"/>
      <c r="L48" s="2049"/>
      <c r="M48" s="273"/>
      <c r="N48" s="259">
        <f t="shared" si="4"/>
        <v>0</v>
      </c>
      <c r="O48" s="1483">
        <f>55998*1.004</f>
        <v>56221.991999999998</v>
      </c>
      <c r="P48" s="2050"/>
      <c r="Q48" s="1483">
        <f t="shared" si="5"/>
        <v>56221.991999999998</v>
      </c>
      <c r="R48" s="1817">
        <f t="shared" si="6"/>
        <v>56221.991999999998</v>
      </c>
      <c r="S48" s="2052"/>
      <c r="T48" s="2052"/>
      <c r="U48"/>
      <c r="V48"/>
      <c r="W48"/>
      <c r="X48"/>
      <c r="Y48"/>
      <c r="Z48"/>
      <c r="AA48"/>
      <c r="AB48"/>
    </row>
    <row r="49" spans="1:28" s="813" customFormat="1" ht="28.5" customHeight="1">
      <c r="B49" s="1433"/>
      <c r="C49" s="567" t="s">
        <v>762</v>
      </c>
      <c r="D49" s="2054" t="s">
        <v>598</v>
      </c>
      <c r="E49" s="2054" t="s">
        <v>763</v>
      </c>
      <c r="F49" s="2054">
        <v>94339</v>
      </c>
      <c r="G49" s="2054" t="s">
        <v>210</v>
      </c>
      <c r="H49" s="2054">
        <v>15</v>
      </c>
      <c r="I49" s="273"/>
      <c r="J49" s="274"/>
      <c r="K49" s="273"/>
      <c r="L49" s="273"/>
      <c r="M49" s="273">
        <f>4460999-4460999</f>
        <v>0</v>
      </c>
      <c r="N49" s="259">
        <f t="shared" si="4"/>
        <v>0</v>
      </c>
      <c r="O49" s="274"/>
      <c r="P49" s="274"/>
      <c r="Q49" s="1483">
        <f t="shared" si="5"/>
        <v>0</v>
      </c>
      <c r="R49" s="1817">
        <f t="shared" si="6"/>
        <v>0</v>
      </c>
      <c r="S49"/>
      <c r="U49"/>
      <c r="V49"/>
      <c r="W49"/>
      <c r="X49"/>
      <c r="Y49"/>
      <c r="Z49"/>
      <c r="AA49"/>
      <c r="AB49"/>
    </row>
    <row r="50" spans="1:28" s="813" customFormat="1" ht="28.5" customHeight="1">
      <c r="B50" s="1433"/>
      <c r="C50" s="567" t="s">
        <v>764</v>
      </c>
      <c r="D50" s="811" t="s">
        <v>591</v>
      </c>
      <c r="E50" s="811">
        <v>3900</v>
      </c>
      <c r="F50" s="811">
        <v>94900</v>
      </c>
      <c r="G50" s="811" t="s">
        <v>732</v>
      </c>
      <c r="H50" s="811">
        <v>1</v>
      </c>
      <c r="I50" s="273">
        <v>260932471.59999999</v>
      </c>
      <c r="J50" s="274">
        <v>260932471.59999999</v>
      </c>
      <c r="K50" s="273"/>
      <c r="L50" s="273"/>
      <c r="M50" s="273"/>
      <c r="N50" s="259">
        <f t="shared" si="4"/>
        <v>260932471.59999999</v>
      </c>
      <c r="O50" s="274"/>
      <c r="P50" s="274"/>
      <c r="Q50" s="1483">
        <f t="shared" si="5"/>
        <v>0</v>
      </c>
      <c r="R50" s="1817">
        <f t="shared" si="6"/>
        <v>260932471.59999999</v>
      </c>
      <c r="S50"/>
      <c r="U50"/>
      <c r="V50"/>
      <c r="W50"/>
      <c r="X50"/>
      <c r="Y50"/>
      <c r="Z50"/>
      <c r="AA50"/>
      <c r="AB50"/>
    </row>
    <row r="51" spans="1:28" s="813" customFormat="1" ht="28.5" customHeight="1">
      <c r="B51" s="1433"/>
      <c r="C51" s="567" t="s">
        <v>765</v>
      </c>
      <c r="D51" s="2213" t="s">
        <v>235</v>
      </c>
      <c r="E51" s="2213">
        <v>7490</v>
      </c>
      <c r="F51" s="2213">
        <v>83990</v>
      </c>
      <c r="G51" s="2213" t="s">
        <v>207</v>
      </c>
      <c r="H51" s="2213">
        <v>11</v>
      </c>
      <c r="I51" s="273">
        <v>61767515.040000007</v>
      </c>
      <c r="J51" s="274">
        <f>61767515.04-286208.040000007</f>
        <v>61481306.999999993</v>
      </c>
      <c r="K51" s="273"/>
      <c r="L51" s="273"/>
      <c r="M51" s="273"/>
      <c r="N51" s="259">
        <f t="shared" si="4"/>
        <v>61481306.999999993</v>
      </c>
      <c r="O51" s="274"/>
      <c r="P51" s="274"/>
      <c r="Q51" s="1483">
        <f t="shared" si="5"/>
        <v>0</v>
      </c>
      <c r="R51" s="1817">
        <f t="shared" si="6"/>
        <v>61481306.999999993</v>
      </c>
      <c r="S51"/>
      <c r="U51" s="782"/>
    </row>
    <row r="52" spans="1:28" s="813" customFormat="1" ht="27" customHeight="1">
      <c r="B52" s="1433"/>
      <c r="C52" s="567" t="s">
        <v>766</v>
      </c>
      <c r="D52" s="2213" t="s">
        <v>235</v>
      </c>
      <c r="E52" s="2213">
        <v>7490</v>
      </c>
      <c r="F52" s="2213">
        <v>83990</v>
      </c>
      <c r="G52" s="2213" t="s">
        <v>207</v>
      </c>
      <c r="H52" s="2213">
        <v>33</v>
      </c>
      <c r="I52" s="273">
        <v>184800000.00000003</v>
      </c>
      <c r="J52" s="274">
        <v>184800000.00000003</v>
      </c>
      <c r="K52" s="273"/>
      <c r="L52" s="273"/>
      <c r="M52" s="273"/>
      <c r="N52" s="259">
        <f t="shared" si="4"/>
        <v>184800000.00000003</v>
      </c>
      <c r="O52" s="274"/>
      <c r="P52" s="274"/>
      <c r="Q52" s="1483">
        <f t="shared" si="5"/>
        <v>0</v>
      </c>
      <c r="R52" s="1817">
        <f t="shared" si="6"/>
        <v>184800000.00000003</v>
      </c>
      <c r="S52"/>
      <c r="U52" s="782"/>
    </row>
    <row r="53" spans="1:28" s="813" customFormat="1" ht="27" customHeight="1">
      <c r="B53" s="1433"/>
      <c r="C53" s="567" t="s">
        <v>767</v>
      </c>
      <c r="D53" s="2213" t="s">
        <v>235</v>
      </c>
      <c r="E53" s="2213">
        <v>7490</v>
      </c>
      <c r="F53" s="2213">
        <v>83990</v>
      </c>
      <c r="G53" s="2213" t="s">
        <v>207</v>
      </c>
      <c r="H53" s="2213">
        <v>11</v>
      </c>
      <c r="I53" s="273">
        <v>92508908.800000012</v>
      </c>
      <c r="J53" s="274">
        <f>92508908.8-22682917.8</f>
        <v>69825991</v>
      </c>
      <c r="K53" s="273"/>
      <c r="L53" s="273"/>
      <c r="M53" s="273"/>
      <c r="N53" s="259">
        <f t="shared" si="4"/>
        <v>69825991</v>
      </c>
      <c r="O53" s="274"/>
      <c r="P53" s="274"/>
      <c r="Q53" s="1483">
        <f t="shared" si="5"/>
        <v>0</v>
      </c>
      <c r="R53" s="1817">
        <f t="shared" si="6"/>
        <v>69825991</v>
      </c>
      <c r="S53"/>
      <c r="U53" s="782"/>
    </row>
    <row r="54" spans="1:28" s="813" customFormat="1" ht="27" customHeight="1">
      <c r="B54" s="1433"/>
      <c r="C54" s="567" t="s">
        <v>768</v>
      </c>
      <c r="D54" s="2213" t="s">
        <v>235</v>
      </c>
      <c r="E54" s="2213">
        <v>7490</v>
      </c>
      <c r="F54" s="2213">
        <v>83990</v>
      </c>
      <c r="G54" s="2213" t="s">
        <v>207</v>
      </c>
      <c r="H54" s="2213">
        <v>33</v>
      </c>
      <c r="I54" s="273">
        <v>162249003.84</v>
      </c>
      <c r="J54" s="274">
        <f>162249003.84-46705120.84</f>
        <v>115543883</v>
      </c>
      <c r="K54" s="273"/>
      <c r="L54" s="273"/>
      <c r="M54" s="273"/>
      <c r="N54" s="259">
        <f t="shared" si="4"/>
        <v>115543883</v>
      </c>
      <c r="O54" s="274"/>
      <c r="P54" s="274"/>
      <c r="Q54" s="1483">
        <f t="shared" si="5"/>
        <v>0</v>
      </c>
      <c r="R54" s="1817">
        <f t="shared" si="6"/>
        <v>115543883</v>
      </c>
      <c r="S54"/>
      <c r="U54" s="782"/>
    </row>
    <row r="55" spans="1:28" s="813" customFormat="1" ht="27" customHeight="1">
      <c r="B55" s="1433"/>
      <c r="C55" s="567" t="s">
        <v>769</v>
      </c>
      <c r="D55" s="2213" t="s">
        <v>591</v>
      </c>
      <c r="E55" s="2213">
        <v>7490</v>
      </c>
      <c r="F55" s="2213">
        <v>83990</v>
      </c>
      <c r="G55" s="2213" t="s">
        <v>207</v>
      </c>
      <c r="H55" s="2213">
        <v>12</v>
      </c>
      <c r="I55" s="273">
        <v>58999637.760000005</v>
      </c>
      <c r="J55" s="274">
        <f>58999637.76-7246092.76000001</f>
        <v>51753544.999999985</v>
      </c>
      <c r="K55" s="273"/>
      <c r="L55" s="273"/>
      <c r="M55" s="273"/>
      <c r="N55" s="259">
        <f t="shared" si="4"/>
        <v>51753544.999999985</v>
      </c>
      <c r="O55" s="274"/>
      <c r="P55" s="274"/>
      <c r="Q55" s="1483">
        <f t="shared" si="5"/>
        <v>0</v>
      </c>
      <c r="R55" s="1817">
        <f t="shared" si="6"/>
        <v>51753544.999999985</v>
      </c>
      <c r="S55"/>
      <c r="U55" s="782"/>
    </row>
    <row r="56" spans="1:28" s="813" customFormat="1" ht="27" customHeight="1">
      <c r="B56" s="1433"/>
      <c r="C56" s="2574" t="s">
        <v>1397</v>
      </c>
      <c r="D56" s="2218" t="s">
        <v>729</v>
      </c>
      <c r="E56" s="2048">
        <v>3131001</v>
      </c>
      <c r="F56" s="2213"/>
      <c r="G56" s="2213"/>
      <c r="H56" s="2213"/>
      <c r="I56" s="273"/>
      <c r="J56" s="274">
        <v>2129484</v>
      </c>
      <c r="K56" s="273"/>
      <c r="L56" s="273"/>
      <c r="M56" s="273"/>
      <c r="N56" s="259">
        <f t="shared" si="4"/>
        <v>2129484</v>
      </c>
      <c r="O56" s="274"/>
      <c r="P56" s="274"/>
      <c r="Q56" s="1483">
        <f t="shared" si="5"/>
        <v>0</v>
      </c>
      <c r="R56" s="1817">
        <f t="shared" si="6"/>
        <v>2129484</v>
      </c>
      <c r="S56"/>
      <c r="U56" s="782"/>
    </row>
    <row r="57" spans="1:28" s="813" customFormat="1" ht="27" customHeight="1">
      <c r="B57" s="1433"/>
      <c r="C57" s="2575"/>
      <c r="D57" s="2219" t="s">
        <v>1335</v>
      </c>
      <c r="E57" s="2048">
        <v>4299212</v>
      </c>
      <c r="F57" s="2213"/>
      <c r="G57" s="2213"/>
      <c r="H57" s="2213"/>
      <c r="I57" s="273"/>
      <c r="J57" s="274">
        <v>68114</v>
      </c>
      <c r="K57" s="273"/>
      <c r="L57" s="273"/>
      <c r="M57" s="273"/>
      <c r="N57" s="259">
        <f t="shared" si="4"/>
        <v>68114</v>
      </c>
      <c r="O57" s="274"/>
      <c r="P57" s="274"/>
      <c r="Q57" s="1483"/>
      <c r="R57" s="1817">
        <f t="shared" si="6"/>
        <v>68114</v>
      </c>
      <c r="S57" s="47">
        <v>2255790</v>
      </c>
      <c r="U57" s="782"/>
    </row>
    <row r="58" spans="1:28" s="813" customFormat="1" ht="27" customHeight="1">
      <c r="B58" s="1433"/>
      <c r="C58" s="2576"/>
      <c r="D58" s="2219" t="s">
        <v>1335</v>
      </c>
      <c r="E58" s="2048">
        <v>4294408</v>
      </c>
      <c r="F58" s="2213"/>
      <c r="G58" s="2213"/>
      <c r="H58" s="2213"/>
      <c r="I58" s="273"/>
      <c r="J58" s="274">
        <v>58192</v>
      </c>
      <c r="K58" s="273"/>
      <c r="L58" s="273"/>
      <c r="M58" s="273"/>
      <c r="N58" s="259">
        <f t="shared" si="4"/>
        <v>58192</v>
      </c>
      <c r="O58" s="274"/>
      <c r="P58" s="274"/>
      <c r="Q58" s="1483"/>
      <c r="R58" s="1817">
        <f t="shared" si="6"/>
        <v>58192</v>
      </c>
      <c r="S58"/>
      <c r="U58" s="782"/>
    </row>
    <row r="59" spans="1:28" s="813" customFormat="1" ht="67.5" customHeight="1">
      <c r="B59" s="1433"/>
      <c r="C59" s="567" t="s">
        <v>737</v>
      </c>
      <c r="D59" s="2213" t="s">
        <v>568</v>
      </c>
      <c r="E59" s="2213">
        <v>4921</v>
      </c>
      <c r="F59" s="2213" t="s">
        <v>602</v>
      </c>
      <c r="G59" s="2213" t="s">
        <v>732</v>
      </c>
      <c r="H59" s="2213">
        <v>1</v>
      </c>
      <c r="I59" s="273">
        <v>21095128</v>
      </c>
      <c r="J59" s="274">
        <f>21095128</f>
        <v>21095128</v>
      </c>
      <c r="K59" s="273">
        <f>21533577</f>
        <v>21533577</v>
      </c>
      <c r="L59" s="273"/>
      <c r="M59" s="273"/>
      <c r="N59" s="259">
        <f t="shared" si="4"/>
        <v>42628705</v>
      </c>
      <c r="O59" s="274"/>
      <c r="P59" s="274"/>
      <c r="Q59" s="1483">
        <f t="shared" si="5"/>
        <v>0</v>
      </c>
      <c r="R59" s="1817">
        <f t="shared" si="6"/>
        <v>42628705</v>
      </c>
      <c r="S59"/>
      <c r="U59" s="782"/>
    </row>
    <row r="60" spans="1:28" s="813" customFormat="1" ht="79.5" customHeight="1" thickBot="1">
      <c r="B60" s="1433"/>
      <c r="C60" s="567" t="s">
        <v>738</v>
      </c>
      <c r="D60" s="811" t="s">
        <v>568</v>
      </c>
      <c r="E60" s="811"/>
      <c r="F60" s="811"/>
      <c r="G60" s="811"/>
      <c r="H60" s="811"/>
      <c r="I60" s="273">
        <v>15196029</v>
      </c>
      <c r="J60" s="274">
        <v>13428360</v>
      </c>
      <c r="K60" s="273">
        <f>15196029</f>
        <v>15196029</v>
      </c>
      <c r="L60" s="273"/>
      <c r="M60" s="273"/>
      <c r="N60" s="259">
        <f t="shared" si="4"/>
        <v>28624389</v>
      </c>
      <c r="O60" s="274"/>
      <c r="P60" s="274"/>
      <c r="Q60" s="1483">
        <f t="shared" si="5"/>
        <v>0</v>
      </c>
      <c r="R60" s="1817">
        <f t="shared" si="6"/>
        <v>28624389</v>
      </c>
      <c r="S60"/>
      <c r="U60" s="782"/>
    </row>
    <row r="61" spans="1:28" ht="105" customHeight="1" thickBot="1">
      <c r="A61" s="1306">
        <v>137</v>
      </c>
      <c r="B61" s="1425"/>
      <c r="C61" s="499" t="s">
        <v>293</v>
      </c>
      <c r="D61" s="1337"/>
      <c r="E61" s="1337"/>
      <c r="F61" s="1337"/>
      <c r="G61" s="1337" t="s">
        <v>210</v>
      </c>
      <c r="H61" s="1337">
        <v>1</v>
      </c>
      <c r="I61" s="1338"/>
      <c r="J61" s="1339">
        <f t="shared" ref="J61:P61" si="7">+J62</f>
        <v>0</v>
      </c>
      <c r="K61" s="1339">
        <f t="shared" si="7"/>
        <v>0</v>
      </c>
      <c r="L61" s="1339">
        <f t="shared" si="7"/>
        <v>2124435842</v>
      </c>
      <c r="M61" s="1339">
        <f t="shared" si="7"/>
        <v>0</v>
      </c>
      <c r="N61" s="1340">
        <f t="shared" si="7"/>
        <v>2124435842</v>
      </c>
      <c r="O61" s="1339">
        <f t="shared" si="7"/>
        <v>0</v>
      </c>
      <c r="P61" s="1339">
        <f t="shared" si="7"/>
        <v>0</v>
      </c>
      <c r="Q61" s="1814">
        <f>+P61+O61</f>
        <v>0</v>
      </c>
      <c r="R61" s="1818">
        <f>+Q61+N61</f>
        <v>2124435842</v>
      </c>
    </row>
    <row r="62" spans="1:28" ht="25.5" customHeight="1">
      <c r="A62" s="1306"/>
      <c r="B62" s="1425" t="s">
        <v>1072</v>
      </c>
      <c r="C62" s="627" t="s">
        <v>770</v>
      </c>
      <c r="D62" s="629"/>
      <c r="E62" s="629"/>
      <c r="F62" s="629"/>
      <c r="G62" s="629" t="s">
        <v>210</v>
      </c>
      <c r="H62" s="629">
        <v>1</v>
      </c>
      <c r="I62" s="702"/>
      <c r="J62" s="700">
        <f>+SUM(J63)</f>
        <v>0</v>
      </c>
      <c r="K62" s="700">
        <f>+SUM(K63)</f>
        <v>0</v>
      </c>
      <c r="L62" s="700">
        <f>+SUM(L63:L64)</f>
        <v>2124435842</v>
      </c>
      <c r="M62" s="700">
        <f>+SUM(M63:M64)</f>
        <v>0</v>
      </c>
      <c r="N62" s="700">
        <f>+SUM(N63:N64)</f>
        <v>2124435842</v>
      </c>
      <c r="O62" s="1776">
        <f>+SUM(O63)</f>
        <v>0</v>
      </c>
      <c r="P62" s="700">
        <f>+SUM(P63)</f>
        <v>0</v>
      </c>
      <c r="Q62" s="700">
        <f>+SUM(Q63:Q64)</f>
        <v>0</v>
      </c>
      <c r="R62" s="1063">
        <f>+SUM(R63:R64)</f>
        <v>2124435842</v>
      </c>
      <c r="T62" t="s">
        <v>1360</v>
      </c>
      <c r="U62" s="517">
        <v>924320899.38399994</v>
      </c>
    </row>
    <row r="63" spans="1:28" s="813" customFormat="1">
      <c r="B63" s="1433"/>
      <c r="C63" s="567" t="s">
        <v>454</v>
      </c>
      <c r="D63" s="1469" t="s">
        <v>771</v>
      </c>
      <c r="E63" s="1469">
        <v>3700</v>
      </c>
      <c r="F63" s="1469">
        <v>94110</v>
      </c>
      <c r="G63" s="1469"/>
      <c r="H63" s="1469"/>
      <c r="I63" s="1469"/>
      <c r="J63" s="1470"/>
      <c r="K63" s="1470"/>
      <c r="L63" s="1470">
        <f>2155298058-943000000-1212298058</f>
        <v>0</v>
      </c>
      <c r="M63" s="1470"/>
      <c r="N63" s="259">
        <f>SUM(J63:M63)</f>
        <v>0</v>
      </c>
      <c r="O63" s="1470"/>
      <c r="P63" s="1470"/>
      <c r="Q63" s="1483"/>
      <c r="R63" s="1817">
        <f t="shared" ref="R63:R64" si="8">+Q63+N63</f>
        <v>0</v>
      </c>
      <c r="S63"/>
      <c r="T63" s="813" t="s">
        <v>1361</v>
      </c>
      <c r="U63" s="517">
        <f>1147570232*1.004</f>
        <v>1152160512.928</v>
      </c>
      <c r="W63"/>
      <c r="X63"/>
    </row>
    <row r="64" spans="1:28" s="813" customFormat="1" ht="15.75" thickBot="1">
      <c r="B64" s="1433"/>
      <c r="C64" s="1303" t="s">
        <v>1129</v>
      </c>
      <c r="D64" s="1469" t="s">
        <v>771</v>
      </c>
      <c r="E64" s="1469">
        <v>3700</v>
      </c>
      <c r="F64" s="1469">
        <v>94110</v>
      </c>
      <c r="G64" s="1471"/>
      <c r="H64" s="1471"/>
      <c r="I64" s="1472"/>
      <c r="J64" s="1473"/>
      <c r="K64" s="1473"/>
      <c r="L64" s="1473">
        <f>943000000+1212298058-30862216</f>
        <v>2124435842</v>
      </c>
      <c r="M64" s="1473"/>
      <c r="N64" s="259">
        <f>SUM(J64:M64)</f>
        <v>2124435842</v>
      </c>
      <c r="O64" s="1473"/>
      <c r="P64" s="1473"/>
      <c r="Q64" s="1483"/>
      <c r="R64" s="1817">
        <f t="shared" si="8"/>
        <v>2124435842</v>
      </c>
      <c r="S64"/>
      <c r="U64" s="2072">
        <f>SUM(U62:U63)</f>
        <v>2076481412.3119998</v>
      </c>
      <c r="W64"/>
      <c r="X64"/>
    </row>
    <row r="65" spans="1:21" ht="15.75" thickBot="1">
      <c r="A65" t="s">
        <v>448</v>
      </c>
      <c r="B65" s="1434"/>
      <c r="C65" s="2441" t="s">
        <v>10</v>
      </c>
      <c r="D65" s="2442"/>
      <c r="E65" s="2442"/>
      <c r="F65" s="2442"/>
      <c r="G65" s="2442"/>
      <c r="H65" s="2442"/>
      <c r="I65" s="2558"/>
      <c r="J65" s="1455">
        <f t="shared" ref="J65:R65" si="9">+J10+J17+J61</f>
        <v>3299130608.4200001</v>
      </c>
      <c r="K65" s="1455">
        <f t="shared" si="9"/>
        <v>321351843</v>
      </c>
      <c r="L65" s="1455">
        <f t="shared" si="9"/>
        <v>2124435842</v>
      </c>
      <c r="M65" s="1455">
        <f t="shared" si="9"/>
        <v>2650851216</v>
      </c>
      <c r="N65" s="1456">
        <f t="shared" si="9"/>
        <v>8395769509.4199991</v>
      </c>
      <c r="O65" s="1455">
        <f t="shared" si="9"/>
        <v>14999999.816000002</v>
      </c>
      <c r="P65" s="1455">
        <f t="shared" si="9"/>
        <v>1062275855.646857</v>
      </c>
      <c r="Q65" s="1815">
        <f t="shared" si="9"/>
        <v>1077275855.4628572</v>
      </c>
      <c r="R65" s="754">
        <f t="shared" si="9"/>
        <v>9473045364.8828545</v>
      </c>
    </row>
    <row r="66" spans="1:21" ht="15.75" thickBot="1">
      <c r="B66" s="1434"/>
      <c r="C66" s="275"/>
      <c r="N66" s="362"/>
      <c r="O66" s="362"/>
      <c r="P66" s="362"/>
      <c r="Q66" s="362"/>
      <c r="R66" s="362"/>
      <c r="T66" s="131" t="s">
        <v>1136</v>
      </c>
      <c r="U66" s="2064">
        <f>+R64-U64</f>
        <v>47954429.688000202</v>
      </c>
    </row>
    <row r="67" spans="1:21" ht="15.75" thickBot="1">
      <c r="C67" s="275"/>
      <c r="J67" s="559">
        <v>3299130608</v>
      </c>
      <c r="K67" s="559">
        <v>321351843</v>
      </c>
      <c r="L67" s="559">
        <f>2155298058-30862216</f>
        <v>2124435842</v>
      </c>
      <c r="M67" s="559">
        <v>2650851216</v>
      </c>
      <c r="N67" s="901">
        <f>8426631725-30862216</f>
        <v>8395769509</v>
      </c>
      <c r="O67" s="559">
        <v>15000000</v>
      </c>
      <c r="P67" s="559">
        <v>1062275855.646857</v>
      </c>
      <c r="Q67" s="901">
        <v>1077275856</v>
      </c>
      <c r="R67" s="901">
        <f>9503907581-30862216</f>
        <v>9473045365</v>
      </c>
    </row>
    <row r="68" spans="1:21">
      <c r="C68" s="275"/>
      <c r="N68" s="362"/>
      <c r="O68" s="275"/>
      <c r="P68" s="275"/>
      <c r="Q68" s="275"/>
      <c r="T68" s="47"/>
    </row>
    <row r="69" spans="1:21">
      <c r="C69" s="275"/>
      <c r="D69" s="795"/>
      <c r="J69" s="795">
        <f>+J67-J65</f>
        <v>-0.42000007629394531</v>
      </c>
      <c r="K69" s="795">
        <f>+K67-K65</f>
        <v>0</v>
      </c>
      <c r="L69" s="558">
        <f>+L67-L65</f>
        <v>0</v>
      </c>
      <c r="M69" s="558">
        <f>+M67-M65</f>
        <v>0</v>
      </c>
      <c r="N69" s="558">
        <f>+N67-N65</f>
        <v>-0.41999912261962891</v>
      </c>
      <c r="O69" s="558">
        <f t="shared" ref="O69:R69" si="10">+O67-O65</f>
        <v>0.18399999849498272</v>
      </c>
      <c r="P69" s="558">
        <f t="shared" si="10"/>
        <v>0</v>
      </c>
      <c r="Q69" s="558">
        <f t="shared" si="10"/>
        <v>0.53714275360107422</v>
      </c>
      <c r="R69" s="558">
        <f t="shared" si="10"/>
        <v>0.11714553833007813</v>
      </c>
    </row>
    <row r="70" spans="1:21">
      <c r="C70" s="275"/>
      <c r="J70" s="558"/>
      <c r="N70" s="362"/>
      <c r="O70" s="275"/>
      <c r="P70" s="275"/>
      <c r="Q70" s="275"/>
    </row>
    <row r="71" spans="1:21">
      <c r="D71"/>
      <c r="E71"/>
      <c r="F71"/>
      <c r="G71"/>
      <c r="H71"/>
      <c r="I71"/>
      <c r="J71"/>
      <c r="K71"/>
      <c r="L71"/>
    </row>
  </sheetData>
  <mergeCells count="34">
    <mergeCell ref="C5:R5"/>
    <mergeCell ref="C6:R6"/>
    <mergeCell ref="Q7:Q9"/>
    <mergeCell ref="R7:R9"/>
    <mergeCell ref="O7:P7"/>
    <mergeCell ref="O8:O9"/>
    <mergeCell ref="P8:P9"/>
    <mergeCell ref="C1:C3"/>
    <mergeCell ref="Q1:R1"/>
    <mergeCell ref="Q2:R2"/>
    <mergeCell ref="Q3:R3"/>
    <mergeCell ref="D1:P3"/>
    <mergeCell ref="A7:A9"/>
    <mergeCell ref="B7:B9"/>
    <mergeCell ref="C28:C48"/>
    <mergeCell ref="D29:D35"/>
    <mergeCell ref="D36:D48"/>
    <mergeCell ref="C23:C24"/>
    <mergeCell ref="C65:I65"/>
    <mergeCell ref="N7:N9"/>
    <mergeCell ref="H7:H9"/>
    <mergeCell ref="C7:C9"/>
    <mergeCell ref="D7:D9"/>
    <mergeCell ref="E7:E9"/>
    <mergeCell ref="F7:F9"/>
    <mergeCell ref="G7:G9"/>
    <mergeCell ref="I7:I9"/>
    <mergeCell ref="K7:K9"/>
    <mergeCell ref="J7:J9"/>
    <mergeCell ref="L7:L9"/>
    <mergeCell ref="M7:M9"/>
    <mergeCell ref="C56:C58"/>
    <mergeCell ref="G23:G24"/>
    <mergeCell ref="H23:H24"/>
  </mergeCells>
  <pageMargins left="0.7" right="0.7" top="0.75" bottom="0.75" header="0.3" footer="0.3"/>
  <pageSetup paperSize="9" orientation="portrait" verticalDpi="597"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4">
    <tabColor theme="7" tint="0.59999389629810485"/>
  </sheetPr>
  <dimension ref="A1:M32"/>
  <sheetViews>
    <sheetView workbookViewId="0"/>
  </sheetViews>
  <sheetFormatPr baseColWidth="10" defaultRowHeight="15"/>
  <cols>
    <col min="2" max="2" width="38.7109375" customWidth="1"/>
    <col min="3" max="4" width="11.42578125" customWidth="1"/>
    <col min="5" max="5" width="15.28515625" bestFit="1" customWidth="1"/>
    <col min="6" max="6" width="13.85546875" customWidth="1"/>
    <col min="7" max="7" width="13.5703125" bestFit="1" customWidth="1"/>
    <col min="8" max="8" width="15.28515625" bestFit="1" customWidth="1"/>
    <col min="9" max="9" width="14.5703125" customWidth="1"/>
    <col min="10" max="11" width="13.5703125" bestFit="1" customWidth="1"/>
    <col min="12" max="12" width="16" customWidth="1"/>
    <col min="13" max="13" width="15.5703125" customWidth="1"/>
  </cols>
  <sheetData>
    <row r="1" spans="1:12">
      <c r="B1" s="2597"/>
      <c r="C1" s="2430" t="s">
        <v>542</v>
      </c>
      <c r="D1" s="2431"/>
      <c r="E1" s="2431"/>
      <c r="F1" s="2431"/>
      <c r="G1" s="2431"/>
      <c r="H1" s="2431"/>
      <c r="I1" s="2431"/>
      <c r="J1" s="2432"/>
      <c r="K1" s="2495" t="s">
        <v>539</v>
      </c>
      <c r="L1" s="2496"/>
    </row>
    <row r="2" spans="1:12">
      <c r="B2" s="2598"/>
      <c r="C2" s="2433"/>
      <c r="D2" s="2434"/>
      <c r="E2" s="2434"/>
      <c r="F2" s="2434"/>
      <c r="G2" s="2434"/>
      <c r="H2" s="2434"/>
      <c r="I2" s="2434"/>
      <c r="J2" s="2435"/>
      <c r="K2" s="2497" t="s">
        <v>540</v>
      </c>
      <c r="L2" s="2498"/>
    </row>
    <row r="3" spans="1:12" ht="15.75" thickBot="1">
      <c r="B3" s="2599"/>
      <c r="C3" s="2436"/>
      <c r="D3" s="2437"/>
      <c r="E3" s="2437"/>
      <c r="F3" s="2437"/>
      <c r="G3" s="2437"/>
      <c r="H3" s="2437"/>
      <c r="I3" s="2437"/>
      <c r="J3" s="2438"/>
      <c r="K3" s="2499" t="s">
        <v>541</v>
      </c>
      <c r="L3" s="2500"/>
    </row>
    <row r="4" spans="1:12" ht="7.5" customHeight="1" thickBot="1">
      <c r="B4" s="841"/>
      <c r="C4" s="841"/>
      <c r="D4" s="841"/>
      <c r="E4" s="863"/>
      <c r="F4" s="864"/>
      <c r="G4" s="864"/>
      <c r="H4" s="864"/>
    </row>
    <row r="5" spans="1:12" ht="15.75" thickBot="1">
      <c r="B5" s="2528" t="s">
        <v>419</v>
      </c>
      <c r="C5" s="2529"/>
      <c r="D5" s="2529"/>
      <c r="E5" s="2529"/>
      <c r="F5" s="2529"/>
      <c r="G5" s="2529"/>
      <c r="H5" s="2529"/>
      <c r="I5" s="2529"/>
      <c r="J5" s="2529"/>
      <c r="K5" s="2529"/>
      <c r="L5" s="2530"/>
    </row>
    <row r="6" spans="1:12" s="1" customFormat="1" ht="15.75" customHeight="1" thickBot="1">
      <c r="B6" s="2402" t="s">
        <v>185</v>
      </c>
      <c r="C6" s="2403"/>
      <c r="D6" s="2403"/>
      <c r="E6" s="2403"/>
      <c r="F6" s="2403"/>
      <c r="G6" s="2403"/>
      <c r="H6" s="2403"/>
      <c r="I6" s="2403"/>
      <c r="J6" s="2403"/>
      <c r="K6" s="2403"/>
      <c r="L6" s="2404"/>
    </row>
    <row r="7" spans="1:12" ht="15" customHeight="1" thickBot="1">
      <c r="A7" s="2397" t="s">
        <v>383</v>
      </c>
      <c r="B7" s="2493" t="s">
        <v>197</v>
      </c>
      <c r="C7" s="2440">
        <v>2023</v>
      </c>
      <c r="D7" s="2440"/>
      <c r="E7" s="2440"/>
      <c r="F7" s="2440"/>
      <c r="G7" s="2440"/>
      <c r="H7" s="2440"/>
      <c r="I7" s="2594">
        <v>2023</v>
      </c>
      <c r="J7" s="2595"/>
      <c r="K7" s="2596"/>
      <c r="L7" s="2532" t="s">
        <v>1212</v>
      </c>
    </row>
    <row r="8" spans="1:12" ht="15" customHeight="1" thickBot="1">
      <c r="A8" s="2397"/>
      <c r="B8" s="2493"/>
      <c r="C8" s="2414" t="s">
        <v>249</v>
      </c>
      <c r="D8" s="2397" t="s">
        <v>200</v>
      </c>
      <c r="E8" s="2493" t="s">
        <v>248</v>
      </c>
      <c r="F8" s="2493"/>
      <c r="G8" s="2493"/>
      <c r="H8" s="2397" t="s">
        <v>228</v>
      </c>
      <c r="I8" s="2591" t="s">
        <v>1234</v>
      </c>
      <c r="J8" s="2592"/>
      <c r="K8" s="2593"/>
      <c r="L8" s="2590"/>
    </row>
    <row r="9" spans="1:12" ht="36" customHeight="1" thickBot="1">
      <c r="A9" s="2397"/>
      <c r="B9" s="2493"/>
      <c r="C9" s="2414"/>
      <c r="D9" s="2397"/>
      <c r="E9" s="640" t="s">
        <v>201</v>
      </c>
      <c r="F9" s="640" t="s">
        <v>250</v>
      </c>
      <c r="G9" s="640" t="s">
        <v>202</v>
      </c>
      <c r="H9" s="2397"/>
      <c r="I9" s="1607" t="s">
        <v>201</v>
      </c>
      <c r="J9" s="1607" t="s">
        <v>374</v>
      </c>
      <c r="K9" s="1592" t="s">
        <v>1212</v>
      </c>
      <c r="L9" s="2538"/>
    </row>
    <row r="10" spans="1:12" ht="39" thickBot="1">
      <c r="A10" s="199">
        <v>3203033</v>
      </c>
      <c r="B10" s="414" t="s">
        <v>45</v>
      </c>
      <c r="C10" s="404" t="s">
        <v>214</v>
      </c>
      <c r="D10" s="404">
        <v>100</v>
      </c>
      <c r="E10" s="405">
        <f t="shared" ref="E10:L10" si="0">+E11</f>
        <v>3880737.9072000002</v>
      </c>
      <c r="F10" s="405">
        <f t="shared" si="0"/>
        <v>0</v>
      </c>
      <c r="G10" s="405">
        <f t="shared" si="0"/>
        <v>0</v>
      </c>
      <c r="H10" s="406">
        <f t="shared" si="0"/>
        <v>3880737.9072000002</v>
      </c>
      <c r="I10" s="1823">
        <f t="shared" si="0"/>
        <v>0</v>
      </c>
      <c r="J10" s="405">
        <f t="shared" si="0"/>
        <v>0</v>
      </c>
      <c r="K10" s="406">
        <f t="shared" si="0"/>
        <v>0</v>
      </c>
      <c r="L10" s="1837">
        <f t="shared" si="0"/>
        <v>3880737.9072000002</v>
      </c>
    </row>
    <row r="11" spans="1:12" ht="39" thickBot="1">
      <c r="B11" s="427" t="s">
        <v>294</v>
      </c>
      <c r="C11" s="407" t="s">
        <v>214</v>
      </c>
      <c r="D11" s="407">
        <v>100</v>
      </c>
      <c r="E11" s="408">
        <f>+'ACCIONES 320302'!I11</f>
        <v>3880737.9072000002</v>
      </c>
      <c r="F11" s="408">
        <f>+'ACCIONES 320302'!J11</f>
        <v>0</v>
      </c>
      <c r="G11" s="408">
        <f>+'ACCIONES 320302'!K11</f>
        <v>0</v>
      </c>
      <c r="H11" s="409">
        <f>+'ACCIONES 320302'!L11</f>
        <v>3880737.9072000002</v>
      </c>
      <c r="I11" s="1824">
        <f>+'ACCIONES 320302'!M11</f>
        <v>0</v>
      </c>
      <c r="J11" s="408">
        <f>+'ACCIONES 320302'!N11</f>
        <v>0</v>
      </c>
      <c r="K11" s="409">
        <f>+SUM(I11:J11)</f>
        <v>0</v>
      </c>
      <c r="L11" s="1838">
        <f>+K11+H11</f>
        <v>3880737.9072000002</v>
      </c>
    </row>
    <row r="12" spans="1:12" ht="39" thickBot="1">
      <c r="A12" s="200">
        <v>3203034</v>
      </c>
      <c r="B12" s="403" t="s">
        <v>47</v>
      </c>
      <c r="C12" s="404" t="s">
        <v>214</v>
      </c>
      <c r="D12" s="404">
        <v>100</v>
      </c>
      <c r="E12" s="405">
        <f t="shared" ref="E12:L12" si="1">+E13</f>
        <v>7761475.8144000005</v>
      </c>
      <c r="F12" s="405">
        <f t="shared" si="1"/>
        <v>0</v>
      </c>
      <c r="G12" s="405">
        <f t="shared" si="1"/>
        <v>0</v>
      </c>
      <c r="H12" s="406">
        <f t="shared" si="1"/>
        <v>7761475.8144000005</v>
      </c>
      <c r="I12" s="1823">
        <f t="shared" si="1"/>
        <v>0</v>
      </c>
      <c r="J12" s="405">
        <f t="shared" si="1"/>
        <v>0</v>
      </c>
      <c r="K12" s="406">
        <f t="shared" si="1"/>
        <v>0</v>
      </c>
      <c r="L12" s="1837">
        <f t="shared" si="1"/>
        <v>7761475.8144000005</v>
      </c>
    </row>
    <row r="13" spans="1:12" ht="39" thickBot="1">
      <c r="B13" s="376" t="s">
        <v>295</v>
      </c>
      <c r="C13" s="407" t="s">
        <v>214</v>
      </c>
      <c r="D13" s="407">
        <v>100</v>
      </c>
      <c r="E13" s="408">
        <f>+'ACCIONES 320302'!I15</f>
        <v>7761475.8144000005</v>
      </c>
      <c r="F13" s="408">
        <f>+'ACCIONES 320302'!J15</f>
        <v>0</v>
      </c>
      <c r="G13" s="408">
        <f>+'ACCIONES 320302'!K15</f>
        <v>0</v>
      </c>
      <c r="H13" s="409">
        <f>+'ACCIONES 320302'!L15</f>
        <v>7761475.8144000005</v>
      </c>
      <c r="I13" s="1824">
        <f>+'ACCIONES 320302'!M15</f>
        <v>0</v>
      </c>
      <c r="J13" s="408">
        <f>+'ACCIONES 320302'!N15</f>
        <v>0</v>
      </c>
      <c r="K13" s="409">
        <v>0</v>
      </c>
      <c r="L13" s="1838">
        <f>+K13+H13</f>
        <v>7761475.8144000005</v>
      </c>
    </row>
    <row r="14" spans="1:12" ht="47.25" customHeight="1" thickBot="1">
      <c r="A14" s="201">
        <v>3203002</v>
      </c>
      <c r="B14" s="460" t="s">
        <v>56</v>
      </c>
      <c r="C14" s="461" t="s">
        <v>214</v>
      </c>
      <c r="D14" s="404">
        <v>100</v>
      </c>
      <c r="E14" s="462">
        <f t="shared" ref="E14:L14" si="2">+E15</f>
        <v>0</v>
      </c>
      <c r="F14" s="462">
        <f t="shared" si="2"/>
        <v>0</v>
      </c>
      <c r="G14" s="462">
        <f t="shared" si="2"/>
        <v>93935460.162</v>
      </c>
      <c r="H14" s="1832">
        <f t="shared" si="2"/>
        <v>93935460.162</v>
      </c>
      <c r="I14" s="1825">
        <f t="shared" si="2"/>
        <v>0</v>
      </c>
      <c r="J14" s="462">
        <f t="shared" si="2"/>
        <v>0</v>
      </c>
      <c r="K14" s="1832">
        <f t="shared" si="2"/>
        <v>0</v>
      </c>
      <c r="L14" s="1839">
        <f t="shared" si="2"/>
        <v>93935460.162</v>
      </c>
    </row>
    <row r="15" spans="1:12" ht="26.25" thickBot="1">
      <c r="B15" s="546" t="s">
        <v>296</v>
      </c>
      <c r="C15" s="547" t="s">
        <v>214</v>
      </c>
      <c r="D15" s="547">
        <v>100</v>
      </c>
      <c r="E15" s="548">
        <f>+'ACCIONES 320302'!I19</f>
        <v>0</v>
      </c>
      <c r="F15" s="548">
        <f>+'ACCIONES 320302'!J19</f>
        <v>0</v>
      </c>
      <c r="G15" s="548">
        <f>+'ACCIONES 320302'!K19</f>
        <v>93935460.162</v>
      </c>
      <c r="H15" s="1763">
        <f>+'ACCIONES 320302'!L19</f>
        <v>93935460.162</v>
      </c>
      <c r="I15" s="1826">
        <f>+'ACCIONES 320302'!M19</f>
        <v>0</v>
      </c>
      <c r="J15" s="548">
        <f>+'ACCIONES 320302'!N19</f>
        <v>0</v>
      </c>
      <c r="K15" s="1763">
        <f>+SUM(I15:J15)</f>
        <v>0</v>
      </c>
      <c r="L15" s="1762">
        <f>+K15+H15</f>
        <v>93935460.162</v>
      </c>
    </row>
    <row r="16" spans="1:12" ht="39" thickBot="1">
      <c r="A16" s="201">
        <v>3203002</v>
      </c>
      <c r="B16" s="579" t="s">
        <v>57</v>
      </c>
      <c r="C16" s="580" t="s">
        <v>214</v>
      </c>
      <c r="D16" s="581">
        <v>100</v>
      </c>
      <c r="E16" s="582">
        <f t="shared" ref="E16:L16" si="3">SUM(E17:E17)</f>
        <v>0</v>
      </c>
      <c r="F16" s="582">
        <f t="shared" si="3"/>
        <v>0</v>
      </c>
      <c r="G16" s="582">
        <f t="shared" si="3"/>
        <v>214066972.162</v>
      </c>
      <c r="H16" s="1833">
        <f t="shared" si="3"/>
        <v>214066972.162</v>
      </c>
      <c r="I16" s="1827">
        <f t="shared" si="3"/>
        <v>0</v>
      </c>
      <c r="J16" s="582">
        <f t="shared" si="3"/>
        <v>0</v>
      </c>
      <c r="K16" s="1833">
        <f t="shared" si="3"/>
        <v>0</v>
      </c>
      <c r="L16" s="1840">
        <f t="shared" si="3"/>
        <v>214066972.162</v>
      </c>
    </row>
    <row r="17" spans="1:13" ht="15" customHeight="1" thickBot="1">
      <c r="B17" s="1407" t="s">
        <v>297</v>
      </c>
      <c r="C17" s="1408" t="s">
        <v>214</v>
      </c>
      <c r="D17" s="1408">
        <v>100</v>
      </c>
      <c r="E17" s="1409">
        <f>+'ACCIONES 320302'!I22</f>
        <v>0</v>
      </c>
      <c r="F17" s="1409">
        <f>+'ACCIONES 320302'!J22</f>
        <v>0</v>
      </c>
      <c r="G17" s="1409">
        <f>+'ACCIONES 320302'!K22</f>
        <v>214066972.162</v>
      </c>
      <c r="H17" s="1764">
        <f>+'ACCIONES 320302'!L22</f>
        <v>214066972.162</v>
      </c>
      <c r="I17" s="1847">
        <f>+'ACCIONES 320302'!M22</f>
        <v>0</v>
      </c>
      <c r="J17" s="1409">
        <f>+'ACCIONES 320302'!N22</f>
        <v>0</v>
      </c>
      <c r="K17" s="1763">
        <f>+SUM(I17:J17)</f>
        <v>0</v>
      </c>
      <c r="L17" s="1762">
        <f>+K17+H17</f>
        <v>214066972.162</v>
      </c>
    </row>
    <row r="18" spans="1:13" ht="39" thickBot="1">
      <c r="A18" s="202">
        <v>3203045</v>
      </c>
      <c r="B18" s="416" t="s">
        <v>58</v>
      </c>
      <c r="C18" s="411" t="s">
        <v>210</v>
      </c>
      <c r="D18" s="379">
        <v>1</v>
      </c>
      <c r="E18" s="431">
        <f t="shared" ref="E18:L18" si="4">+SUM(E19:E21)</f>
        <v>1422424549.5320883</v>
      </c>
      <c r="F18" s="431">
        <f t="shared" si="4"/>
        <v>239477562</v>
      </c>
      <c r="G18" s="431">
        <f t="shared" si="4"/>
        <v>361615031.59199995</v>
      </c>
      <c r="H18" s="432">
        <f t="shared" si="4"/>
        <v>2023517143.1240883</v>
      </c>
      <c r="I18" s="1848">
        <f t="shared" si="4"/>
        <v>211211593.87200004</v>
      </c>
      <c r="J18" s="1819">
        <f t="shared" si="4"/>
        <v>2023323</v>
      </c>
      <c r="K18" s="1765">
        <f t="shared" si="4"/>
        <v>213234916.87200004</v>
      </c>
      <c r="L18" s="1841">
        <f t="shared" si="4"/>
        <v>2236752059.9960885</v>
      </c>
    </row>
    <row r="19" spans="1:13" ht="38.25">
      <c r="B19" s="536" t="s">
        <v>298</v>
      </c>
      <c r="C19" s="524" t="s">
        <v>209</v>
      </c>
      <c r="D19" s="537">
        <v>1</v>
      </c>
      <c r="E19" s="533">
        <f>+'ACCIONES 320302'!I25</f>
        <v>33655618</v>
      </c>
      <c r="F19" s="533">
        <f>+'ACCIONES 320302'!J25</f>
        <v>239477562</v>
      </c>
      <c r="G19" s="533">
        <f>+'ACCIONES 320302'!K25</f>
        <v>0</v>
      </c>
      <c r="H19" s="534">
        <f>+'ACCIONES 320302'!L25</f>
        <v>273133180</v>
      </c>
      <c r="I19" s="1760">
        <f>+'ACCIONES 320302'!M25</f>
        <v>0</v>
      </c>
      <c r="J19" s="1758">
        <f>+'ACCIONES 320302'!N25</f>
        <v>0</v>
      </c>
      <c r="K19" s="125">
        <f t="shared" ref="K19:K26" si="5">+SUM(I19:J19)</f>
        <v>0</v>
      </c>
      <c r="L19" s="1842">
        <f t="shared" ref="L19:L26" si="6">+K19+H19</f>
        <v>273133180</v>
      </c>
    </row>
    <row r="20" spans="1:13" ht="25.5">
      <c r="B20" s="21" t="s">
        <v>299</v>
      </c>
      <c r="C20" s="14" t="s">
        <v>209</v>
      </c>
      <c r="D20" s="8">
        <v>1</v>
      </c>
      <c r="E20" s="28">
        <f>+'ACCIONES 320302'!I27</f>
        <v>104371070.1788052</v>
      </c>
      <c r="F20" s="28">
        <f>+'ACCIONES 320302'!J27</f>
        <v>0</v>
      </c>
      <c r="G20" s="28">
        <f>+'ACCIONES 320302'!K27</f>
        <v>24897966</v>
      </c>
      <c r="H20" s="1822">
        <f>+'ACCIONES 320302'!L27</f>
        <v>129269036.1788052</v>
      </c>
      <c r="I20" s="1828">
        <f>+'ACCIONES 320302'!M27</f>
        <v>0</v>
      </c>
      <c r="J20" s="1085">
        <f>+'ACCIONES 320302'!N27</f>
        <v>0</v>
      </c>
      <c r="K20" s="1822">
        <f t="shared" si="5"/>
        <v>0</v>
      </c>
      <c r="L20" s="1821">
        <f t="shared" si="6"/>
        <v>129269036.1788052</v>
      </c>
    </row>
    <row r="21" spans="1:13" ht="39" thickBot="1">
      <c r="B21" s="253" t="s">
        <v>300</v>
      </c>
      <c r="C21" s="127" t="s">
        <v>209</v>
      </c>
      <c r="D21" s="191">
        <v>1</v>
      </c>
      <c r="E21" s="128">
        <f>+'ACCIONES 320302'!I29</f>
        <v>1284397861.3532832</v>
      </c>
      <c r="F21" s="128">
        <f>+'ACCIONES 320302'!J29</f>
        <v>0</v>
      </c>
      <c r="G21" s="128">
        <f>+'ACCIONES 320302'!K29</f>
        <v>336717065.59199995</v>
      </c>
      <c r="H21" s="535">
        <f>+'ACCIONES 320302'!L29</f>
        <v>1621114926.9452832</v>
      </c>
      <c r="I21" s="1761">
        <f>+'ACCIONES 320302'!M29</f>
        <v>211211593.87200004</v>
      </c>
      <c r="J21" s="128">
        <f>+'ACCIONES 320302'!N29</f>
        <v>2023323</v>
      </c>
      <c r="K21" s="535">
        <f t="shared" si="5"/>
        <v>213234916.87200004</v>
      </c>
      <c r="L21" s="1820">
        <f t="shared" si="6"/>
        <v>1834349843.8172832</v>
      </c>
    </row>
    <row r="22" spans="1:13" ht="39" thickBot="1">
      <c r="A22" s="202">
        <v>3203005</v>
      </c>
      <c r="B22" s="549" t="s">
        <v>59</v>
      </c>
      <c r="C22" s="550" t="s">
        <v>210</v>
      </c>
      <c r="D22" s="550">
        <v>7</v>
      </c>
      <c r="E22" s="551">
        <f t="shared" ref="E22:L22" si="7">+E23</f>
        <v>324103856.95840001</v>
      </c>
      <c r="F22" s="551">
        <f t="shared" si="7"/>
        <v>0</v>
      </c>
      <c r="G22" s="551">
        <f t="shared" si="7"/>
        <v>0</v>
      </c>
      <c r="H22" s="1834">
        <f t="shared" si="7"/>
        <v>324103856.95840001</v>
      </c>
      <c r="I22" s="1829">
        <f t="shared" si="7"/>
        <v>0</v>
      </c>
      <c r="J22" s="551">
        <f t="shared" si="7"/>
        <v>0</v>
      </c>
      <c r="K22" s="1834">
        <f t="shared" si="7"/>
        <v>0</v>
      </c>
      <c r="L22" s="1843">
        <f t="shared" si="7"/>
        <v>324103856.95840001</v>
      </c>
    </row>
    <row r="23" spans="1:13" ht="26.25" thickBot="1">
      <c r="B23" s="546" t="s">
        <v>301</v>
      </c>
      <c r="C23" s="547" t="s">
        <v>210</v>
      </c>
      <c r="D23" s="547">
        <v>7</v>
      </c>
      <c r="E23" s="548">
        <f>+'ACCIONES 320302'!I109</f>
        <v>324103856.95840001</v>
      </c>
      <c r="F23" s="548">
        <f>+'ACCIONES 320302'!J109</f>
        <v>0</v>
      </c>
      <c r="G23" s="548">
        <f>+'ACCIONES 320302'!K109</f>
        <v>0</v>
      </c>
      <c r="H23" s="1763">
        <f>+'ACCIONES 320302'!L109</f>
        <v>324103856.95840001</v>
      </c>
      <c r="I23" s="1826">
        <f>+'ACCIONES 320302'!M109</f>
        <v>0</v>
      </c>
      <c r="J23" s="548">
        <f>+'ACCIONES 320302'!N109</f>
        <v>0</v>
      </c>
      <c r="K23" s="1763">
        <f t="shared" si="5"/>
        <v>0</v>
      </c>
      <c r="L23" s="1762">
        <f t="shared" si="6"/>
        <v>324103856.95840001</v>
      </c>
    </row>
    <row r="24" spans="1:13" ht="26.25" thickBot="1">
      <c r="A24" s="189">
        <v>3203044</v>
      </c>
      <c r="B24" s="543" t="s">
        <v>3</v>
      </c>
      <c r="C24" s="544" t="s">
        <v>214</v>
      </c>
      <c r="D24" s="544">
        <v>100</v>
      </c>
      <c r="E24" s="545">
        <f t="shared" ref="E24:L24" si="8">+E25+E26</f>
        <v>0</v>
      </c>
      <c r="F24" s="545">
        <f t="shared" si="8"/>
        <v>0</v>
      </c>
      <c r="G24" s="545">
        <f t="shared" si="8"/>
        <v>0</v>
      </c>
      <c r="H24" s="1835">
        <f t="shared" si="8"/>
        <v>0</v>
      </c>
      <c r="I24" s="1830">
        <f t="shared" si="8"/>
        <v>7761474.2079999996</v>
      </c>
      <c r="J24" s="545">
        <f t="shared" si="8"/>
        <v>0</v>
      </c>
      <c r="K24" s="1835">
        <f t="shared" si="8"/>
        <v>7761474.2079999996</v>
      </c>
      <c r="L24" s="1844">
        <f t="shared" si="8"/>
        <v>7761474.2079999996</v>
      </c>
    </row>
    <row r="25" spans="1:13" s="68" customFormat="1" ht="25.5">
      <c r="B25" s="542" t="s">
        <v>302</v>
      </c>
      <c r="C25" s="537" t="s">
        <v>209</v>
      </c>
      <c r="D25" s="537">
        <v>1</v>
      </c>
      <c r="E25" s="533">
        <f>+'ACCIONES 320302'!I118</f>
        <v>0</v>
      </c>
      <c r="F25" s="533">
        <f>+'ACCIONES 320302'!J118</f>
        <v>0</v>
      </c>
      <c r="G25" s="533">
        <f>+'ACCIONES 320302'!K118</f>
        <v>0</v>
      </c>
      <c r="H25" s="534">
        <f>+'ACCIONES 320302'!L118</f>
        <v>0</v>
      </c>
      <c r="I25" s="1760">
        <f>+'ACCIONES 320302'!M118</f>
        <v>7761474.2079999996</v>
      </c>
      <c r="J25" s="533">
        <f>+'ACCIONES 320302'!N118</f>
        <v>0</v>
      </c>
      <c r="K25" s="1764">
        <f t="shared" si="5"/>
        <v>7761474.2079999996</v>
      </c>
      <c r="L25" s="1845">
        <f t="shared" si="6"/>
        <v>7761474.2079999996</v>
      </c>
      <c r="M25"/>
    </row>
    <row r="26" spans="1:13" s="68" customFormat="1" ht="39" thickBot="1">
      <c r="B26" s="51" t="s">
        <v>303</v>
      </c>
      <c r="C26" s="191" t="s">
        <v>209</v>
      </c>
      <c r="D26" s="191">
        <v>1</v>
      </c>
      <c r="E26" s="128">
        <f>+'ACCIONES 320302'!I122</f>
        <v>0</v>
      </c>
      <c r="F26" s="128">
        <f>+'ACCIONES 320302'!J122</f>
        <v>0</v>
      </c>
      <c r="G26" s="128">
        <f>+'ACCIONES 320302'!K122</f>
        <v>0</v>
      </c>
      <c r="H26" s="535">
        <f>+'ACCIONES 320302'!L122</f>
        <v>0</v>
      </c>
      <c r="I26" s="1761">
        <f>+'ACCIONES 320302'!M122</f>
        <v>0</v>
      </c>
      <c r="J26" s="128">
        <f>+'ACCIONES 320302'!N122</f>
        <v>0</v>
      </c>
      <c r="K26" s="535">
        <f t="shared" si="5"/>
        <v>0</v>
      </c>
      <c r="L26" s="1820">
        <f t="shared" si="6"/>
        <v>0</v>
      </c>
      <c r="M26"/>
    </row>
    <row r="27" spans="1:13" ht="15.75" thickBot="1">
      <c r="B27" s="2588" t="s">
        <v>270</v>
      </c>
      <c r="C27" s="2589"/>
      <c r="D27" s="2589"/>
      <c r="E27" s="755">
        <f t="shared" ref="E27:L27" si="9">+E24+E22+E18+E16+E14+E12+E10</f>
        <v>1758170620.2120883</v>
      </c>
      <c r="F27" s="755">
        <f t="shared" si="9"/>
        <v>239477562</v>
      </c>
      <c r="G27" s="755">
        <f t="shared" si="9"/>
        <v>669617463.91599989</v>
      </c>
      <c r="H27" s="1836">
        <f t="shared" si="9"/>
        <v>2667265646.1280885</v>
      </c>
      <c r="I27" s="1831">
        <f t="shared" si="9"/>
        <v>218973068.08000004</v>
      </c>
      <c r="J27" s="755">
        <f t="shared" si="9"/>
        <v>2023323</v>
      </c>
      <c r="K27" s="1836">
        <f t="shared" si="9"/>
        <v>220996391.08000004</v>
      </c>
      <c r="L27" s="1846">
        <f t="shared" si="9"/>
        <v>2888262037.2080889</v>
      </c>
    </row>
    <row r="29" spans="1:13" ht="15.75" thickBot="1">
      <c r="F29" s="29"/>
      <c r="H29" s="131"/>
      <c r="I29" s="29"/>
    </row>
    <row r="30" spans="1:13" ht="15.75" thickBot="1">
      <c r="E30" s="553">
        <f>1660665655+97504965</f>
        <v>1758170620</v>
      </c>
      <c r="F30" s="553">
        <v>239477562</v>
      </c>
      <c r="G30" s="553">
        <v>669617464</v>
      </c>
      <c r="H30" s="553">
        <f>2569760681+97504965</f>
        <v>2667265646</v>
      </c>
      <c r="I30" s="553">
        <v>218973068.08000004</v>
      </c>
      <c r="J30" s="553">
        <v>2023323</v>
      </c>
      <c r="K30" s="553">
        <v>220996391.08000004</v>
      </c>
      <c r="L30" s="553">
        <f>+K30+H30</f>
        <v>2888262037.0799999</v>
      </c>
    </row>
    <row r="32" spans="1:13">
      <c r="E32" s="29">
        <f>+E30-E27</f>
        <v>-0.21208834648132324</v>
      </c>
      <c r="F32" s="29">
        <f>+F30-F27</f>
        <v>0</v>
      </c>
      <c r="G32" s="29">
        <f>+G30-G27</f>
        <v>8.4000110626220703E-2</v>
      </c>
      <c r="H32" s="29">
        <f>+H30-H27</f>
        <v>-0.12808847427368164</v>
      </c>
      <c r="I32" s="29">
        <f t="shared" ref="I32:L32" si="10">+I30-I27</f>
        <v>0</v>
      </c>
      <c r="J32" s="29">
        <f t="shared" si="10"/>
        <v>0</v>
      </c>
      <c r="K32" s="29">
        <f t="shared" si="10"/>
        <v>0</v>
      </c>
      <c r="L32" s="29">
        <f t="shared" si="10"/>
        <v>-0.12808895111083984</v>
      </c>
    </row>
  </sheetData>
  <mergeCells count="18">
    <mergeCell ref="L7:L9"/>
    <mergeCell ref="C1:J3"/>
    <mergeCell ref="B5:L5"/>
    <mergeCell ref="B6:L6"/>
    <mergeCell ref="I8:K8"/>
    <mergeCell ref="I7:K7"/>
    <mergeCell ref="B1:B3"/>
    <mergeCell ref="K1:L1"/>
    <mergeCell ref="K2:L2"/>
    <mergeCell ref="K3:L3"/>
    <mergeCell ref="A7:A9"/>
    <mergeCell ref="B27:D27"/>
    <mergeCell ref="B7:B9"/>
    <mergeCell ref="E8:G8"/>
    <mergeCell ref="C7:H7"/>
    <mergeCell ref="H8:H9"/>
    <mergeCell ref="D8:D9"/>
    <mergeCell ref="C8:C9"/>
  </mergeCells>
  <pageMargins left="0.7" right="0.7" top="0.75" bottom="0.75" header="0.3" footer="0.3"/>
  <pageSetup orientation="portrait" verticalDpi="597"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tabColor theme="7" tint="0.59999389629810485"/>
  </sheetPr>
  <dimension ref="A1:P143"/>
  <sheetViews>
    <sheetView zoomScale="66" zoomScaleNormal="66" workbookViewId="0">
      <pane ySplit="9" topLeftCell="A114" activePane="bottomLeft" state="frozen"/>
      <selection pane="bottomLeft" activeCell="I85" sqref="I85:I88"/>
    </sheetView>
  </sheetViews>
  <sheetFormatPr baseColWidth="10" defaultRowHeight="15"/>
  <cols>
    <col min="1" max="1" width="6.28515625" style="841" customWidth="1"/>
    <col min="2" max="2" width="5.5703125" style="841" customWidth="1"/>
    <col min="3" max="3" width="39.5703125" style="841" customWidth="1"/>
    <col min="4" max="4" width="15.85546875" style="841" customWidth="1"/>
    <col min="5" max="5" width="9.28515625" style="841" customWidth="1"/>
    <col min="6" max="6" width="10.42578125" style="863" hidden="1" customWidth="1"/>
    <col min="7" max="8" width="13.85546875" style="863" hidden="1" customWidth="1"/>
    <col min="9" max="11" width="20.7109375" style="864" customWidth="1"/>
    <col min="12" max="12" width="21.140625" style="864" customWidth="1"/>
    <col min="13" max="14" width="19.5703125" style="862" customWidth="1"/>
    <col min="15" max="15" width="21.140625" style="841" customWidth="1"/>
    <col min="16" max="16384" width="11.42578125" style="841"/>
  </cols>
  <sheetData>
    <row r="1" spans="1:16" ht="15" customHeight="1">
      <c r="C1" s="2597"/>
      <c r="D1" s="2430" t="s">
        <v>542</v>
      </c>
      <c r="E1" s="2431"/>
      <c r="F1" s="2431"/>
      <c r="G1" s="2431"/>
      <c r="H1" s="2431"/>
      <c r="I1" s="2431"/>
      <c r="J1" s="2431"/>
      <c r="K1" s="2431"/>
      <c r="L1" s="2431"/>
      <c r="M1" s="2432"/>
      <c r="N1" s="2495" t="s">
        <v>539</v>
      </c>
      <c r="O1" s="2496"/>
    </row>
    <row r="2" spans="1:16" ht="15" customHeight="1">
      <c r="C2" s="2598"/>
      <c r="D2" s="2433"/>
      <c r="E2" s="2434"/>
      <c r="F2" s="2434"/>
      <c r="G2" s="2434"/>
      <c r="H2" s="2434"/>
      <c r="I2" s="2434"/>
      <c r="J2" s="2434"/>
      <c r="K2" s="2434"/>
      <c r="L2" s="2434"/>
      <c r="M2" s="2435"/>
      <c r="N2" s="2497" t="s">
        <v>540</v>
      </c>
      <c r="O2" s="2498"/>
    </row>
    <row r="3" spans="1:16" ht="15.75" customHeight="1" thickBot="1">
      <c r="C3" s="2599"/>
      <c r="D3" s="2436"/>
      <c r="E3" s="2437"/>
      <c r="F3" s="2437"/>
      <c r="G3" s="2437"/>
      <c r="H3" s="2437"/>
      <c r="I3" s="2437"/>
      <c r="J3" s="2437"/>
      <c r="K3" s="2437"/>
      <c r="L3" s="2437"/>
      <c r="M3" s="2438"/>
      <c r="N3" s="2499" t="s">
        <v>541</v>
      </c>
      <c r="O3" s="2500"/>
    </row>
    <row r="4" spans="1:16" ht="12" customHeight="1" thickBot="1"/>
    <row r="5" spans="1:16" s="1" customFormat="1" ht="15.75" customHeight="1" thickBot="1">
      <c r="C5" s="2528" t="s">
        <v>419</v>
      </c>
      <c r="D5" s="2529"/>
      <c r="E5" s="2529"/>
      <c r="F5" s="2529"/>
      <c r="G5" s="2529"/>
      <c r="H5" s="2529"/>
      <c r="I5" s="2529"/>
      <c r="J5" s="2529"/>
      <c r="K5" s="2529"/>
      <c r="L5" s="2529"/>
      <c r="M5" s="2529"/>
      <c r="N5" s="2529"/>
      <c r="O5" s="2530"/>
    </row>
    <row r="6" spans="1:16" ht="15.75" thickBot="1">
      <c r="C6" s="2402" t="s">
        <v>185</v>
      </c>
      <c r="D6" s="2403"/>
      <c r="E6" s="2403"/>
      <c r="F6" s="2403"/>
      <c r="G6" s="2403"/>
      <c r="H6" s="2403"/>
      <c r="I6" s="2403"/>
      <c r="J6" s="2403"/>
      <c r="K6" s="2403"/>
      <c r="L6" s="2403"/>
      <c r="M6" s="2403"/>
      <c r="N6" s="2403"/>
      <c r="O6" s="2404"/>
    </row>
    <row r="7" spans="1:16" ht="24.75" customHeight="1" thickBot="1">
      <c r="A7" s="2466" t="s">
        <v>543</v>
      </c>
      <c r="B7" s="2474" t="s">
        <v>544</v>
      </c>
      <c r="C7" s="2397" t="s">
        <v>435</v>
      </c>
      <c r="D7" s="2397" t="s">
        <v>436</v>
      </c>
      <c r="E7" s="2397" t="s">
        <v>498</v>
      </c>
      <c r="F7" s="2397" t="s">
        <v>437</v>
      </c>
      <c r="G7" s="2397" t="s">
        <v>200</v>
      </c>
      <c r="H7" s="2489" t="s">
        <v>576</v>
      </c>
      <c r="I7" s="2531" t="s">
        <v>198</v>
      </c>
      <c r="J7" s="2531"/>
      <c r="K7" s="2531"/>
      <c r="L7" s="2531" t="s">
        <v>341</v>
      </c>
      <c r="M7" s="2591" t="s">
        <v>1234</v>
      </c>
      <c r="N7" s="2593"/>
      <c r="O7" s="2531" t="s">
        <v>204</v>
      </c>
      <c r="P7"/>
    </row>
    <row r="8" spans="1:16" ht="13.5" customHeight="1" thickBot="1">
      <c r="A8" s="2466"/>
      <c r="B8" s="2474"/>
      <c r="C8" s="2397"/>
      <c r="D8" s="2397"/>
      <c r="E8" s="2397"/>
      <c r="F8" s="2397"/>
      <c r="G8" s="2397"/>
      <c r="H8" s="2423"/>
      <c r="I8" s="2531" t="s">
        <v>201</v>
      </c>
      <c r="J8" s="2531" t="s">
        <v>250</v>
      </c>
      <c r="K8" s="2531" t="s">
        <v>202</v>
      </c>
      <c r="L8" s="2531"/>
      <c r="M8" s="2531" t="s">
        <v>201</v>
      </c>
      <c r="N8" s="2532" t="s">
        <v>374</v>
      </c>
      <c r="O8" s="2531"/>
      <c r="P8"/>
    </row>
    <row r="9" spans="1:16" ht="24" customHeight="1" thickBot="1">
      <c r="A9" s="2466"/>
      <c r="B9" s="2474"/>
      <c r="C9" s="2489"/>
      <c r="D9" s="2489"/>
      <c r="E9" s="2489"/>
      <c r="F9" s="2489"/>
      <c r="G9" s="2489"/>
      <c r="H9" s="2401"/>
      <c r="I9" s="2532"/>
      <c r="J9" s="2532"/>
      <c r="K9" s="2532"/>
      <c r="L9" s="2532"/>
      <c r="M9" s="2532"/>
      <c r="N9" s="2538"/>
      <c r="O9" s="2532"/>
      <c r="P9"/>
    </row>
    <row r="10" spans="1:16" ht="39" thickBot="1">
      <c r="A10" s="835">
        <v>138</v>
      </c>
      <c r="B10" s="1429"/>
      <c r="C10" s="415" t="s">
        <v>45</v>
      </c>
      <c r="D10" s="842"/>
      <c r="E10" s="842"/>
      <c r="F10" s="843" t="s">
        <v>214</v>
      </c>
      <c r="G10" s="843">
        <v>100</v>
      </c>
      <c r="H10" s="843"/>
      <c r="I10" s="844">
        <f t="shared" ref="I10:O10" si="0">+I11</f>
        <v>3880737.9072000002</v>
      </c>
      <c r="J10" s="844">
        <f t="shared" si="0"/>
        <v>0</v>
      </c>
      <c r="K10" s="844">
        <f t="shared" si="0"/>
        <v>0</v>
      </c>
      <c r="L10" s="845">
        <f t="shared" si="0"/>
        <v>3880737.9072000002</v>
      </c>
      <c r="M10" s="844">
        <f t="shared" si="0"/>
        <v>0</v>
      </c>
      <c r="N10" s="845">
        <f t="shared" si="0"/>
        <v>0</v>
      </c>
      <c r="O10" s="1849">
        <f t="shared" si="0"/>
        <v>3880737.9072000002</v>
      </c>
    </row>
    <row r="11" spans="1:16" ht="25.5">
      <c r="A11" s="835"/>
      <c r="B11" s="1429" t="s">
        <v>1073</v>
      </c>
      <c r="C11" s="827" t="s">
        <v>294</v>
      </c>
      <c r="D11" s="828"/>
      <c r="E11" s="828"/>
      <c r="F11" s="829" t="s">
        <v>214</v>
      </c>
      <c r="G11" s="829">
        <v>100</v>
      </c>
      <c r="H11" s="829"/>
      <c r="I11" s="846">
        <f t="shared" ref="I11:O11" si="1">SUM(I12:I13)</f>
        <v>3880737.9072000002</v>
      </c>
      <c r="J11" s="846">
        <f t="shared" si="1"/>
        <v>0</v>
      </c>
      <c r="K11" s="846">
        <f t="shared" si="1"/>
        <v>0</v>
      </c>
      <c r="L11" s="847">
        <f t="shared" si="1"/>
        <v>3880737.9072000002</v>
      </c>
      <c r="M11" s="846">
        <f t="shared" si="1"/>
        <v>0</v>
      </c>
      <c r="N11" s="847">
        <f t="shared" si="1"/>
        <v>0</v>
      </c>
      <c r="O11" s="1850">
        <f t="shared" si="1"/>
        <v>3880737.9072000002</v>
      </c>
    </row>
    <row r="12" spans="1:16" s="510" customFormat="1" ht="25.5">
      <c r="B12" s="1426"/>
      <c r="C12" s="567" t="s">
        <v>777</v>
      </c>
      <c r="D12" s="811" t="s">
        <v>235</v>
      </c>
      <c r="E12" s="811" t="s">
        <v>776</v>
      </c>
      <c r="F12" s="811"/>
      <c r="G12" s="811"/>
      <c r="H12" s="2107"/>
      <c r="I12" s="357">
        <f>3880737.9072-3880737.9072</f>
        <v>0</v>
      </c>
      <c r="J12" s="357"/>
      <c r="K12" s="357"/>
      <c r="L12" s="284">
        <f>+SUM(I12:K12)</f>
        <v>0</v>
      </c>
      <c r="M12" s="357"/>
      <c r="N12" s="1413"/>
      <c r="O12" s="1851">
        <f>+SUM(M12:N12)+L12</f>
        <v>0</v>
      </c>
    </row>
    <row r="13" spans="1:16" s="812" customFormat="1" ht="26.25" thickBot="1">
      <c r="B13" s="1423"/>
      <c r="C13" s="565" t="s">
        <v>778</v>
      </c>
      <c r="D13" s="811" t="s">
        <v>235</v>
      </c>
      <c r="E13" s="811" t="s">
        <v>776</v>
      </c>
      <c r="F13" s="811"/>
      <c r="G13" s="811"/>
      <c r="H13" s="811"/>
      <c r="I13" s="357">
        <v>3880737.9072000002</v>
      </c>
      <c r="J13" s="357"/>
      <c r="K13" s="357"/>
      <c r="L13" s="284">
        <f>+SUM(I13:K13)</f>
        <v>3880737.9072000002</v>
      </c>
      <c r="M13" s="357"/>
      <c r="N13" s="1413"/>
      <c r="O13" s="1851">
        <f t="shared" ref="O13" si="2">+SUM(M13:N13)+L13</f>
        <v>3880737.9072000002</v>
      </c>
    </row>
    <row r="14" spans="1:16" s="1" customFormat="1" ht="39" thickBot="1">
      <c r="A14" s="835">
        <v>139</v>
      </c>
      <c r="B14" s="1429"/>
      <c r="C14" s="848" t="s">
        <v>47</v>
      </c>
      <c r="D14" s="842"/>
      <c r="E14" s="842"/>
      <c r="F14" s="843" t="s">
        <v>214</v>
      </c>
      <c r="G14" s="843">
        <v>100</v>
      </c>
      <c r="H14" s="843"/>
      <c r="I14" s="844">
        <f>+I15</f>
        <v>7761475.8144000005</v>
      </c>
      <c r="J14" s="844">
        <f>+J15</f>
        <v>0</v>
      </c>
      <c r="K14" s="844">
        <f>+K15</f>
        <v>0</v>
      </c>
      <c r="L14" s="845">
        <f>+L15</f>
        <v>7761475.8144000005</v>
      </c>
      <c r="M14" s="844">
        <f>+M15</f>
        <v>0</v>
      </c>
      <c r="N14" s="845"/>
      <c r="O14" s="1849">
        <f>+O15</f>
        <v>7761475.8144000005</v>
      </c>
    </row>
    <row r="15" spans="1:16" ht="38.25">
      <c r="A15" s="835"/>
      <c r="B15" s="1429" t="s">
        <v>1074</v>
      </c>
      <c r="C15" s="827" t="s">
        <v>295</v>
      </c>
      <c r="D15" s="828"/>
      <c r="E15" s="828"/>
      <c r="F15" s="829" t="s">
        <v>214</v>
      </c>
      <c r="G15" s="829">
        <v>100</v>
      </c>
      <c r="H15" s="829"/>
      <c r="I15" s="846">
        <f>SUM(I16:I17)</f>
        <v>7761475.8144000005</v>
      </c>
      <c r="J15" s="846">
        <f>SUM(J16:J17)</f>
        <v>0</v>
      </c>
      <c r="K15" s="846">
        <f>SUM(K16:K17)</f>
        <v>0</v>
      </c>
      <c r="L15" s="847">
        <f>SUM(L16:L17)</f>
        <v>7761475.8144000005</v>
      </c>
      <c r="M15" s="846">
        <f>SUM(M16:M17)</f>
        <v>0</v>
      </c>
      <c r="N15" s="847"/>
      <c r="O15" s="1852">
        <f>SUM(O16:O17)</f>
        <v>7761475.8144000005</v>
      </c>
    </row>
    <row r="16" spans="1:16" ht="25.5">
      <c r="B16" s="1435"/>
      <c r="C16" s="567" t="s">
        <v>777</v>
      </c>
      <c r="D16" s="811" t="s">
        <v>235</v>
      </c>
      <c r="E16" s="254" t="s">
        <v>776</v>
      </c>
      <c r="F16" s="811"/>
      <c r="G16" s="811"/>
      <c r="H16" s="811"/>
      <c r="I16" s="357">
        <v>3880737.9072000002</v>
      </c>
      <c r="J16" s="357"/>
      <c r="K16" s="357"/>
      <c r="L16" s="284">
        <f>+SUM(I16:K16)</f>
        <v>3880737.9072000002</v>
      </c>
      <c r="M16" s="357"/>
      <c r="N16" s="1413"/>
      <c r="O16" s="1851">
        <f t="shared" ref="O16:O17" si="3">+SUM(M16:N16)+L16</f>
        <v>3880737.9072000002</v>
      </c>
    </row>
    <row r="17" spans="1:15" s="1" customFormat="1" ht="26.25" thickBot="1">
      <c r="B17" s="1420"/>
      <c r="C17" s="849" t="s">
        <v>778</v>
      </c>
      <c r="D17" s="811" t="s">
        <v>235</v>
      </c>
      <c r="E17" s="254" t="s">
        <v>776</v>
      </c>
      <c r="F17" s="811"/>
      <c r="G17" s="811"/>
      <c r="H17" s="811"/>
      <c r="I17" s="357">
        <v>3880737.9072000002</v>
      </c>
      <c r="J17" s="357"/>
      <c r="K17" s="357"/>
      <c r="L17" s="284">
        <f>+SUM(I17:K17)</f>
        <v>3880737.9072000002</v>
      </c>
      <c r="M17" s="357"/>
      <c r="N17" s="1413"/>
      <c r="O17" s="1851">
        <f t="shared" si="3"/>
        <v>3880737.9072000002</v>
      </c>
    </row>
    <row r="18" spans="1:15" ht="26.25" thickBot="1">
      <c r="A18" s="835">
        <v>140</v>
      </c>
      <c r="B18" s="1429"/>
      <c r="C18" s="850" t="s">
        <v>56</v>
      </c>
      <c r="D18" s="842"/>
      <c r="E18" s="842"/>
      <c r="F18" s="843" t="s">
        <v>214</v>
      </c>
      <c r="G18" s="843">
        <v>100</v>
      </c>
      <c r="H18" s="843"/>
      <c r="I18" s="844">
        <f>+I19</f>
        <v>0</v>
      </c>
      <c r="J18" s="844">
        <f>+J19</f>
        <v>0</v>
      </c>
      <c r="K18" s="844">
        <f>+K19</f>
        <v>93935460.162</v>
      </c>
      <c r="L18" s="845">
        <f>+L19</f>
        <v>93935460.162</v>
      </c>
      <c r="M18" s="844">
        <f>+M19</f>
        <v>0</v>
      </c>
      <c r="N18" s="845"/>
      <c r="O18" s="1849">
        <f>+O19</f>
        <v>93935460.162</v>
      </c>
    </row>
    <row r="19" spans="1:15" ht="25.5">
      <c r="A19" s="835"/>
      <c r="B19" s="1429" t="s">
        <v>1075</v>
      </c>
      <c r="C19" s="827" t="s">
        <v>296</v>
      </c>
      <c r="D19" s="828"/>
      <c r="E19" s="828"/>
      <c r="F19" s="829" t="s">
        <v>214</v>
      </c>
      <c r="G19" s="829">
        <v>100</v>
      </c>
      <c r="H19" s="829"/>
      <c r="I19" s="846">
        <f>SUM(I20:I20)</f>
        <v>0</v>
      </c>
      <c r="J19" s="846">
        <f>SUM(J20:J20)</f>
        <v>0</v>
      </c>
      <c r="K19" s="846">
        <f>SUM(K20:K20)</f>
        <v>93935460.162</v>
      </c>
      <c r="L19" s="847">
        <f>SUM(L20:L20)</f>
        <v>93935460.162</v>
      </c>
      <c r="M19" s="846">
        <f>SUM(M20:M20)</f>
        <v>0</v>
      </c>
      <c r="N19" s="847"/>
      <c r="O19" s="1852">
        <f>SUM(O20:O20)</f>
        <v>93935460.162</v>
      </c>
    </row>
    <row r="20" spans="1:15" s="812" customFormat="1" ht="26.25" thickBot="1">
      <c r="B20" s="1423"/>
      <c r="C20" s="567" t="s">
        <v>526</v>
      </c>
      <c r="D20" s="811" t="s">
        <v>235</v>
      </c>
      <c r="E20" s="811" t="s">
        <v>776</v>
      </c>
      <c r="F20" s="811"/>
      <c r="G20" s="811"/>
      <c r="H20" s="811"/>
      <c r="I20" s="357"/>
      <c r="J20" s="357"/>
      <c r="K20" s="357">
        <f>154001216.162-60065756</f>
        <v>93935460.162</v>
      </c>
      <c r="L20" s="284">
        <f>SUM(I20:K20)</f>
        <v>93935460.162</v>
      </c>
      <c r="M20" s="357"/>
      <c r="N20" s="1413"/>
      <c r="O20" s="1851">
        <f t="shared" ref="O20" si="4">+SUM(M20:N20)+L20</f>
        <v>93935460.162</v>
      </c>
    </row>
    <row r="21" spans="1:15" ht="39" thickBot="1">
      <c r="A21" s="835">
        <v>141</v>
      </c>
      <c r="B21" s="1429"/>
      <c r="C21" s="850" t="s">
        <v>57</v>
      </c>
      <c r="D21" s="842"/>
      <c r="E21" s="842"/>
      <c r="F21" s="843" t="s">
        <v>214</v>
      </c>
      <c r="G21" s="843">
        <v>100</v>
      </c>
      <c r="H21" s="843"/>
      <c r="I21" s="844">
        <f>+I22</f>
        <v>0</v>
      </c>
      <c r="J21" s="844">
        <f>+J22</f>
        <v>0</v>
      </c>
      <c r="K21" s="844">
        <f>+K22</f>
        <v>214066972.162</v>
      </c>
      <c r="L21" s="845">
        <f>+L22</f>
        <v>214066972.162</v>
      </c>
      <c r="M21" s="844">
        <f>+M22</f>
        <v>0</v>
      </c>
      <c r="N21" s="845"/>
      <c r="O21" s="1849">
        <f>+O22</f>
        <v>214066972.162</v>
      </c>
    </row>
    <row r="22" spans="1:15">
      <c r="A22" s="835"/>
      <c r="B22" s="1429" t="s">
        <v>1076</v>
      </c>
      <c r="C22" s="827" t="s">
        <v>297</v>
      </c>
      <c r="D22" s="828"/>
      <c r="E22" s="828"/>
      <c r="F22" s="829" t="s">
        <v>214</v>
      </c>
      <c r="G22" s="829">
        <v>100</v>
      </c>
      <c r="H22" s="829"/>
      <c r="I22" s="846">
        <f>SUM(I23:I23)</f>
        <v>0</v>
      </c>
      <c r="J22" s="846">
        <f>SUM(J23:J23)</f>
        <v>0</v>
      </c>
      <c r="K22" s="846">
        <f>SUM(K23:K23)</f>
        <v>214066972.162</v>
      </c>
      <c r="L22" s="847">
        <f>SUM(L23:L23)</f>
        <v>214066972.162</v>
      </c>
      <c r="M22" s="846">
        <f>SUM(M23:M23)</f>
        <v>0</v>
      </c>
      <c r="N22" s="847"/>
      <c r="O22" s="1852">
        <f>SUM(O23:O23)</f>
        <v>214066972.162</v>
      </c>
    </row>
    <row r="23" spans="1:15" s="812" customFormat="1" ht="26.25" thickBot="1">
      <c r="B23" s="1423"/>
      <c r="C23" s="567" t="s">
        <v>526</v>
      </c>
      <c r="D23" s="811" t="s">
        <v>235</v>
      </c>
      <c r="E23" s="811" t="s">
        <v>776</v>
      </c>
      <c r="F23" s="811"/>
      <c r="G23" s="811"/>
      <c r="H23" s="811"/>
      <c r="I23" s="357"/>
      <c r="J23" s="357"/>
      <c r="K23" s="357">
        <f>154001216.162+60065756</f>
        <v>214066972.162</v>
      </c>
      <c r="L23" s="284">
        <f>SUM(I23:K23)</f>
        <v>214066972.162</v>
      </c>
      <c r="M23" s="357"/>
      <c r="N23" s="1413"/>
      <c r="O23" s="1851">
        <f t="shared" ref="O23" si="5">+SUM(M23:N23)+L23</f>
        <v>214066972.162</v>
      </c>
    </row>
    <row r="24" spans="1:15" ht="39" thickBot="1">
      <c r="A24" s="835">
        <v>142</v>
      </c>
      <c r="B24" s="1429"/>
      <c r="C24" s="410" t="s">
        <v>58</v>
      </c>
      <c r="D24" s="824"/>
      <c r="E24" s="824"/>
      <c r="F24" s="411" t="s">
        <v>210</v>
      </c>
      <c r="G24" s="379">
        <v>1</v>
      </c>
      <c r="H24" s="379"/>
      <c r="I24" s="853">
        <f>+I25+I27+I29</f>
        <v>1422424549.5320883</v>
      </c>
      <c r="J24" s="853">
        <f t="shared" ref="J24:O24" si="6">+J25+J27+J29</f>
        <v>239477562</v>
      </c>
      <c r="K24" s="853">
        <f t="shared" si="6"/>
        <v>361615031.59199995</v>
      </c>
      <c r="L24" s="854">
        <f t="shared" si="6"/>
        <v>2023517143.1240883</v>
      </c>
      <c r="M24" s="853">
        <f t="shared" si="6"/>
        <v>211211593.87200004</v>
      </c>
      <c r="N24" s="854">
        <f t="shared" si="6"/>
        <v>2023323</v>
      </c>
      <c r="O24" s="1853">
        <f t="shared" si="6"/>
        <v>2236752059.9960885</v>
      </c>
    </row>
    <row r="25" spans="1:15" ht="38.25">
      <c r="A25" s="835"/>
      <c r="B25" s="1429" t="s">
        <v>1077</v>
      </c>
      <c r="C25" s="827" t="s">
        <v>298</v>
      </c>
      <c r="D25" s="828"/>
      <c r="E25" s="828"/>
      <c r="F25" s="829" t="s">
        <v>209</v>
      </c>
      <c r="G25" s="829">
        <v>1</v>
      </c>
      <c r="H25" s="829"/>
      <c r="I25" s="846">
        <f>SUM(I26:I26)</f>
        <v>33655618</v>
      </c>
      <c r="J25" s="846">
        <f>SUM(J26:J26)</f>
        <v>239477562</v>
      </c>
      <c r="K25" s="846">
        <f>SUM(K26:K26)</f>
        <v>0</v>
      </c>
      <c r="L25" s="847">
        <f>SUM(L26:L26)</f>
        <v>273133180</v>
      </c>
      <c r="M25" s="846">
        <f>SUM(M26:M26)</f>
        <v>0</v>
      </c>
      <c r="N25" s="847"/>
      <c r="O25" s="1852">
        <f>SUM(O26:O26)</f>
        <v>273133180</v>
      </c>
    </row>
    <row r="26" spans="1:15" s="812" customFormat="1" ht="12.75">
      <c r="B26" s="1423"/>
      <c r="C26" s="567" t="s">
        <v>942</v>
      </c>
      <c r="D26" s="811" t="s">
        <v>235</v>
      </c>
      <c r="E26" s="811" t="s">
        <v>776</v>
      </c>
      <c r="F26" s="811" t="s">
        <v>943</v>
      </c>
      <c r="G26" s="811"/>
      <c r="H26" s="811"/>
      <c r="I26" s="573">
        <v>33655618</v>
      </c>
      <c r="J26" s="357">
        <v>239477562</v>
      </c>
      <c r="K26" s="357">
        <f>30522438-30522438</f>
        <v>0</v>
      </c>
      <c r="L26" s="284">
        <f>SUM(I26:K26)</f>
        <v>273133180</v>
      </c>
      <c r="M26" s="573"/>
      <c r="N26" s="284"/>
      <c r="O26" s="1851">
        <f t="shared" ref="O26" si="7">+SUM(M26:N26)+L26</f>
        <v>273133180</v>
      </c>
    </row>
    <row r="27" spans="1:15" ht="25.5">
      <c r="A27" s="835"/>
      <c r="B27" s="1429" t="s">
        <v>1078</v>
      </c>
      <c r="C27" s="834" t="s">
        <v>299</v>
      </c>
      <c r="D27" s="835"/>
      <c r="E27" s="835"/>
      <c r="F27" s="799" t="s">
        <v>209</v>
      </c>
      <c r="G27" s="799">
        <v>1</v>
      </c>
      <c r="H27" s="799"/>
      <c r="I27" s="851">
        <f>SUM(I28:I28)</f>
        <v>104371070.1788052</v>
      </c>
      <c r="J27" s="851">
        <f>SUM(J28:J28)</f>
        <v>0</v>
      </c>
      <c r="K27" s="851">
        <f>SUM(K28:K28)</f>
        <v>24897966</v>
      </c>
      <c r="L27" s="852">
        <f>SUM(L28:L28)</f>
        <v>129269036.1788052</v>
      </c>
      <c r="M27" s="851">
        <f>SUM(M28:M28)</f>
        <v>0</v>
      </c>
      <c r="N27" s="852"/>
      <c r="O27" s="1854">
        <f>SUM(O28:O28)</f>
        <v>129269036.1788052</v>
      </c>
    </row>
    <row r="28" spans="1:15" s="812" customFormat="1" ht="25.5" customHeight="1">
      <c r="B28" s="1423"/>
      <c r="C28" s="567" t="s">
        <v>944</v>
      </c>
      <c r="D28" s="811" t="s">
        <v>235</v>
      </c>
      <c r="E28" s="811" t="s">
        <v>776</v>
      </c>
      <c r="F28" s="811"/>
      <c r="G28" s="811"/>
      <c r="H28" s="357"/>
      <c r="I28" s="357">
        <f>222191168.28333-76695683.9445248-7468796.16-33655618</f>
        <v>104371070.1788052</v>
      </c>
      <c r="J28" s="357"/>
      <c r="K28" s="357">
        <f>30522438-5624472</f>
        <v>24897966</v>
      </c>
      <c r="L28" s="284">
        <f>+SUM(I28:K28)</f>
        <v>129269036.1788052</v>
      </c>
      <c r="M28" s="357"/>
      <c r="N28" s="1413"/>
      <c r="O28" s="1851">
        <f t="shared" ref="O28" si="8">+SUM(M28:N28)+L28</f>
        <v>129269036.1788052</v>
      </c>
    </row>
    <row r="29" spans="1:15" ht="38.25">
      <c r="A29" s="835"/>
      <c r="B29" s="1429" t="s">
        <v>1079</v>
      </c>
      <c r="C29" s="834" t="s">
        <v>300</v>
      </c>
      <c r="D29" s="835"/>
      <c r="E29" s="835"/>
      <c r="F29" s="799" t="s">
        <v>209</v>
      </c>
      <c r="G29" s="799">
        <v>1</v>
      </c>
      <c r="H29" s="799"/>
      <c r="I29" s="851">
        <f t="shared" ref="I29:O29" si="9">SUM(I30:I107)</f>
        <v>1284397861.3532832</v>
      </c>
      <c r="J29" s="851">
        <f t="shared" si="9"/>
        <v>0</v>
      </c>
      <c r="K29" s="851">
        <f t="shared" si="9"/>
        <v>336717065.59199995</v>
      </c>
      <c r="L29" s="851">
        <f t="shared" si="9"/>
        <v>1621114926.9452832</v>
      </c>
      <c r="M29" s="851">
        <f t="shared" si="9"/>
        <v>211211593.87200004</v>
      </c>
      <c r="N29" s="852">
        <f t="shared" si="9"/>
        <v>2023323</v>
      </c>
      <c r="O29" s="1855">
        <f t="shared" si="9"/>
        <v>1834349843.8172834</v>
      </c>
    </row>
    <row r="30" spans="1:15" s="510" customFormat="1">
      <c r="B30" s="1426"/>
      <c r="C30" s="1395" t="s">
        <v>945</v>
      </c>
      <c r="D30" s="511"/>
      <c r="E30" s="511"/>
      <c r="F30" s="811"/>
      <c r="G30" s="811"/>
      <c r="H30" s="811"/>
      <c r="I30" s="357"/>
      <c r="J30" s="357"/>
      <c r="K30" s="357"/>
      <c r="L30" s="284">
        <f t="shared" ref="L30:L107" si="10">SUM(I30:K30)</f>
        <v>0</v>
      </c>
      <c r="M30" s="357"/>
      <c r="N30" s="1413"/>
      <c r="O30" s="1851">
        <f t="shared" ref="O30:O95" si="11">+SUM(M30:N30)+L30</f>
        <v>0</v>
      </c>
    </row>
    <row r="31" spans="1:15" s="510" customFormat="1" ht="25.5">
      <c r="B31" s="1426"/>
      <c r="C31" s="567" t="s">
        <v>946</v>
      </c>
      <c r="D31" s="511" t="s">
        <v>235</v>
      </c>
      <c r="E31" s="511" t="s">
        <v>776</v>
      </c>
      <c r="F31" s="811"/>
      <c r="G31" s="811"/>
      <c r="H31" s="811"/>
      <c r="I31" s="357">
        <v>15134877.838079929</v>
      </c>
      <c r="J31" s="357"/>
      <c r="K31" s="357">
        <v>50422306.161920071</v>
      </c>
      <c r="L31" s="284">
        <f t="shared" si="10"/>
        <v>65557184</v>
      </c>
      <c r="M31" s="357"/>
      <c r="N31" s="1413"/>
      <c r="O31" s="1851">
        <f t="shared" si="11"/>
        <v>65557184</v>
      </c>
    </row>
    <row r="32" spans="1:15" s="510" customFormat="1" ht="25.5">
      <c r="B32" s="1426"/>
      <c r="C32" s="567" t="s">
        <v>947</v>
      </c>
      <c r="D32" s="511" t="s">
        <v>235</v>
      </c>
      <c r="E32" s="511" t="s">
        <v>776</v>
      </c>
      <c r="F32" s="811"/>
      <c r="G32" s="811"/>
      <c r="H32" s="2107"/>
      <c r="I32" s="357"/>
      <c r="J32" s="357"/>
      <c r="K32" s="357">
        <v>50449592.793600008</v>
      </c>
      <c r="L32" s="284">
        <f t="shared" si="10"/>
        <v>50449592.793600008</v>
      </c>
      <c r="M32" s="357"/>
      <c r="N32" s="1413"/>
      <c r="O32" s="1851">
        <f t="shared" si="11"/>
        <v>50449592.793600008</v>
      </c>
    </row>
    <row r="33" spans="2:15" s="510" customFormat="1" ht="25.5">
      <c r="B33" s="1426"/>
      <c r="C33" s="567" t="s">
        <v>948</v>
      </c>
      <c r="D33" s="511" t="s">
        <v>235</v>
      </c>
      <c r="E33" s="511" t="s">
        <v>776</v>
      </c>
      <c r="F33" s="811"/>
      <c r="G33" s="811"/>
      <c r="H33" s="2107"/>
      <c r="I33" s="357"/>
      <c r="J33" s="357"/>
      <c r="K33" s="357">
        <v>50449592.793600008</v>
      </c>
      <c r="L33" s="284">
        <f t="shared" si="10"/>
        <v>50449592.793600008</v>
      </c>
      <c r="M33" s="357"/>
      <c r="N33" s="1413"/>
      <c r="O33" s="1851">
        <f t="shared" si="11"/>
        <v>50449592.793600008</v>
      </c>
    </row>
    <row r="34" spans="2:15" s="510" customFormat="1" ht="25.5">
      <c r="B34" s="1426"/>
      <c r="C34" s="567" t="s">
        <v>949</v>
      </c>
      <c r="D34" s="511" t="s">
        <v>235</v>
      </c>
      <c r="E34" s="511" t="s">
        <v>776</v>
      </c>
      <c r="F34" s="811"/>
      <c r="G34" s="811"/>
      <c r="H34" s="2107"/>
      <c r="I34" s="357"/>
      <c r="J34" s="357"/>
      <c r="K34" s="357">
        <v>50449592.793600008</v>
      </c>
      <c r="L34" s="284">
        <f t="shared" si="10"/>
        <v>50449592.793600008</v>
      </c>
      <c r="M34" s="357"/>
      <c r="N34" s="1413"/>
      <c r="O34" s="1851">
        <f t="shared" si="11"/>
        <v>50449592.793600008</v>
      </c>
    </row>
    <row r="35" spans="2:15" s="510" customFormat="1" ht="25.5">
      <c r="B35" s="1426"/>
      <c r="C35" s="567" t="s">
        <v>950</v>
      </c>
      <c r="D35" s="511" t="s">
        <v>235</v>
      </c>
      <c r="E35" s="511" t="s">
        <v>776</v>
      </c>
      <c r="F35" s="811"/>
      <c r="G35" s="811"/>
      <c r="H35" s="2107"/>
      <c r="I35" s="357"/>
      <c r="J35" s="357"/>
      <c r="K35" s="357">
        <f>42688116.24-8</f>
        <v>42688108.240000002</v>
      </c>
      <c r="L35" s="284">
        <f t="shared" si="10"/>
        <v>42688108.240000002</v>
      </c>
      <c r="M35" s="357"/>
      <c r="N35" s="1413"/>
      <c r="O35" s="1851">
        <f t="shared" si="11"/>
        <v>42688108.240000002</v>
      </c>
    </row>
    <row r="36" spans="2:15" s="510" customFormat="1" ht="34.5" customHeight="1">
      <c r="B36" s="1426"/>
      <c r="C36" s="567" t="s">
        <v>951</v>
      </c>
      <c r="D36" s="511" t="s">
        <v>235</v>
      </c>
      <c r="E36" s="511" t="s">
        <v>776</v>
      </c>
      <c r="F36" s="811"/>
      <c r="G36" s="811"/>
      <c r="H36" s="2107"/>
      <c r="I36" s="357"/>
      <c r="J36" s="357"/>
      <c r="K36" s="357">
        <v>50449592.793600008</v>
      </c>
      <c r="L36" s="284">
        <f t="shared" si="10"/>
        <v>50449592.793600008</v>
      </c>
      <c r="M36" s="357"/>
      <c r="N36" s="1413"/>
      <c r="O36" s="1851">
        <f t="shared" si="11"/>
        <v>50449592.793600008</v>
      </c>
    </row>
    <row r="37" spans="2:15" s="510" customFormat="1">
      <c r="B37" s="1426"/>
      <c r="C37" s="567"/>
      <c r="D37" s="511"/>
      <c r="E37" s="511"/>
      <c r="F37" s="811"/>
      <c r="G37" s="811"/>
      <c r="H37" s="2107"/>
      <c r="I37" s="357"/>
      <c r="J37" s="357"/>
      <c r="K37" s="357"/>
      <c r="L37" s="284">
        <f t="shared" si="10"/>
        <v>0</v>
      </c>
      <c r="M37" s="357"/>
      <c r="N37" s="1413"/>
      <c r="O37" s="1851">
        <f t="shared" si="11"/>
        <v>0</v>
      </c>
    </row>
    <row r="38" spans="2:15" s="510" customFormat="1" ht="25.5">
      <c r="B38" s="1426"/>
      <c r="C38" s="567" t="s">
        <v>952</v>
      </c>
      <c r="D38" s="511" t="s">
        <v>235</v>
      </c>
      <c r="E38" s="511" t="s">
        <v>776</v>
      </c>
      <c r="F38" s="811"/>
      <c r="G38" s="811"/>
      <c r="H38" s="2107"/>
      <c r="I38" s="357">
        <v>14265792.940320052</v>
      </c>
      <c r="J38" s="357"/>
      <c r="K38" s="357">
        <v>36183800.099679947</v>
      </c>
      <c r="L38" s="284">
        <f t="shared" si="10"/>
        <v>50449593.039999999</v>
      </c>
      <c r="M38" s="357">
        <v>27165160</v>
      </c>
      <c r="N38" s="1413"/>
      <c r="O38" s="1851">
        <f t="shared" si="11"/>
        <v>77614753.039999992</v>
      </c>
    </row>
    <row r="39" spans="2:15" s="510" customFormat="1" ht="25.5">
      <c r="B39" s="1426"/>
      <c r="C39" s="567" t="s">
        <v>946</v>
      </c>
      <c r="D39" s="511" t="s">
        <v>235</v>
      </c>
      <c r="E39" s="511" t="s">
        <v>776</v>
      </c>
      <c r="F39" s="811"/>
      <c r="G39" s="811"/>
      <c r="H39" s="2107"/>
      <c r="I39" s="357"/>
      <c r="J39" s="357"/>
      <c r="K39" s="357"/>
      <c r="L39" s="284">
        <f t="shared" si="10"/>
        <v>0</v>
      </c>
      <c r="M39" s="357">
        <v>27165160</v>
      </c>
      <c r="N39" s="1413"/>
      <c r="O39" s="1851">
        <f t="shared" si="11"/>
        <v>27165160</v>
      </c>
    </row>
    <row r="40" spans="2:15" s="510" customFormat="1" ht="25.5">
      <c r="B40" s="1426"/>
      <c r="C40" s="567" t="s">
        <v>953</v>
      </c>
      <c r="D40" s="511" t="s">
        <v>235</v>
      </c>
      <c r="E40" s="511" t="s">
        <v>776</v>
      </c>
      <c r="F40" s="1995"/>
      <c r="G40" s="1995"/>
      <c r="H40" s="2107"/>
      <c r="I40" s="357">
        <v>42449592.793600008</v>
      </c>
      <c r="J40" s="357"/>
      <c r="K40" s="357"/>
      <c r="L40" s="284">
        <f t="shared" si="10"/>
        <v>42449592.793600008</v>
      </c>
      <c r="M40" s="357"/>
      <c r="N40" s="1413"/>
      <c r="O40" s="1851">
        <f t="shared" si="11"/>
        <v>42449592.793600008</v>
      </c>
    </row>
    <row r="41" spans="2:15" customFormat="1" ht="45.75" customHeight="1">
      <c r="B41" s="1434"/>
      <c r="C41" s="567" t="s">
        <v>1168</v>
      </c>
      <c r="D41" s="511" t="s">
        <v>235</v>
      </c>
      <c r="E41" s="810" t="s">
        <v>776</v>
      </c>
      <c r="F41" s="1995"/>
      <c r="G41" s="1995">
        <v>2</v>
      </c>
      <c r="H41" s="2107"/>
      <c r="I41" s="357">
        <v>3012000</v>
      </c>
      <c r="J41" s="357"/>
      <c r="K41" s="357"/>
      <c r="L41" s="284">
        <f t="shared" si="10"/>
        <v>3012000</v>
      </c>
      <c r="M41" s="357"/>
      <c r="N41" s="1990"/>
      <c r="O41" s="1991">
        <f t="shared" si="11"/>
        <v>3012000</v>
      </c>
    </row>
    <row r="42" spans="2:15" s="510" customFormat="1" ht="27" customHeight="1">
      <c r="B42" s="1426"/>
      <c r="C42" s="567" t="s">
        <v>1168</v>
      </c>
      <c r="D42" s="511" t="s">
        <v>235</v>
      </c>
      <c r="E42" s="511" t="s">
        <v>776</v>
      </c>
      <c r="F42" s="1995"/>
      <c r="G42" s="1995">
        <v>2</v>
      </c>
      <c r="H42" s="2107"/>
      <c r="I42" s="357">
        <f>3012000+174500</f>
        <v>3186500</v>
      </c>
      <c r="J42" s="357"/>
      <c r="K42" s="357"/>
      <c r="L42" s="284">
        <f t="shared" si="10"/>
        <v>3186500</v>
      </c>
      <c r="M42" s="357"/>
      <c r="N42" s="1413"/>
      <c r="O42" s="1851">
        <f t="shared" si="11"/>
        <v>3186500</v>
      </c>
    </row>
    <row r="43" spans="2:15" customFormat="1" ht="30" customHeight="1">
      <c r="B43" s="1434"/>
      <c r="C43" s="1999" t="s">
        <v>1274</v>
      </c>
      <c r="D43" s="511" t="s">
        <v>235</v>
      </c>
      <c r="E43" s="810" t="s">
        <v>776</v>
      </c>
      <c r="F43" s="1995"/>
      <c r="G43" s="1995"/>
      <c r="H43" s="2107"/>
      <c r="I43" s="357">
        <f>2183740+4980</f>
        <v>2188720</v>
      </c>
      <c r="J43" s="357"/>
      <c r="K43" s="357"/>
      <c r="L43" s="284">
        <f t="shared" si="10"/>
        <v>2188720</v>
      </c>
      <c r="M43" s="2001">
        <f>16228537.7606907-16228537.7606907</f>
        <v>0</v>
      </c>
      <c r="N43" s="1990"/>
      <c r="O43" s="1991">
        <f t="shared" si="11"/>
        <v>2188720</v>
      </c>
    </row>
    <row r="44" spans="2:15" s="510" customFormat="1">
      <c r="B44" s="1426"/>
      <c r="C44" s="1395" t="s">
        <v>954</v>
      </c>
      <c r="D44" s="511"/>
      <c r="E44" s="511"/>
      <c r="F44" s="1995"/>
      <c r="G44" s="1995"/>
      <c r="H44" s="2107"/>
      <c r="I44" s="357"/>
      <c r="J44" s="357"/>
      <c r="K44" s="357"/>
      <c r="L44" s="284">
        <f t="shared" si="10"/>
        <v>0</v>
      </c>
      <c r="M44" s="357"/>
      <c r="N44" s="1413"/>
      <c r="O44" s="1851">
        <f t="shared" si="11"/>
        <v>0</v>
      </c>
    </row>
    <row r="45" spans="2:15" s="510" customFormat="1" ht="25.5">
      <c r="B45" s="1426"/>
      <c r="C45" s="567" t="s">
        <v>955</v>
      </c>
      <c r="D45" s="511" t="s">
        <v>235</v>
      </c>
      <c r="E45" s="511" t="s">
        <v>776</v>
      </c>
      <c r="F45" s="1995"/>
      <c r="G45" s="1995"/>
      <c r="H45" s="2107"/>
      <c r="I45" s="357">
        <v>92060988.687360004</v>
      </c>
      <c r="J45" s="357"/>
      <c r="K45" s="357"/>
      <c r="L45" s="284">
        <f t="shared" si="10"/>
        <v>92060988.687360004</v>
      </c>
      <c r="M45" s="357"/>
      <c r="N45" s="1413"/>
      <c r="O45" s="1851">
        <f t="shared" si="11"/>
        <v>92060988.687360004</v>
      </c>
    </row>
    <row r="46" spans="2:15" s="510" customFormat="1" ht="25.5">
      <c r="B46" s="1426"/>
      <c r="C46" s="567" t="s">
        <v>956</v>
      </c>
      <c r="D46" s="511" t="s">
        <v>235</v>
      </c>
      <c r="E46" s="511" t="s">
        <v>776</v>
      </c>
      <c r="F46" s="1995"/>
      <c r="G46" s="1995"/>
      <c r="H46" s="2107"/>
      <c r="I46" s="357">
        <v>54113875.200000003</v>
      </c>
      <c r="J46" s="357"/>
      <c r="K46" s="357"/>
      <c r="L46" s="284">
        <f t="shared" si="10"/>
        <v>54113875.200000003</v>
      </c>
      <c r="M46" s="357"/>
      <c r="N46" s="1413"/>
      <c r="O46" s="1851">
        <f t="shared" si="11"/>
        <v>54113875.200000003</v>
      </c>
    </row>
    <row r="47" spans="2:15" s="510" customFormat="1" ht="25.5">
      <c r="B47" s="1426"/>
      <c r="C47" s="567" t="s">
        <v>957</v>
      </c>
      <c r="D47" s="511" t="s">
        <v>235</v>
      </c>
      <c r="E47" s="511" t="s">
        <v>776</v>
      </c>
      <c r="F47" s="1995"/>
      <c r="G47" s="1995"/>
      <c r="H47" s="2107"/>
      <c r="I47" s="357">
        <v>49194424</v>
      </c>
      <c r="J47" s="357"/>
      <c r="K47" s="357"/>
      <c r="L47" s="284">
        <f t="shared" si="10"/>
        <v>49194424</v>
      </c>
      <c r="M47" s="357"/>
      <c r="N47" s="1413"/>
      <c r="O47" s="1851">
        <f t="shared" si="11"/>
        <v>49194424</v>
      </c>
    </row>
    <row r="48" spans="2:15" s="510" customFormat="1" ht="25.5">
      <c r="B48" s="1426"/>
      <c r="C48" s="567" t="s">
        <v>1235</v>
      </c>
      <c r="D48" s="511" t="s">
        <v>235</v>
      </c>
      <c r="E48" s="511" t="s">
        <v>776</v>
      </c>
      <c r="F48" s="1995"/>
      <c r="G48" s="1995"/>
      <c r="H48" s="2107"/>
      <c r="I48" s="357"/>
      <c r="J48" s="357"/>
      <c r="K48" s="357"/>
      <c r="L48" s="284">
        <f t="shared" si="10"/>
        <v>0</v>
      </c>
      <c r="M48" s="357">
        <v>29953058</v>
      </c>
      <c r="N48" s="1413">
        <v>2023323</v>
      </c>
      <c r="O48" s="1851">
        <f t="shared" si="11"/>
        <v>31976381</v>
      </c>
    </row>
    <row r="49" spans="2:15" s="510" customFormat="1">
      <c r="B49" s="1426"/>
      <c r="C49" s="1395" t="s">
        <v>958</v>
      </c>
      <c r="D49" s="511"/>
      <c r="E49" s="511"/>
      <c r="F49" s="811"/>
      <c r="G49" s="811"/>
      <c r="H49" s="2107"/>
      <c r="I49" s="357"/>
      <c r="J49" s="357"/>
      <c r="K49" s="357"/>
      <c r="L49" s="284">
        <f t="shared" si="10"/>
        <v>0</v>
      </c>
      <c r="M49" s="357"/>
      <c r="N49" s="1413"/>
      <c r="O49" s="1851">
        <f t="shared" si="11"/>
        <v>0</v>
      </c>
    </row>
    <row r="50" spans="2:15" s="510" customFormat="1" ht="27" customHeight="1">
      <c r="B50" s="1426"/>
      <c r="C50" s="567" t="s">
        <v>959</v>
      </c>
      <c r="D50" s="511" t="s">
        <v>235</v>
      </c>
      <c r="E50" s="511" t="s">
        <v>776</v>
      </c>
      <c r="F50" s="811"/>
      <c r="G50" s="811"/>
      <c r="H50" s="2107"/>
      <c r="I50" s="357">
        <f>25449593-18000-883793</f>
        <v>24547800</v>
      </c>
      <c r="J50" s="357"/>
      <c r="K50" s="357"/>
      <c r="L50" s="284">
        <f t="shared" si="10"/>
        <v>24547800</v>
      </c>
      <c r="M50" s="357"/>
      <c r="N50" s="1413"/>
      <c r="O50" s="1851">
        <f t="shared" si="11"/>
        <v>24547800</v>
      </c>
    </row>
    <row r="51" spans="2:15" s="510" customFormat="1" ht="59.25" customHeight="1">
      <c r="B51" s="1426"/>
      <c r="C51" s="567" t="s">
        <v>825</v>
      </c>
      <c r="D51" s="511" t="s">
        <v>235</v>
      </c>
      <c r="E51" s="511" t="s">
        <v>776</v>
      </c>
      <c r="F51" s="811"/>
      <c r="G51" s="811"/>
      <c r="H51" s="2107"/>
      <c r="I51" s="357">
        <f>5675379.072-5675379.072</f>
        <v>0</v>
      </c>
      <c r="J51" s="357"/>
      <c r="K51" s="357"/>
      <c r="L51" s="284">
        <f t="shared" si="10"/>
        <v>0</v>
      </c>
      <c r="M51" s="357"/>
      <c r="N51" s="1413"/>
      <c r="O51" s="1851">
        <f t="shared" si="11"/>
        <v>0</v>
      </c>
    </row>
    <row r="52" spans="2:15" s="510" customFormat="1" ht="38.25">
      <c r="B52" s="1426"/>
      <c r="C52" s="567" t="s">
        <v>826</v>
      </c>
      <c r="D52" s="511" t="s">
        <v>235</v>
      </c>
      <c r="E52" s="511" t="s">
        <v>776</v>
      </c>
      <c r="F52" s="811"/>
      <c r="G52" s="811"/>
      <c r="H52" s="811"/>
      <c r="I52" s="357">
        <v>12668116.979200006</v>
      </c>
      <c r="J52" s="357"/>
      <c r="K52" s="357"/>
      <c r="L52" s="284">
        <f t="shared" si="10"/>
        <v>12668116.979200006</v>
      </c>
      <c r="M52" s="357"/>
      <c r="N52" s="1413"/>
      <c r="O52" s="1851">
        <f t="shared" si="11"/>
        <v>12668116.979200006</v>
      </c>
    </row>
    <row r="53" spans="2:15" s="510" customFormat="1" ht="51">
      <c r="B53" s="1426"/>
      <c r="C53" s="567" t="s">
        <v>827</v>
      </c>
      <c r="D53" s="511" t="s">
        <v>235</v>
      </c>
      <c r="E53" s="511" t="s">
        <v>776</v>
      </c>
      <c r="F53" s="811"/>
      <c r="G53" s="811"/>
      <c r="H53" s="811"/>
      <c r="I53" s="357">
        <v>6024000</v>
      </c>
      <c r="J53" s="357"/>
      <c r="K53" s="357"/>
      <c r="L53" s="284">
        <f t="shared" si="10"/>
        <v>6024000</v>
      </c>
      <c r="M53" s="357"/>
      <c r="N53" s="1413"/>
      <c r="O53" s="1851">
        <f t="shared" si="11"/>
        <v>6024000</v>
      </c>
    </row>
    <row r="54" spans="2:15" customFormat="1" ht="36">
      <c r="B54" s="1434"/>
      <c r="C54" s="2683" t="s">
        <v>1438</v>
      </c>
      <c r="D54" s="511" t="s">
        <v>235</v>
      </c>
      <c r="E54" s="511" t="s">
        <v>776</v>
      </c>
      <c r="F54" s="2243"/>
      <c r="G54" s="2243"/>
      <c r="H54" s="2243"/>
      <c r="I54" s="357">
        <f>5000000*1.004</f>
        <v>5020000</v>
      </c>
      <c r="J54" s="2013"/>
      <c r="K54" s="2013"/>
      <c r="L54" s="1989">
        <f t="shared" si="10"/>
        <v>5020000</v>
      </c>
      <c r="M54" s="2013"/>
      <c r="N54" s="1990"/>
      <c r="O54" s="1991">
        <f t="shared" si="11"/>
        <v>5020000</v>
      </c>
    </row>
    <row r="55" spans="2:15" customFormat="1" ht="38.25">
      <c r="B55" s="1434"/>
      <c r="C55" s="567" t="s">
        <v>1439</v>
      </c>
      <c r="D55" s="511" t="s">
        <v>235</v>
      </c>
      <c r="E55" s="511" t="s">
        <v>776</v>
      </c>
      <c r="F55" s="2243"/>
      <c r="G55" s="2243"/>
      <c r="H55" s="2243"/>
      <c r="I55" s="2684">
        <f>4568054*2*1.004</f>
        <v>9172652.432</v>
      </c>
      <c r="J55" s="2013"/>
      <c r="K55" s="2013"/>
      <c r="L55" s="1989">
        <f t="shared" si="10"/>
        <v>9172652.432</v>
      </c>
      <c r="M55" s="2013"/>
      <c r="N55" s="1990"/>
      <c r="O55" s="1991">
        <f t="shared" si="11"/>
        <v>9172652.432</v>
      </c>
    </row>
    <row r="56" spans="2:15" s="510" customFormat="1" ht="38.25">
      <c r="B56" s="1426"/>
      <c r="C56" s="567" t="s">
        <v>960</v>
      </c>
      <c r="D56" s="511" t="s">
        <v>235</v>
      </c>
      <c r="E56" s="511" t="s">
        <v>776</v>
      </c>
      <c r="F56" s="811"/>
      <c r="G56" s="811"/>
      <c r="H56" s="811"/>
      <c r="I56" s="357">
        <v>5880738</v>
      </c>
      <c r="J56" s="357"/>
      <c r="K56" s="357"/>
      <c r="L56" s="284">
        <f t="shared" si="10"/>
        <v>5880738</v>
      </c>
      <c r="M56" s="357"/>
      <c r="N56" s="1413"/>
      <c r="O56" s="1851">
        <f t="shared" si="11"/>
        <v>5880738</v>
      </c>
    </row>
    <row r="57" spans="2:15" s="510" customFormat="1" ht="25.5">
      <c r="B57" s="1426"/>
      <c r="C57" s="567" t="s">
        <v>961</v>
      </c>
      <c r="D57" s="511" t="s">
        <v>235</v>
      </c>
      <c r="E57" s="511"/>
      <c r="F57" s="811">
        <v>10</v>
      </c>
      <c r="G57" s="811"/>
      <c r="H57" s="811"/>
      <c r="I57" s="357">
        <f>36090357-3935554-5880738</f>
        <v>26274065</v>
      </c>
      <c r="J57" s="357"/>
      <c r="K57" s="357"/>
      <c r="L57" s="284">
        <f t="shared" si="10"/>
        <v>26274065</v>
      </c>
      <c r="M57" s="357"/>
      <c r="N57" s="1413"/>
      <c r="O57" s="1851">
        <f t="shared" si="11"/>
        <v>26274065</v>
      </c>
    </row>
    <row r="58" spans="2:15" s="510" customFormat="1">
      <c r="B58" s="1426"/>
      <c r="C58" s="567" t="s">
        <v>962</v>
      </c>
      <c r="D58" s="511"/>
      <c r="E58" s="511"/>
      <c r="F58" s="811"/>
      <c r="G58" s="811"/>
      <c r="H58" s="811"/>
      <c r="I58" s="357"/>
      <c r="J58" s="357"/>
      <c r="K58" s="357"/>
      <c r="L58" s="284">
        <f t="shared" si="10"/>
        <v>0</v>
      </c>
      <c r="M58" s="357"/>
      <c r="N58" s="1413"/>
      <c r="O58" s="1851">
        <f t="shared" si="11"/>
        <v>0</v>
      </c>
    </row>
    <row r="59" spans="2:15" s="510" customFormat="1" ht="25.5">
      <c r="B59" s="1426"/>
      <c r="C59" s="567" t="s">
        <v>963</v>
      </c>
      <c r="D59" s="511" t="s">
        <v>235</v>
      </c>
      <c r="E59" s="511" t="s">
        <v>776</v>
      </c>
      <c r="F59" s="811"/>
      <c r="G59" s="811" t="s">
        <v>1169</v>
      </c>
      <c r="H59" s="811"/>
      <c r="I59" s="357">
        <v>50441923.840000004</v>
      </c>
      <c r="J59" s="357"/>
      <c r="K59" s="357"/>
      <c r="L59" s="284">
        <f t="shared" si="10"/>
        <v>50441923.840000004</v>
      </c>
      <c r="M59" s="357"/>
      <c r="N59" s="1413"/>
      <c r="O59" s="1851">
        <f t="shared" si="11"/>
        <v>50441923.840000004</v>
      </c>
    </row>
    <row r="60" spans="2:15" s="510" customFormat="1" ht="31.5" customHeight="1">
      <c r="B60" s="1426"/>
      <c r="C60" s="567" t="s">
        <v>964</v>
      </c>
      <c r="D60" s="511" t="s">
        <v>235</v>
      </c>
      <c r="E60" s="511" t="s">
        <v>776</v>
      </c>
      <c r="F60" s="811"/>
      <c r="G60" s="811"/>
      <c r="H60" s="811"/>
      <c r="I60" s="357"/>
      <c r="J60" s="357"/>
      <c r="K60" s="357"/>
      <c r="L60" s="284">
        <f t="shared" si="10"/>
        <v>0</v>
      </c>
      <c r="M60" s="357">
        <f>41552000-2968000+154336</f>
        <v>38738336</v>
      </c>
      <c r="N60" s="1413"/>
      <c r="O60" s="1851">
        <f t="shared" si="11"/>
        <v>38738336</v>
      </c>
    </row>
    <row r="61" spans="2:15" s="510" customFormat="1">
      <c r="B61" s="1426"/>
      <c r="C61" s="567"/>
      <c r="D61" s="511"/>
      <c r="E61" s="511"/>
      <c r="F61" s="811"/>
      <c r="G61" s="811"/>
      <c r="H61" s="811"/>
      <c r="I61" s="357"/>
      <c r="J61" s="357"/>
      <c r="K61" s="357"/>
      <c r="L61" s="284">
        <f t="shared" si="10"/>
        <v>0</v>
      </c>
      <c r="M61" s="357"/>
      <c r="N61" s="1413"/>
      <c r="O61" s="1851">
        <f t="shared" si="11"/>
        <v>0</v>
      </c>
    </row>
    <row r="62" spans="2:15" s="510" customFormat="1">
      <c r="B62" s="1426"/>
      <c r="C62" s="1395" t="s">
        <v>965</v>
      </c>
      <c r="D62" s="511"/>
      <c r="E62" s="511"/>
      <c r="F62" s="811"/>
      <c r="G62" s="811"/>
      <c r="H62" s="811"/>
      <c r="I62" s="357"/>
      <c r="J62" s="357"/>
      <c r="K62" s="357"/>
      <c r="L62" s="284">
        <f t="shared" si="10"/>
        <v>0</v>
      </c>
      <c r="M62" s="357"/>
      <c r="N62" s="1413"/>
      <c r="O62" s="1851">
        <f t="shared" si="11"/>
        <v>0</v>
      </c>
    </row>
    <row r="63" spans="2:15" s="510" customFormat="1" ht="25.5">
      <c r="B63" s="1426"/>
      <c r="C63" s="567" t="s">
        <v>966</v>
      </c>
      <c r="D63" s="511" t="s">
        <v>235</v>
      </c>
      <c r="E63" s="511" t="s">
        <v>776</v>
      </c>
      <c r="F63" s="811"/>
      <c r="G63" s="2107"/>
      <c r="H63" s="2107"/>
      <c r="I63" s="357">
        <v>42688116.979200006</v>
      </c>
      <c r="J63" s="357"/>
      <c r="K63" s="357"/>
      <c r="L63" s="284">
        <f t="shared" si="10"/>
        <v>42688116.979200006</v>
      </c>
      <c r="M63" s="357"/>
      <c r="N63" s="1413"/>
      <c r="O63" s="1851">
        <f t="shared" si="11"/>
        <v>42688116.979200006</v>
      </c>
    </row>
    <row r="64" spans="2:15" s="510" customFormat="1">
      <c r="B64" s="1426"/>
      <c r="C64" s="567" t="s">
        <v>889</v>
      </c>
      <c r="D64" s="511" t="s">
        <v>235</v>
      </c>
      <c r="E64" s="511" t="s">
        <v>776</v>
      </c>
      <c r="F64" s="811"/>
      <c r="G64" s="2107"/>
      <c r="H64" s="2107"/>
      <c r="I64" s="357">
        <v>42688116.240000002</v>
      </c>
      <c r="J64" s="357"/>
      <c r="K64" s="357"/>
      <c r="L64" s="284">
        <f t="shared" si="10"/>
        <v>42688116.240000002</v>
      </c>
      <c r="M64" s="357"/>
      <c r="N64" s="1413"/>
      <c r="O64" s="1851">
        <f t="shared" si="11"/>
        <v>42688116.240000002</v>
      </c>
    </row>
    <row r="65" spans="2:15" s="510" customFormat="1">
      <c r="B65" s="1426"/>
      <c r="C65" s="567" t="s">
        <v>890</v>
      </c>
      <c r="D65" s="511" t="s">
        <v>235</v>
      </c>
      <c r="E65" s="511" t="s">
        <v>776</v>
      </c>
      <c r="F65" s="811"/>
      <c r="G65" s="2107"/>
      <c r="H65" s="2107"/>
      <c r="I65" s="357">
        <v>42688116.240000002</v>
      </c>
      <c r="J65" s="357"/>
      <c r="K65" s="357"/>
      <c r="L65" s="284">
        <f t="shared" si="10"/>
        <v>42688116.240000002</v>
      </c>
      <c r="M65" s="357"/>
      <c r="N65" s="1413"/>
      <c r="O65" s="1851">
        <f t="shared" si="11"/>
        <v>42688116.240000002</v>
      </c>
    </row>
    <row r="66" spans="2:15" s="510" customFormat="1">
      <c r="B66" s="1426"/>
      <c r="C66" s="567" t="s">
        <v>799</v>
      </c>
      <c r="D66" s="511" t="s">
        <v>235</v>
      </c>
      <c r="E66" s="511" t="s">
        <v>776</v>
      </c>
      <c r="F66" s="2195"/>
      <c r="G66" s="2195"/>
      <c r="H66" s="2195"/>
      <c r="I66" s="357">
        <v>42688116.24000001</v>
      </c>
      <c r="J66" s="357"/>
      <c r="K66" s="357"/>
      <c r="L66" s="284">
        <f t="shared" si="10"/>
        <v>42688116.24000001</v>
      </c>
      <c r="M66" s="357"/>
      <c r="N66" s="1413"/>
      <c r="O66" s="1851">
        <f t="shared" si="11"/>
        <v>42688116.24000001</v>
      </c>
    </row>
    <row r="67" spans="2:15" s="510" customFormat="1" ht="36.75" customHeight="1">
      <c r="B67" s="1426"/>
      <c r="C67" s="567" t="s">
        <v>891</v>
      </c>
      <c r="D67" s="511" t="s">
        <v>235</v>
      </c>
      <c r="E67" s="511" t="s">
        <v>776</v>
      </c>
      <c r="F67" s="2195"/>
      <c r="G67" s="2195"/>
      <c r="H67" s="2195"/>
      <c r="I67" s="357">
        <v>34810221.501439996</v>
      </c>
      <c r="J67" s="357"/>
      <c r="K67" s="357"/>
      <c r="L67" s="284">
        <f t="shared" si="10"/>
        <v>34810221.501439996</v>
      </c>
      <c r="M67" s="357"/>
      <c r="N67" s="1413"/>
      <c r="O67" s="1851">
        <f t="shared" si="11"/>
        <v>34810221.501439996</v>
      </c>
    </row>
    <row r="68" spans="2:15" s="510" customFormat="1" ht="34.5" customHeight="1">
      <c r="B68" s="1426"/>
      <c r="C68" s="567" t="s">
        <v>831</v>
      </c>
      <c r="D68" s="511" t="s">
        <v>235</v>
      </c>
      <c r="E68" s="511" t="s">
        <v>776</v>
      </c>
      <c r="F68" s="2195"/>
      <c r="G68" s="2195"/>
      <c r="H68" s="2195"/>
      <c r="I68" s="357">
        <f>34807379.0727642-7642219-1940369</f>
        <v>25224791.072764203</v>
      </c>
      <c r="J68" s="357"/>
      <c r="K68" s="357"/>
      <c r="L68" s="284">
        <f t="shared" si="10"/>
        <v>25224791.072764203</v>
      </c>
      <c r="M68" s="357"/>
      <c r="N68" s="1413"/>
      <c r="O68" s="1851">
        <f t="shared" si="11"/>
        <v>25224791.072764203</v>
      </c>
    </row>
    <row r="69" spans="2:15" s="510" customFormat="1" ht="25.5">
      <c r="B69" s="1426"/>
      <c r="C69" s="567" t="s">
        <v>832</v>
      </c>
      <c r="D69" s="511" t="s">
        <v>235</v>
      </c>
      <c r="E69" s="511" t="s">
        <v>776</v>
      </c>
      <c r="F69" s="2195"/>
      <c r="G69" s="2195"/>
      <c r="H69" s="2195"/>
      <c r="I69" s="357">
        <f>38688116.9792-19403423</f>
        <v>19284693.979199998</v>
      </c>
      <c r="J69" s="357"/>
      <c r="K69" s="357"/>
      <c r="L69" s="284">
        <f t="shared" si="10"/>
        <v>19284693.979199998</v>
      </c>
      <c r="M69" s="357"/>
      <c r="N69" s="1413"/>
      <c r="O69" s="1851">
        <f t="shared" si="11"/>
        <v>19284693.979199998</v>
      </c>
    </row>
    <row r="70" spans="2:15" s="510" customFormat="1" ht="25.5">
      <c r="B70" s="1426"/>
      <c r="C70" s="567" t="s">
        <v>1170</v>
      </c>
      <c r="D70" s="511" t="s">
        <v>235</v>
      </c>
      <c r="E70" s="511" t="s">
        <v>776</v>
      </c>
      <c r="F70" s="2195"/>
      <c r="G70" s="2195"/>
      <c r="H70" s="2195"/>
      <c r="I70" s="357">
        <v>24279892.868764676</v>
      </c>
      <c r="J70" s="357"/>
      <c r="K70" s="357"/>
      <c r="L70" s="284">
        <f t="shared" si="10"/>
        <v>24279892.868764676</v>
      </c>
      <c r="M70" s="357"/>
      <c r="N70" s="1413"/>
      <c r="O70" s="1851">
        <f t="shared" si="11"/>
        <v>24279892.868764676</v>
      </c>
    </row>
    <row r="71" spans="2:15" s="510" customFormat="1" ht="25.5">
      <c r="B71" s="1426"/>
      <c r="C71" s="567" t="s">
        <v>806</v>
      </c>
      <c r="D71" s="511" t="s">
        <v>235</v>
      </c>
      <c r="E71" s="511" t="s">
        <v>776</v>
      </c>
      <c r="F71" s="2195"/>
      <c r="G71" s="2195"/>
      <c r="H71" s="2195"/>
      <c r="I71" s="357">
        <v>12688117</v>
      </c>
      <c r="J71" s="357"/>
      <c r="K71" s="357"/>
      <c r="L71" s="284">
        <f t="shared" si="10"/>
        <v>12688117</v>
      </c>
      <c r="M71" s="357"/>
      <c r="N71" s="1413"/>
      <c r="O71" s="1851">
        <f t="shared" si="11"/>
        <v>12688117</v>
      </c>
    </row>
    <row r="72" spans="2:15" s="510" customFormat="1" ht="25.5">
      <c r="B72" s="1426"/>
      <c r="C72" s="567" t="s">
        <v>1171</v>
      </c>
      <c r="D72" s="511" t="s">
        <v>235</v>
      </c>
      <c r="E72" s="511" t="s">
        <v>776</v>
      </c>
      <c r="F72" s="2195"/>
      <c r="G72" s="2195"/>
      <c r="H72" s="2195"/>
      <c r="I72" s="357">
        <f>10689653-3159653</f>
        <v>7530000</v>
      </c>
      <c r="J72" s="357"/>
      <c r="K72" s="357"/>
      <c r="L72" s="284">
        <f t="shared" si="10"/>
        <v>7530000</v>
      </c>
      <c r="M72" s="357"/>
      <c r="N72" s="1413"/>
      <c r="O72" s="1851">
        <f t="shared" si="11"/>
        <v>7530000</v>
      </c>
    </row>
    <row r="73" spans="2:15" s="510" customFormat="1" ht="32.25" customHeight="1">
      <c r="B73" s="1426"/>
      <c r="C73" s="567" t="s">
        <v>967</v>
      </c>
      <c r="D73" s="511" t="s">
        <v>235</v>
      </c>
      <c r="E73" s="511" t="s">
        <v>776</v>
      </c>
      <c r="F73" s="2195"/>
      <c r="G73" s="2195"/>
      <c r="H73" s="2195"/>
      <c r="I73" s="357">
        <v>31045903.257600002</v>
      </c>
      <c r="J73" s="357"/>
      <c r="K73" s="357"/>
      <c r="L73" s="284">
        <f t="shared" si="10"/>
        <v>31045903.257600002</v>
      </c>
      <c r="M73" s="357"/>
      <c r="N73" s="1413"/>
      <c r="O73" s="1851">
        <f t="shared" si="11"/>
        <v>31045903.257600002</v>
      </c>
    </row>
    <row r="74" spans="2:15" s="510" customFormat="1">
      <c r="B74" s="1426"/>
      <c r="C74" s="567"/>
      <c r="D74" s="511"/>
      <c r="E74" s="511"/>
      <c r="F74" s="2195"/>
      <c r="G74" s="2195"/>
      <c r="H74" s="2195"/>
      <c r="I74" s="357"/>
      <c r="J74" s="357"/>
      <c r="K74" s="357"/>
      <c r="L74" s="284">
        <f t="shared" si="10"/>
        <v>0</v>
      </c>
      <c r="M74" s="357"/>
      <c r="N74" s="1413"/>
      <c r="O74" s="1851">
        <f t="shared" si="11"/>
        <v>0</v>
      </c>
    </row>
    <row r="75" spans="2:15" s="510" customFormat="1">
      <c r="B75" s="1426"/>
      <c r="C75" s="567" t="s">
        <v>1243</v>
      </c>
      <c r="D75" s="511" t="s">
        <v>235</v>
      </c>
      <c r="E75" s="511" t="s">
        <v>776</v>
      </c>
      <c r="F75" s="2195"/>
      <c r="G75" s="2195"/>
      <c r="H75" s="2195"/>
      <c r="I75" s="357">
        <f>27165160-1940369</f>
        <v>25224791</v>
      </c>
      <c r="J75" s="357"/>
      <c r="K75" s="357"/>
      <c r="L75" s="284">
        <f t="shared" si="10"/>
        <v>25224791</v>
      </c>
      <c r="M75" s="357"/>
      <c r="N75" s="1413"/>
      <c r="O75" s="1851">
        <f t="shared" si="11"/>
        <v>25224791</v>
      </c>
    </row>
    <row r="76" spans="2:15" s="510" customFormat="1">
      <c r="B76" s="1426"/>
      <c r="C76" s="567" t="s">
        <v>1244</v>
      </c>
      <c r="D76" s="511" t="s">
        <v>235</v>
      </c>
      <c r="E76" s="511" t="s">
        <v>776</v>
      </c>
      <c r="F76" s="2195"/>
      <c r="G76" s="2195"/>
      <c r="H76" s="2195"/>
      <c r="I76" s="357">
        <v>27165160</v>
      </c>
      <c r="J76" s="357"/>
      <c r="K76" s="357"/>
      <c r="L76" s="284">
        <f t="shared" si="10"/>
        <v>27165160</v>
      </c>
      <c r="M76" s="357"/>
      <c r="N76" s="1413"/>
      <c r="O76" s="1851">
        <f t="shared" si="11"/>
        <v>27165160</v>
      </c>
    </row>
    <row r="77" spans="2:15" s="510" customFormat="1">
      <c r="B77" s="1426"/>
      <c r="C77" s="567" t="s">
        <v>1245</v>
      </c>
      <c r="D77" s="511" t="s">
        <v>235</v>
      </c>
      <c r="E77" s="511" t="s">
        <v>776</v>
      </c>
      <c r="F77" s="2195"/>
      <c r="G77" s="2195"/>
      <c r="H77" s="2195"/>
      <c r="I77" s="357">
        <f>23284422+1940369</f>
        <v>25224791</v>
      </c>
      <c r="J77" s="357"/>
      <c r="K77" s="357"/>
      <c r="L77" s="284">
        <f t="shared" si="10"/>
        <v>25224791</v>
      </c>
      <c r="M77" s="357"/>
      <c r="N77" s="1413"/>
      <c r="O77" s="1851">
        <f t="shared" si="11"/>
        <v>25224791</v>
      </c>
    </row>
    <row r="78" spans="2:15" s="510" customFormat="1" ht="25.5">
      <c r="B78" s="1426"/>
      <c r="C78" s="567" t="s">
        <v>977</v>
      </c>
      <c r="D78" s="511" t="s">
        <v>235</v>
      </c>
      <c r="E78" s="511" t="s">
        <v>776</v>
      </c>
      <c r="F78" s="2195"/>
      <c r="G78" s="2195"/>
      <c r="H78" s="2195"/>
      <c r="I78" s="357">
        <f>19890223-2822223-3981864+2494940</f>
        <v>15581076</v>
      </c>
      <c r="J78" s="357"/>
      <c r="K78" s="357"/>
      <c r="L78" s="284">
        <f t="shared" si="10"/>
        <v>15581076</v>
      </c>
      <c r="M78" s="357"/>
      <c r="N78" s="1413"/>
      <c r="O78" s="1851">
        <f t="shared" si="11"/>
        <v>15581076</v>
      </c>
    </row>
    <row r="79" spans="2:15" s="510" customFormat="1" ht="27.75" customHeight="1">
      <c r="B79" s="1426"/>
      <c r="C79" s="567" t="s">
        <v>1221</v>
      </c>
      <c r="D79" s="511" t="s">
        <v>235</v>
      </c>
      <c r="E79" s="511" t="s">
        <v>776</v>
      </c>
      <c r="F79" s="2195"/>
      <c r="G79" s="2195"/>
      <c r="H79" s="2195"/>
      <c r="I79" s="357"/>
      <c r="J79" s="357"/>
      <c r="K79" s="357"/>
      <c r="L79" s="284">
        <f t="shared" si="10"/>
        <v>0</v>
      </c>
      <c r="M79" s="357">
        <f>15522948.716-6526695</f>
        <v>8996253.716</v>
      </c>
      <c r="N79" s="1413"/>
      <c r="O79" s="1851">
        <f t="shared" si="11"/>
        <v>8996253.716</v>
      </c>
    </row>
    <row r="80" spans="2:15" s="510" customFormat="1" ht="27.75" customHeight="1">
      <c r="B80" s="1426"/>
      <c r="C80" s="567" t="s">
        <v>1221</v>
      </c>
      <c r="D80" s="511" t="s">
        <v>235</v>
      </c>
      <c r="E80" s="511" t="s">
        <v>776</v>
      </c>
      <c r="F80" s="2195"/>
      <c r="G80" s="2195"/>
      <c r="H80" s="2195"/>
      <c r="I80" s="357"/>
      <c r="J80" s="357"/>
      <c r="K80" s="357"/>
      <c r="L80" s="284">
        <f t="shared" si="10"/>
        <v>0</v>
      </c>
      <c r="M80" s="357">
        <f>15522948.416-9701842.7-1940369</f>
        <v>3880736.716</v>
      </c>
      <c r="N80" s="1413"/>
      <c r="O80" s="1851">
        <f t="shared" si="11"/>
        <v>3880736.716</v>
      </c>
    </row>
    <row r="81" spans="2:15" s="510" customFormat="1" ht="27.75" customHeight="1">
      <c r="B81" s="1426"/>
      <c r="C81" s="567" t="s">
        <v>1221</v>
      </c>
      <c r="D81" s="511" t="s">
        <v>235</v>
      </c>
      <c r="E81" s="511" t="s">
        <v>776</v>
      </c>
      <c r="F81" s="2195"/>
      <c r="G81" s="2195"/>
      <c r="H81" s="2195"/>
      <c r="I81" s="357"/>
      <c r="J81" s="357"/>
      <c r="K81" s="357"/>
      <c r="L81" s="284">
        <f t="shared" si="10"/>
        <v>0</v>
      </c>
      <c r="M81" s="357">
        <f>15522948.416-1940368.7</f>
        <v>13582579.716</v>
      </c>
      <c r="N81" s="1413"/>
      <c r="O81" s="1851">
        <f t="shared" si="11"/>
        <v>13582579.716</v>
      </c>
    </row>
    <row r="82" spans="2:15" s="510" customFormat="1" ht="27.75" customHeight="1">
      <c r="B82" s="1426"/>
      <c r="C82" s="567" t="s">
        <v>1221</v>
      </c>
      <c r="D82" s="511" t="s">
        <v>235</v>
      </c>
      <c r="E82" s="511" t="s">
        <v>776</v>
      </c>
      <c r="F82" s="2195"/>
      <c r="G82" s="2195"/>
      <c r="H82" s="2195"/>
      <c r="I82" s="357"/>
      <c r="J82" s="357"/>
      <c r="K82" s="357"/>
      <c r="L82" s="284">
        <f t="shared" si="10"/>
        <v>0</v>
      </c>
      <c r="M82" s="357">
        <f>15522948.416-1940368.7</f>
        <v>13582579.716</v>
      </c>
      <c r="N82" s="1413"/>
      <c r="O82" s="1851">
        <f t="shared" si="11"/>
        <v>13582579.716</v>
      </c>
    </row>
    <row r="83" spans="2:15" s="510" customFormat="1" ht="27.75" customHeight="1">
      <c r="B83" s="1426"/>
      <c r="C83" s="567" t="s">
        <v>1221</v>
      </c>
      <c r="D83" s="511" t="s">
        <v>235</v>
      </c>
      <c r="E83" s="511" t="s">
        <v>776</v>
      </c>
      <c r="F83" s="2195"/>
      <c r="G83" s="2195"/>
      <c r="H83" s="2195"/>
      <c r="I83" s="357"/>
      <c r="J83" s="357"/>
      <c r="K83" s="357"/>
      <c r="L83" s="284">
        <f t="shared" si="10"/>
        <v>0</v>
      </c>
      <c r="M83" s="357">
        <f>15522948.416-1940368.7</f>
        <v>13582579.716</v>
      </c>
      <c r="N83" s="1413"/>
      <c r="O83" s="1851">
        <f t="shared" si="11"/>
        <v>13582579.716</v>
      </c>
    </row>
    <row r="84" spans="2:15" s="510" customFormat="1" ht="27.75" customHeight="1">
      <c r="B84" s="1426"/>
      <c r="C84" s="567" t="s">
        <v>1221</v>
      </c>
      <c r="D84" s="511" t="s">
        <v>235</v>
      </c>
      <c r="E84" s="511" t="s">
        <v>776</v>
      </c>
      <c r="F84" s="2195"/>
      <c r="G84" s="2195"/>
      <c r="H84" s="2195"/>
      <c r="I84" s="357"/>
      <c r="J84" s="357"/>
      <c r="K84" s="357"/>
      <c r="L84" s="284">
        <f t="shared" si="10"/>
        <v>0</v>
      </c>
      <c r="M84" s="357">
        <f>15522948.416-1940368.7-1940369</f>
        <v>11642210.716</v>
      </c>
      <c r="N84" s="1413"/>
      <c r="O84" s="1851">
        <f t="shared" si="11"/>
        <v>11642210.716</v>
      </c>
    </row>
    <row r="85" spans="2:15" s="510" customFormat="1">
      <c r="B85" s="1426"/>
      <c r="C85" s="567" t="s">
        <v>1221</v>
      </c>
      <c r="D85" s="511" t="s">
        <v>235</v>
      </c>
      <c r="E85" s="810" t="s">
        <v>776</v>
      </c>
      <c r="F85" s="2195"/>
      <c r="G85" s="2195"/>
      <c r="H85" s="2195"/>
      <c r="I85" s="357">
        <f>3865276*1.004*6.5-M85</f>
        <v>4087884.8633092642</v>
      </c>
      <c r="J85" s="357"/>
      <c r="K85" s="357"/>
      <c r="L85" s="284">
        <f t="shared" ref="L85" si="12">SUM(I85:K85)</f>
        <v>4087884.8633092642</v>
      </c>
      <c r="M85" s="2001">
        <v>21136906.312690735</v>
      </c>
      <c r="N85" s="1413"/>
      <c r="O85" s="1991">
        <f t="shared" ref="O85" si="13">+SUM(M85:N85)+L85</f>
        <v>25224791.175999999</v>
      </c>
    </row>
    <row r="86" spans="2:15" s="510" customFormat="1">
      <c r="B86" s="1426"/>
      <c r="C86" s="567" t="s">
        <v>1318</v>
      </c>
      <c r="D86" s="511" t="s">
        <v>235</v>
      </c>
      <c r="E86" s="810" t="s">
        <v>776</v>
      </c>
      <c r="F86" s="2195"/>
      <c r="G86" s="2195"/>
      <c r="H86" s="2195"/>
      <c r="I86" s="357">
        <f>10331574.2388093-2183740+4209960</f>
        <v>12357794.238809301</v>
      </c>
      <c r="J86" s="357"/>
      <c r="K86" s="357">
        <f>(5624471.91599989+8)-(5624471.91599989+8)</f>
        <v>0</v>
      </c>
      <c r="L86" s="284">
        <f t="shared" ref="L86" si="14">SUM(I86:K86)</f>
        <v>12357794.238809301</v>
      </c>
      <c r="M86" s="2001">
        <f>1940368.9-154336-1165741.62</f>
        <v>620291.2799999998</v>
      </c>
      <c r="N86" s="1413"/>
      <c r="O86" s="1991">
        <f t="shared" ref="O86" si="15">+SUM(M86:N86)+L86</f>
        <v>12978085.5188093</v>
      </c>
    </row>
    <row r="87" spans="2:15" customFormat="1" ht="27.75" customHeight="1">
      <c r="B87" s="1434"/>
      <c r="C87" s="567" t="s">
        <v>1418</v>
      </c>
      <c r="D87" s="511" t="s">
        <v>235</v>
      </c>
      <c r="E87" s="810" t="s">
        <v>776</v>
      </c>
      <c r="F87" s="2195"/>
      <c r="G87" s="2195"/>
      <c r="H87" s="2195"/>
      <c r="I87" s="357">
        <f>10301094.4591477-8517273.14791179</f>
        <v>1783821.3112359084</v>
      </c>
      <c r="J87" s="357"/>
      <c r="K87" s="357">
        <f>5624471.91599989+8</f>
        <v>5624479.9159998903</v>
      </c>
      <c r="L87" s="284">
        <f>SUM(I87:K87)</f>
        <v>7408301.2272357987</v>
      </c>
      <c r="M87" s="2203">
        <v>1165741.9833093286</v>
      </c>
      <c r="N87" s="1990"/>
      <c r="O87" s="1991">
        <f t="shared" ref="O87:O88" si="16">+SUM(M87:N87)+L87</f>
        <v>8574043.2105451263</v>
      </c>
    </row>
    <row r="88" spans="2:15" customFormat="1" ht="33.75" customHeight="1">
      <c r="B88" s="1434"/>
      <c r="C88" s="567" t="s">
        <v>1415</v>
      </c>
      <c r="D88" s="511" t="s">
        <v>235</v>
      </c>
      <c r="E88" s="511" t="s">
        <v>776</v>
      </c>
      <c r="F88" s="2195"/>
      <c r="G88" s="2195"/>
      <c r="H88" s="2195"/>
      <c r="I88" s="357">
        <v>9097348.4159999993</v>
      </c>
      <c r="J88" s="357"/>
      <c r="K88" s="357"/>
      <c r="L88" s="284">
        <f t="shared" ref="L88" si="17">SUM(I88:K88)</f>
        <v>9097348.4159999993</v>
      </c>
      <c r="M88" s="357"/>
      <c r="N88" s="1990"/>
      <c r="O88" s="1991">
        <f t="shared" si="16"/>
        <v>9097348.4159999993</v>
      </c>
    </row>
    <row r="89" spans="2:15" s="510" customFormat="1">
      <c r="B89" s="1426"/>
      <c r="C89" s="567" t="s">
        <v>968</v>
      </c>
      <c r="D89" s="511" t="s">
        <v>235</v>
      </c>
      <c r="E89" s="511" t="s">
        <v>776</v>
      </c>
      <c r="F89" s="2195"/>
      <c r="G89" s="2195">
        <v>11</v>
      </c>
      <c r="H89" s="2195"/>
      <c r="I89" s="357">
        <v>37487924.32</v>
      </c>
      <c r="J89" s="357"/>
      <c r="K89" s="357"/>
      <c r="L89" s="284">
        <f t="shared" si="10"/>
        <v>37487924.32</v>
      </c>
      <c r="M89" s="357"/>
      <c r="N89" s="1413"/>
      <c r="O89" s="1851">
        <f t="shared" si="11"/>
        <v>37487924.32</v>
      </c>
    </row>
    <row r="90" spans="2:15" s="510" customFormat="1">
      <c r="B90" s="1426"/>
      <c r="C90" s="567" t="s">
        <v>969</v>
      </c>
      <c r="D90" s="511" t="s">
        <v>235</v>
      </c>
      <c r="E90" s="511" t="s">
        <v>776</v>
      </c>
      <c r="F90" s="2195"/>
      <c r="G90" s="2195">
        <v>11</v>
      </c>
      <c r="H90" s="2195"/>
      <c r="I90" s="357">
        <v>42688116.979200006</v>
      </c>
      <c r="J90" s="357"/>
      <c r="K90" s="357"/>
      <c r="L90" s="284">
        <f t="shared" si="10"/>
        <v>42688116.979200006</v>
      </c>
      <c r="M90" s="357"/>
      <c r="N90" s="1413"/>
      <c r="O90" s="1851">
        <f t="shared" si="11"/>
        <v>42688116.979200006</v>
      </c>
    </row>
    <row r="91" spans="2:15" s="510" customFormat="1">
      <c r="B91" s="1426"/>
      <c r="C91" s="567" t="s">
        <v>970</v>
      </c>
      <c r="D91" s="511" t="s">
        <v>235</v>
      </c>
      <c r="E91" s="511" t="s">
        <v>776</v>
      </c>
      <c r="F91" s="2195"/>
      <c r="G91" s="2195">
        <v>11</v>
      </c>
      <c r="H91" s="2195"/>
      <c r="I91" s="357">
        <v>50449592.793600008</v>
      </c>
      <c r="J91" s="357"/>
      <c r="K91" s="357"/>
      <c r="L91" s="284">
        <f t="shared" si="10"/>
        <v>50449592.793600008</v>
      </c>
      <c r="M91" s="357"/>
      <c r="N91" s="1413"/>
      <c r="O91" s="1851">
        <f t="shared" si="11"/>
        <v>50449592.793600008</v>
      </c>
    </row>
    <row r="92" spans="2:15" s="510" customFormat="1">
      <c r="B92" s="1426"/>
      <c r="C92" s="567" t="s">
        <v>1195</v>
      </c>
      <c r="D92" s="511" t="s">
        <v>235</v>
      </c>
      <c r="E92" s="511" t="s">
        <v>776</v>
      </c>
      <c r="F92" s="2195"/>
      <c r="G92" s="2195">
        <v>6</v>
      </c>
      <c r="H92" s="2195"/>
      <c r="I92" s="357">
        <v>7468796.1600000001</v>
      </c>
      <c r="J92" s="357"/>
      <c r="K92" s="357"/>
      <c r="L92" s="284">
        <f t="shared" si="10"/>
        <v>7468796.1600000001</v>
      </c>
      <c r="M92" s="357"/>
      <c r="N92" s="1413"/>
      <c r="O92" s="1851">
        <f t="shared" si="11"/>
        <v>7468796.1600000001</v>
      </c>
    </row>
    <row r="93" spans="2:15" s="510" customFormat="1">
      <c r="B93" s="1426"/>
      <c r="C93" s="567" t="s">
        <v>971</v>
      </c>
      <c r="D93" s="511" t="s">
        <v>235</v>
      </c>
      <c r="E93" s="511" t="s">
        <v>776</v>
      </c>
      <c r="F93" s="2195"/>
      <c r="G93" s="2195"/>
      <c r="H93" s="2195"/>
      <c r="I93" s="357"/>
      <c r="J93" s="357"/>
      <c r="K93" s="357"/>
      <c r="L93" s="284">
        <f t="shared" si="10"/>
        <v>0</v>
      </c>
      <c r="M93" s="357"/>
      <c r="N93" s="1413"/>
      <c r="O93" s="1851">
        <f t="shared" si="11"/>
        <v>0</v>
      </c>
    </row>
    <row r="94" spans="2:15" s="510" customFormat="1">
      <c r="B94" s="1426"/>
      <c r="C94" s="567" t="s">
        <v>882</v>
      </c>
      <c r="D94" s="511" t="s">
        <v>235</v>
      </c>
      <c r="E94" s="511" t="s">
        <v>776</v>
      </c>
      <c r="F94" s="2195"/>
      <c r="G94" s="2195">
        <v>11</v>
      </c>
      <c r="H94" s="2195"/>
      <c r="I94" s="357">
        <v>42688116.600000001</v>
      </c>
      <c r="J94" s="357"/>
      <c r="K94" s="357"/>
      <c r="L94" s="284">
        <f t="shared" si="10"/>
        <v>42688116.600000001</v>
      </c>
      <c r="M94" s="357"/>
      <c r="N94" s="1413"/>
      <c r="O94" s="1851">
        <f t="shared" si="11"/>
        <v>42688116.600000001</v>
      </c>
    </row>
    <row r="95" spans="2:15" s="510" customFormat="1">
      <c r="B95" s="1426"/>
      <c r="C95" s="567" t="s">
        <v>883</v>
      </c>
      <c r="D95" s="511" t="s">
        <v>235</v>
      </c>
      <c r="E95" s="511" t="s">
        <v>776</v>
      </c>
      <c r="F95" s="2195"/>
      <c r="G95" s="2195">
        <v>11</v>
      </c>
      <c r="H95" s="2195"/>
      <c r="I95" s="357">
        <f>42688116.9792-3880746</f>
        <v>38807370.979199998</v>
      </c>
      <c r="J95" s="357"/>
      <c r="K95" s="357"/>
      <c r="L95" s="284">
        <f t="shared" si="10"/>
        <v>38807370.979199998</v>
      </c>
      <c r="M95" s="357"/>
      <c r="N95" s="1413"/>
      <c r="O95" s="1851">
        <f t="shared" si="11"/>
        <v>38807370.979199998</v>
      </c>
    </row>
    <row r="96" spans="2:15" s="510" customFormat="1">
      <c r="B96" s="1426"/>
      <c r="C96" s="567" t="s">
        <v>788</v>
      </c>
      <c r="D96" s="511" t="s">
        <v>235</v>
      </c>
      <c r="E96" s="511" t="s">
        <v>776</v>
      </c>
      <c r="F96" s="2195"/>
      <c r="G96" s="2195">
        <v>11</v>
      </c>
      <c r="H96" s="2195"/>
      <c r="I96" s="357">
        <f>42688116.9792-1940377</f>
        <v>40747739.979199998</v>
      </c>
      <c r="J96" s="357"/>
      <c r="K96" s="357"/>
      <c r="L96" s="284">
        <f t="shared" si="10"/>
        <v>40747739.979199998</v>
      </c>
      <c r="M96" s="357"/>
      <c r="N96" s="1413"/>
      <c r="O96" s="1851">
        <f t="shared" ref="O96:O107" si="18">+SUM(M96:N96)+L96</f>
        <v>40747739.979199998</v>
      </c>
    </row>
    <row r="97" spans="1:15" s="510" customFormat="1">
      <c r="B97" s="1426"/>
      <c r="C97" s="567" t="s">
        <v>972</v>
      </c>
      <c r="D97" s="511" t="s">
        <v>235</v>
      </c>
      <c r="E97" s="511" t="s">
        <v>776</v>
      </c>
      <c r="F97" s="2195"/>
      <c r="G97" s="2195">
        <v>11</v>
      </c>
      <c r="H97" s="2195"/>
      <c r="I97" s="357">
        <f>42688116.9792+3175145</f>
        <v>45863261.979199998</v>
      </c>
      <c r="J97" s="357"/>
      <c r="K97" s="357"/>
      <c r="L97" s="284">
        <f t="shared" si="10"/>
        <v>45863261.979199998</v>
      </c>
      <c r="M97" s="357"/>
      <c r="N97" s="1413"/>
      <c r="O97" s="1851">
        <f t="shared" si="18"/>
        <v>45863261.979199998</v>
      </c>
    </row>
    <row r="98" spans="1:15" s="510" customFormat="1">
      <c r="B98" s="1426"/>
      <c r="C98" s="567"/>
      <c r="D98" s="511" t="s">
        <v>235</v>
      </c>
      <c r="E98" s="511" t="s">
        <v>776</v>
      </c>
      <c r="F98" s="811"/>
      <c r="G98" s="811"/>
      <c r="H98" s="811"/>
      <c r="I98" s="357"/>
      <c r="J98" s="357"/>
      <c r="K98" s="357"/>
      <c r="L98" s="284">
        <f t="shared" si="10"/>
        <v>0</v>
      </c>
      <c r="M98" s="357"/>
      <c r="N98" s="1413"/>
      <c r="O98" s="1851">
        <f t="shared" si="18"/>
        <v>0</v>
      </c>
    </row>
    <row r="99" spans="1:15" s="510" customFormat="1">
      <c r="B99" s="1426"/>
      <c r="C99" s="567" t="s">
        <v>973</v>
      </c>
      <c r="D99" s="511" t="s">
        <v>235</v>
      </c>
      <c r="E99" s="511" t="s">
        <v>776</v>
      </c>
      <c r="F99" s="811"/>
      <c r="G99" s="811">
        <v>11</v>
      </c>
      <c r="H99" s="811"/>
      <c r="I99" s="357">
        <v>42688116.979200006</v>
      </c>
      <c r="J99" s="357"/>
      <c r="K99" s="357"/>
      <c r="L99" s="284">
        <f t="shared" si="10"/>
        <v>42688116.979200006</v>
      </c>
      <c r="M99" s="357"/>
      <c r="N99" s="1413"/>
      <c r="O99" s="1851">
        <f t="shared" si="18"/>
        <v>42688116.979200006</v>
      </c>
    </row>
    <row r="100" spans="1:15" s="510" customFormat="1">
      <c r="B100" s="1426"/>
      <c r="C100" s="567" t="s">
        <v>974</v>
      </c>
      <c r="D100" s="511" t="s">
        <v>235</v>
      </c>
      <c r="E100" s="511" t="s">
        <v>776</v>
      </c>
      <c r="F100" s="811"/>
      <c r="G100" s="811">
        <v>11</v>
      </c>
      <c r="H100" s="811"/>
      <c r="I100" s="357">
        <f>34926641.1648-1940376</f>
        <v>32986265.164800003</v>
      </c>
      <c r="J100" s="357"/>
      <c r="K100" s="357"/>
      <c r="L100" s="284">
        <f t="shared" si="10"/>
        <v>32986265.164800003</v>
      </c>
      <c r="M100" s="357"/>
      <c r="N100" s="1413"/>
      <c r="O100" s="1851">
        <f t="shared" si="18"/>
        <v>32986265.164800003</v>
      </c>
    </row>
    <row r="101" spans="1:15" s="510" customFormat="1">
      <c r="B101" s="1426"/>
      <c r="C101" s="567" t="s">
        <v>975</v>
      </c>
      <c r="D101" s="511" t="s">
        <v>235</v>
      </c>
      <c r="E101" s="511" t="s">
        <v>776</v>
      </c>
      <c r="F101" s="811"/>
      <c r="G101" s="811">
        <v>11</v>
      </c>
      <c r="H101" s="811"/>
      <c r="I101" s="357">
        <f>42688116.5-1940377</f>
        <v>40747739.5</v>
      </c>
      <c r="J101" s="357"/>
      <c r="K101" s="357"/>
      <c r="L101" s="284">
        <f t="shared" si="10"/>
        <v>40747739.5</v>
      </c>
      <c r="M101" s="357"/>
      <c r="N101" s="1413"/>
      <c r="O101" s="1851">
        <f t="shared" si="18"/>
        <v>40747739.5</v>
      </c>
    </row>
    <row r="102" spans="1:15" s="510" customFormat="1">
      <c r="B102" s="1426"/>
      <c r="C102" s="567" t="s">
        <v>976</v>
      </c>
      <c r="D102" s="511" t="s">
        <v>235</v>
      </c>
      <c r="E102" s="511" t="s">
        <v>776</v>
      </c>
      <c r="F102" s="811"/>
      <c r="G102" s="811"/>
      <c r="H102" s="811"/>
      <c r="I102" s="357"/>
      <c r="J102" s="357"/>
      <c r="K102" s="357"/>
      <c r="L102" s="284">
        <f t="shared" si="10"/>
        <v>0</v>
      </c>
      <c r="M102" s="357"/>
      <c r="N102" s="1413"/>
      <c r="O102" s="1851">
        <f t="shared" si="18"/>
        <v>0</v>
      </c>
    </row>
    <row r="103" spans="1:15" s="510" customFormat="1" ht="25.5">
      <c r="B103" s="1426"/>
      <c r="C103" s="567" t="s">
        <v>977</v>
      </c>
      <c r="D103" s="511" t="s">
        <v>235</v>
      </c>
      <c r="E103" s="511" t="s">
        <v>776</v>
      </c>
      <c r="F103" s="811"/>
      <c r="G103" s="811"/>
      <c r="H103" s="811"/>
      <c r="I103" s="357"/>
      <c r="J103" s="357"/>
      <c r="K103" s="357"/>
      <c r="L103" s="284">
        <f t="shared" si="10"/>
        <v>0</v>
      </c>
      <c r="M103" s="357"/>
      <c r="N103" s="1413"/>
      <c r="O103" s="1851">
        <f t="shared" si="18"/>
        <v>0</v>
      </c>
    </row>
    <row r="104" spans="1:15" s="510" customFormat="1">
      <c r="B104" s="1426"/>
      <c r="C104" s="567"/>
      <c r="D104" s="511"/>
      <c r="E104" s="511"/>
      <c r="F104" s="811"/>
      <c r="G104" s="811"/>
      <c r="H104" s="811"/>
      <c r="I104" s="357"/>
      <c r="J104" s="357"/>
      <c r="K104" s="357"/>
      <c r="L104" s="284">
        <f t="shared" si="10"/>
        <v>0</v>
      </c>
      <c r="M104" s="357"/>
      <c r="N104" s="1413"/>
      <c r="O104" s="1851">
        <f t="shared" si="18"/>
        <v>0</v>
      </c>
    </row>
    <row r="105" spans="1:15" s="510" customFormat="1" ht="25.5">
      <c r="B105" s="1426"/>
      <c r="C105" s="1395" t="s">
        <v>978</v>
      </c>
      <c r="D105" s="511"/>
      <c r="E105" s="511"/>
      <c r="F105" s="811"/>
      <c r="G105" s="811"/>
      <c r="H105" s="811"/>
      <c r="I105" s="357"/>
      <c r="J105" s="357"/>
      <c r="K105" s="357"/>
      <c r="L105" s="284">
        <f t="shared" si="10"/>
        <v>0</v>
      </c>
      <c r="M105" s="357"/>
      <c r="N105" s="1413"/>
      <c r="O105" s="1851">
        <f t="shared" si="18"/>
        <v>0</v>
      </c>
    </row>
    <row r="106" spans="1:15" s="510" customFormat="1" ht="25.5">
      <c r="B106" s="1426"/>
      <c r="C106" s="567" t="s">
        <v>979</v>
      </c>
      <c r="D106" s="511" t="s">
        <v>235</v>
      </c>
      <c r="E106" s="511" t="s">
        <v>776</v>
      </c>
      <c r="F106" s="811"/>
      <c r="G106" s="811"/>
      <c r="H106" s="811"/>
      <c r="I106" s="357"/>
      <c r="J106" s="357"/>
      <c r="K106" s="357"/>
      <c r="L106" s="284">
        <f t="shared" si="10"/>
        <v>0</v>
      </c>
      <c r="M106" s="357"/>
      <c r="N106" s="1413"/>
      <c r="O106" s="1851">
        <f t="shared" si="18"/>
        <v>0</v>
      </c>
    </row>
    <row r="107" spans="1:15" s="510" customFormat="1" ht="15.75" thickBot="1">
      <c r="B107" s="1426"/>
      <c r="C107" s="567"/>
      <c r="D107" s="1405"/>
      <c r="E107" s="1405"/>
      <c r="F107" s="18"/>
      <c r="G107" s="18"/>
      <c r="H107" s="18"/>
      <c r="I107" s="492"/>
      <c r="J107" s="492"/>
      <c r="K107" s="492"/>
      <c r="L107" s="708">
        <f t="shared" si="10"/>
        <v>0</v>
      </c>
      <c r="M107" s="492"/>
      <c r="N107" s="1858"/>
      <c r="O107" s="1851">
        <f t="shared" si="18"/>
        <v>0</v>
      </c>
    </row>
    <row r="108" spans="1:15" ht="39" thickBot="1">
      <c r="A108" s="835">
        <v>143</v>
      </c>
      <c r="B108" s="1429"/>
      <c r="C108" s="410" t="s">
        <v>59</v>
      </c>
      <c r="D108" s="824"/>
      <c r="E108" s="824"/>
      <c r="F108" s="379" t="s">
        <v>210</v>
      </c>
      <c r="G108" s="379">
        <v>7</v>
      </c>
      <c r="H108" s="379"/>
      <c r="I108" s="853">
        <f>+I109</f>
        <v>324103856.95840001</v>
      </c>
      <c r="J108" s="853">
        <f>+J109</f>
        <v>0</v>
      </c>
      <c r="K108" s="853">
        <f>+K109</f>
        <v>0</v>
      </c>
      <c r="L108" s="1404">
        <f>+L109</f>
        <v>324103856.95840001</v>
      </c>
      <c r="M108" s="853">
        <f>+M109</f>
        <v>0</v>
      </c>
      <c r="N108" s="854"/>
      <c r="O108" s="1856">
        <f>+O109</f>
        <v>324103856.95840001</v>
      </c>
    </row>
    <row r="109" spans="1:15" ht="25.5">
      <c r="A109" s="835"/>
      <c r="B109" s="1429" t="s">
        <v>1080</v>
      </c>
      <c r="C109" s="827" t="s">
        <v>455</v>
      </c>
      <c r="D109" s="828"/>
      <c r="E109" s="828"/>
      <c r="F109" s="829" t="s">
        <v>210</v>
      </c>
      <c r="G109" s="829">
        <v>7</v>
      </c>
      <c r="H109" s="829"/>
      <c r="I109" s="846">
        <f>SUM(I110:I116)</f>
        <v>324103856.95840001</v>
      </c>
      <c r="J109" s="846">
        <f>SUM(J110:J116)</f>
        <v>0</v>
      </c>
      <c r="K109" s="846">
        <f>SUM(K110:K116)</f>
        <v>0</v>
      </c>
      <c r="L109" s="1573">
        <f>SUM(L110:L116)</f>
        <v>324103856.95840001</v>
      </c>
      <c r="M109" s="1860">
        <f>SUM(M110:M116)</f>
        <v>0</v>
      </c>
      <c r="N109" s="847"/>
      <c r="O109" s="1850">
        <f>SUM(O110:O116)</f>
        <v>324103856.95840001</v>
      </c>
    </row>
    <row r="110" spans="1:15">
      <c r="B110" s="1435"/>
      <c r="C110" s="567" t="s">
        <v>980</v>
      </c>
      <c r="D110" s="254" t="s">
        <v>235</v>
      </c>
      <c r="E110" s="254" t="s">
        <v>776</v>
      </c>
      <c r="F110" s="811"/>
      <c r="G110" s="811">
        <v>11</v>
      </c>
      <c r="H110" s="811"/>
      <c r="I110" s="357">
        <v>65557184.000000007</v>
      </c>
      <c r="J110" s="357"/>
      <c r="K110" s="357"/>
      <c r="L110" s="284">
        <f>+SUM(I110:K110)</f>
        <v>65557184.000000007</v>
      </c>
      <c r="M110" s="357"/>
      <c r="N110" s="1413"/>
      <c r="O110" s="1851">
        <f t="shared" ref="O110:O116" si="19">+SUM(M110:N110)+L110</f>
        <v>65557184.000000007</v>
      </c>
    </row>
    <row r="111" spans="1:15">
      <c r="B111" s="1435"/>
      <c r="C111" s="567" t="s">
        <v>981</v>
      </c>
      <c r="D111" s="254" t="s">
        <v>235</v>
      </c>
      <c r="E111" s="254" t="s">
        <v>776</v>
      </c>
      <c r="F111" s="811"/>
      <c r="G111" s="811">
        <v>11</v>
      </c>
      <c r="H111" s="811"/>
      <c r="I111" s="357">
        <v>65557184.000000007</v>
      </c>
      <c r="J111" s="357"/>
      <c r="K111" s="357"/>
      <c r="L111" s="284">
        <f t="shared" ref="L111:L116" si="20">+SUM(I111:K111)</f>
        <v>65557184.000000007</v>
      </c>
      <c r="M111" s="357"/>
      <c r="N111" s="1413"/>
      <c r="O111" s="1851">
        <f t="shared" si="19"/>
        <v>65557184.000000007</v>
      </c>
    </row>
    <row r="112" spans="1:15">
      <c r="B112" s="1435"/>
      <c r="C112" s="567" t="s">
        <v>982</v>
      </c>
      <c r="D112" s="254" t="s">
        <v>235</v>
      </c>
      <c r="E112" s="254" t="s">
        <v>776</v>
      </c>
      <c r="F112" s="811"/>
      <c r="G112" s="811">
        <v>11</v>
      </c>
      <c r="H112" s="811"/>
      <c r="I112" s="357">
        <v>50449592.5</v>
      </c>
      <c r="J112" s="357"/>
      <c r="K112" s="357"/>
      <c r="L112" s="284">
        <f t="shared" si="20"/>
        <v>50449592.5</v>
      </c>
      <c r="M112" s="357"/>
      <c r="N112" s="1413"/>
      <c r="O112" s="1851">
        <f t="shared" si="19"/>
        <v>50449592.5</v>
      </c>
    </row>
    <row r="113" spans="1:15">
      <c r="B113" s="1435"/>
      <c r="C113" s="567" t="s">
        <v>983</v>
      </c>
      <c r="D113" s="254" t="s">
        <v>235</v>
      </c>
      <c r="E113" s="254" t="s">
        <v>776</v>
      </c>
      <c r="F113" s="811"/>
      <c r="G113" s="811">
        <v>11</v>
      </c>
      <c r="H113" s="811"/>
      <c r="I113" s="357">
        <v>57163662.5</v>
      </c>
      <c r="J113" s="357"/>
      <c r="K113" s="357"/>
      <c r="L113" s="284">
        <f t="shared" si="20"/>
        <v>57163662.5</v>
      </c>
      <c r="M113" s="357"/>
      <c r="N113" s="1413"/>
      <c r="O113" s="1851">
        <f t="shared" si="19"/>
        <v>57163662.5</v>
      </c>
    </row>
    <row r="114" spans="1:15">
      <c r="B114" s="1435"/>
      <c r="C114" s="567" t="s">
        <v>984</v>
      </c>
      <c r="D114" s="254" t="s">
        <v>235</v>
      </c>
      <c r="E114" s="254" t="s">
        <v>776</v>
      </c>
      <c r="F114" s="811"/>
      <c r="G114" s="811">
        <v>11</v>
      </c>
      <c r="H114" s="811"/>
      <c r="I114" s="357">
        <v>42688116.979200006</v>
      </c>
      <c r="J114" s="357"/>
      <c r="K114" s="357"/>
      <c r="L114" s="284">
        <f t="shared" si="20"/>
        <v>42688116.979200006</v>
      </c>
      <c r="M114" s="357"/>
      <c r="N114" s="1413"/>
      <c r="O114" s="1851">
        <f t="shared" si="19"/>
        <v>42688116.979200006</v>
      </c>
    </row>
    <row r="115" spans="1:15">
      <c r="B115" s="1435"/>
      <c r="C115" s="567" t="s">
        <v>985</v>
      </c>
      <c r="D115" s="254" t="s">
        <v>235</v>
      </c>
      <c r="E115" s="254" t="s">
        <v>776</v>
      </c>
      <c r="F115" s="811"/>
      <c r="G115" s="811">
        <v>11</v>
      </c>
      <c r="H115" s="811"/>
      <c r="I115" s="357">
        <v>42688116.979200006</v>
      </c>
      <c r="J115" s="357"/>
      <c r="K115" s="357"/>
      <c r="L115" s="284">
        <f t="shared" si="20"/>
        <v>42688116.979200006</v>
      </c>
      <c r="M115" s="357"/>
      <c r="N115" s="1413"/>
      <c r="O115" s="1851">
        <f t="shared" si="19"/>
        <v>42688116.979200006</v>
      </c>
    </row>
    <row r="116" spans="1:15" ht="15.75" thickBot="1">
      <c r="B116" s="1435"/>
      <c r="C116" s="567"/>
      <c r="D116" s="254"/>
      <c r="E116" s="254"/>
      <c r="F116" s="811"/>
      <c r="G116" s="811"/>
      <c r="H116" s="811"/>
      <c r="I116" s="357"/>
      <c r="J116" s="357"/>
      <c r="K116" s="357"/>
      <c r="L116" s="284">
        <f t="shared" si="20"/>
        <v>0</v>
      </c>
      <c r="M116" s="357"/>
      <c r="N116" s="1413"/>
      <c r="O116" s="1851">
        <f t="shared" si="19"/>
        <v>0</v>
      </c>
    </row>
    <row r="117" spans="1:15" ht="26.25" thickBot="1">
      <c r="A117" s="835">
        <v>144</v>
      </c>
      <c r="B117" s="1429"/>
      <c r="C117" s="855" t="s">
        <v>3</v>
      </c>
      <c r="D117" s="856"/>
      <c r="E117" s="856"/>
      <c r="F117" s="481" t="s">
        <v>214</v>
      </c>
      <c r="G117" s="481">
        <v>100</v>
      </c>
      <c r="H117" s="481"/>
      <c r="I117" s="857">
        <f>+I118+I122</f>
        <v>0</v>
      </c>
      <c r="J117" s="857">
        <f>+J118+J122</f>
        <v>0</v>
      </c>
      <c r="K117" s="857">
        <f>+K118+K122</f>
        <v>0</v>
      </c>
      <c r="L117" s="858">
        <f>+L118+L122</f>
        <v>0</v>
      </c>
      <c r="M117" s="857">
        <f>+M118+M122</f>
        <v>7761474.2079999996</v>
      </c>
      <c r="N117" s="858"/>
      <c r="O117" s="1857">
        <f>+O118+O122</f>
        <v>7761474.2079999996</v>
      </c>
    </row>
    <row r="118" spans="1:15" ht="25.5">
      <c r="A118" s="835"/>
      <c r="B118" s="1429" t="s">
        <v>1081</v>
      </c>
      <c r="C118" s="827" t="s">
        <v>302</v>
      </c>
      <c r="D118" s="828"/>
      <c r="E118" s="828"/>
      <c r="F118" s="829" t="s">
        <v>209</v>
      </c>
      <c r="G118" s="829">
        <v>1</v>
      </c>
      <c r="H118" s="829"/>
      <c r="I118" s="846">
        <f>SUM(I119:I121)</f>
        <v>0</v>
      </c>
      <c r="J118" s="846">
        <f t="shared" ref="J118:K118" si="21">SUM(J119:J121)</f>
        <v>0</v>
      </c>
      <c r="K118" s="846">
        <f t="shared" si="21"/>
        <v>0</v>
      </c>
      <c r="L118" s="847">
        <f>SUM(L119:L121)</f>
        <v>0</v>
      </c>
      <c r="M118" s="846">
        <f>SUM(M119:M121)</f>
        <v>7761474.2079999996</v>
      </c>
      <c r="N118" s="846">
        <f>SUM(N119:N121)</f>
        <v>0</v>
      </c>
      <c r="O118" s="1852">
        <f>SUM(O119:O121)</f>
        <v>7761474.2079999996</v>
      </c>
    </row>
    <row r="119" spans="1:15" customFormat="1">
      <c r="B119" s="1434"/>
      <c r="C119" s="2002" t="s">
        <v>1274</v>
      </c>
      <c r="D119" s="511" t="s">
        <v>235</v>
      </c>
      <c r="E119" s="810" t="s">
        <v>776</v>
      </c>
      <c r="F119" s="1995"/>
      <c r="G119" s="1995"/>
      <c r="H119" s="1995"/>
      <c r="I119" s="2020">
        <f>8281942.45411897-1004000-(8281942.45411897-1004000)</f>
        <v>0</v>
      </c>
      <c r="J119" s="2003"/>
      <c r="K119" s="2003"/>
      <c r="L119" s="284">
        <f t="shared" ref="L119:L121" si="22">SUM(I119:K119)</f>
        <v>0</v>
      </c>
      <c r="M119" s="2001"/>
      <c r="N119" s="1990"/>
      <c r="O119" s="1991">
        <f t="shared" ref="O119:O120" si="23">+SUM(M119:N119)+L119</f>
        <v>0</v>
      </c>
    </row>
    <row r="120" spans="1:15" customFormat="1">
      <c r="B120" s="1434"/>
      <c r="C120" s="1486" t="s">
        <v>1221</v>
      </c>
      <c r="D120" s="511" t="s">
        <v>235</v>
      </c>
      <c r="E120" s="810" t="s">
        <v>776</v>
      </c>
      <c r="F120" s="1995"/>
      <c r="G120" s="1995"/>
      <c r="H120" s="1995"/>
      <c r="I120" s="1998"/>
      <c r="J120" s="357"/>
      <c r="K120" s="357"/>
      <c r="L120" s="284">
        <f t="shared" si="22"/>
        <v>0</v>
      </c>
      <c r="M120" s="357">
        <f>3865276*1.004*2</f>
        <v>7761474.2079999996</v>
      </c>
      <c r="N120" s="1990"/>
      <c r="O120" s="1991">
        <f t="shared" si="23"/>
        <v>7761474.2079999996</v>
      </c>
    </row>
    <row r="121" spans="1:15" s="510" customFormat="1">
      <c r="B121" s="1426"/>
      <c r="C121" s="565"/>
      <c r="D121" s="811"/>
      <c r="E121" s="811"/>
      <c r="F121" s="811"/>
      <c r="G121" s="811"/>
      <c r="H121" s="811"/>
      <c r="I121" s="357"/>
      <c r="J121" s="357"/>
      <c r="K121" s="357"/>
      <c r="L121" s="1989">
        <f t="shared" si="22"/>
        <v>0</v>
      </c>
      <c r="M121" s="357"/>
      <c r="N121" s="1413"/>
      <c r="O121" s="1851">
        <f>+SUM(M121:N121)+L121</f>
        <v>0</v>
      </c>
    </row>
    <row r="122" spans="1:15" ht="38.25">
      <c r="A122" s="835"/>
      <c r="B122" s="1429" t="s">
        <v>1082</v>
      </c>
      <c r="C122" s="834" t="s">
        <v>303</v>
      </c>
      <c r="D122" s="835"/>
      <c r="E122" s="835"/>
      <c r="F122" s="799" t="s">
        <v>209</v>
      </c>
      <c r="G122" s="799">
        <v>1</v>
      </c>
      <c r="H122" s="799"/>
      <c r="I122" s="851"/>
      <c r="J122" s="851"/>
      <c r="K122" s="851"/>
      <c r="L122" s="852">
        <f>SUM(L123:L123)</f>
        <v>0</v>
      </c>
      <c r="M122" s="851"/>
      <c r="N122" s="852"/>
      <c r="O122" s="1854">
        <f>SUM(O123:O123)</f>
        <v>0</v>
      </c>
    </row>
    <row r="123" spans="1:15" ht="15.75" thickBot="1">
      <c r="B123" s="1435"/>
      <c r="C123" s="565" t="s">
        <v>438</v>
      </c>
      <c r="D123" s="811" t="s">
        <v>235</v>
      </c>
      <c r="E123" s="277"/>
      <c r="F123" s="811"/>
      <c r="G123" s="811"/>
      <c r="H123" s="811"/>
      <c r="I123" s="357"/>
      <c r="J123" s="357"/>
      <c r="K123" s="357"/>
      <c r="L123" s="284">
        <f>SUM(I123:K123)</f>
        <v>0</v>
      </c>
      <c r="M123" s="357"/>
      <c r="N123" s="1413"/>
      <c r="O123" s="1851">
        <f>+SUM(M123:N123)+L123</f>
        <v>0</v>
      </c>
    </row>
    <row r="124" spans="1:15" ht="15.75" thickBot="1">
      <c r="B124" s="1435"/>
      <c r="C124" s="2539" t="s">
        <v>10</v>
      </c>
      <c r="D124" s="2540"/>
      <c r="E124" s="2540"/>
      <c r="F124" s="2540"/>
      <c r="G124" s="2600"/>
      <c r="H124" s="1178"/>
      <c r="I124" s="756">
        <f t="shared" ref="I124:O124" si="24">+I117+I108+I24+I21+I18+I14+I10</f>
        <v>1758170620.2120883</v>
      </c>
      <c r="J124" s="756">
        <f t="shared" si="24"/>
        <v>239477562</v>
      </c>
      <c r="K124" s="756">
        <f t="shared" si="24"/>
        <v>669617463.91599989</v>
      </c>
      <c r="L124" s="757">
        <f t="shared" si="24"/>
        <v>2667265646.1280885</v>
      </c>
      <c r="M124" s="756">
        <f t="shared" si="24"/>
        <v>218973068.08000004</v>
      </c>
      <c r="N124" s="757">
        <f t="shared" si="24"/>
        <v>2023323</v>
      </c>
      <c r="O124" s="1859">
        <f t="shared" si="24"/>
        <v>2888262037.2080889</v>
      </c>
    </row>
    <row r="125" spans="1:15" ht="15.75" thickBot="1">
      <c r="B125" s="1435"/>
      <c r="C125" s="821"/>
      <c r="D125" s="821"/>
      <c r="E125" s="821"/>
      <c r="F125" s="181"/>
      <c r="G125" s="181"/>
      <c r="H125" s="181"/>
      <c r="I125" s="560"/>
      <c r="J125" s="560"/>
      <c r="K125" s="560"/>
      <c r="L125" s="560"/>
      <c r="M125" s="560"/>
      <c r="N125" s="560"/>
      <c r="O125" s="560"/>
    </row>
    <row r="126" spans="1:15" ht="15.75" thickBot="1">
      <c r="B126" s="1435"/>
      <c r="C126" s="821"/>
      <c r="D126" s="821"/>
      <c r="E126" s="821"/>
      <c r="F126" s="181"/>
      <c r="G126" s="181"/>
      <c r="H126" s="181"/>
      <c r="I126" s="553">
        <f>1660665655+97504965</f>
        <v>1758170620</v>
      </c>
      <c r="J126" s="553">
        <v>239477562</v>
      </c>
      <c r="K126" s="553">
        <v>669617464</v>
      </c>
      <c r="L126" s="553">
        <f>2569760681+97504965</f>
        <v>2667265646</v>
      </c>
      <c r="M126" s="553">
        <v>218973068.08000004</v>
      </c>
      <c r="N126" s="553">
        <v>2023323</v>
      </c>
      <c r="O126" s="553">
        <v>2888262037.0799999</v>
      </c>
    </row>
    <row r="127" spans="1:15" s="510" customFormat="1">
      <c r="C127" s="566"/>
      <c r="D127" s="566"/>
      <c r="E127" s="566"/>
      <c r="F127" s="860"/>
      <c r="G127" s="860"/>
      <c r="H127" s="860"/>
      <c r="I127" s="861"/>
      <c r="J127" s="861"/>
      <c r="K127" s="861"/>
      <c r="L127" s="861"/>
      <c r="M127" s="859"/>
      <c r="N127" s="859"/>
    </row>
    <row r="128" spans="1:15">
      <c r="C128" s="821"/>
      <c r="D128" s="821"/>
      <c r="E128" s="821"/>
      <c r="F128" s="181"/>
      <c r="G128" s="181"/>
      <c r="H128" s="181"/>
      <c r="I128" s="1406">
        <f>+I126-I124</f>
        <v>-0.21208834648132324</v>
      </c>
      <c r="J128" s="1406">
        <f>+J126-J124</f>
        <v>0</v>
      </c>
      <c r="K128" s="1406">
        <f>+K126-K124</f>
        <v>8.4000110626220703E-2</v>
      </c>
      <c r="L128" s="1406">
        <f>+L126-L124</f>
        <v>-0.12808847427368164</v>
      </c>
      <c r="M128" s="1406">
        <f t="shared" ref="M128:O128" si="25">+M126-M124</f>
        <v>0</v>
      </c>
      <c r="N128" s="1406">
        <f t="shared" si="25"/>
        <v>0</v>
      </c>
      <c r="O128" s="1406">
        <f t="shared" si="25"/>
        <v>-0.12808895111083984</v>
      </c>
    </row>
    <row r="129" spans="3:14">
      <c r="C129" s="821"/>
      <c r="D129" s="821"/>
      <c r="E129" s="821"/>
      <c r="F129" s="181"/>
      <c r="G129" s="181"/>
      <c r="H129" s="181"/>
      <c r="I129" s="560"/>
      <c r="J129" s="560"/>
      <c r="K129" s="560"/>
      <c r="L129" s="560"/>
      <c r="M129" s="840"/>
      <c r="N129" s="840"/>
    </row>
    <row r="130" spans="3:14">
      <c r="C130" s="821"/>
      <c r="D130" s="821"/>
      <c r="E130" s="821"/>
      <c r="F130" s="181"/>
      <c r="G130" s="181"/>
      <c r="H130" s="181"/>
      <c r="I130" s="560"/>
      <c r="J130" s="560"/>
      <c r="K130" s="560"/>
      <c r="L130" s="560"/>
      <c r="M130" s="840"/>
      <c r="N130" s="840"/>
    </row>
    <row r="131" spans="3:14">
      <c r="C131" s="821"/>
      <c r="D131" s="516"/>
      <c r="E131" s="516"/>
      <c r="F131" s="181"/>
      <c r="G131" s="181"/>
      <c r="H131" s="181"/>
      <c r="I131" s="560"/>
      <c r="J131" s="560"/>
      <c r="K131" s="560"/>
      <c r="L131" s="560"/>
      <c r="M131" s="840"/>
      <c r="N131" s="840"/>
    </row>
    <row r="132" spans="3:14">
      <c r="C132" s="821"/>
      <c r="D132" s="516"/>
      <c r="E132" s="516"/>
      <c r="F132" s="181"/>
      <c r="G132" s="181"/>
      <c r="H132" s="181"/>
      <c r="I132" s="560"/>
      <c r="J132" s="560"/>
      <c r="K132" s="560"/>
      <c r="L132" s="560"/>
      <c r="M132" s="840"/>
      <c r="N132" s="840"/>
    </row>
    <row r="133" spans="3:14">
      <c r="C133" s="821"/>
      <c r="D133" s="516"/>
      <c r="E133" s="516"/>
      <c r="F133" s="181"/>
      <c r="G133" s="181"/>
      <c r="H133" s="181"/>
      <c r="I133" s="560"/>
      <c r="J133" s="560"/>
      <c r="K133" s="560"/>
      <c r="L133" s="560"/>
      <c r="M133" s="840"/>
      <c r="N133" s="840"/>
    </row>
    <row r="134" spans="3:14">
      <c r="C134" s="821"/>
      <c r="D134" s="516"/>
      <c r="E134" s="516"/>
      <c r="F134" s="181"/>
      <c r="G134" s="181"/>
      <c r="H134" s="181"/>
      <c r="I134" s="560"/>
      <c r="J134" s="560"/>
      <c r="K134" s="560"/>
      <c r="L134" s="560"/>
      <c r="M134" s="840"/>
      <c r="N134" s="840"/>
    </row>
    <row r="135" spans="3:14">
      <c r="C135" s="821"/>
      <c r="D135" s="516"/>
      <c r="E135" s="516"/>
      <c r="F135" s="181"/>
      <c r="G135" s="181"/>
      <c r="H135" s="181"/>
      <c r="I135" s="560"/>
      <c r="J135" s="560"/>
      <c r="K135" s="560"/>
      <c r="L135" s="560"/>
      <c r="M135" s="840"/>
      <c r="N135" s="840"/>
    </row>
    <row r="136" spans="3:14">
      <c r="D136" s="516"/>
      <c r="E136" s="517"/>
    </row>
    <row r="137" spans="3:14">
      <c r="D137" s="517"/>
      <c r="E137" s="517"/>
    </row>
    <row r="138" spans="3:14">
      <c r="D138" s="517"/>
      <c r="E138" s="517"/>
      <c r="G138" s="865"/>
      <c r="H138" s="865"/>
    </row>
    <row r="139" spans="3:14">
      <c r="D139" s="517"/>
      <c r="E139" s="517"/>
    </row>
    <row r="140" spans="3:14">
      <c r="D140" s="517"/>
      <c r="E140" s="517"/>
    </row>
    <row r="141" spans="3:14">
      <c r="D141" s="517"/>
      <c r="E141" s="517"/>
    </row>
    <row r="142" spans="3:14">
      <c r="D142" s="517"/>
      <c r="E142" s="517"/>
    </row>
    <row r="143" spans="3:14">
      <c r="D143" s="517"/>
      <c r="E143" s="517"/>
    </row>
  </sheetData>
  <mergeCells count="25">
    <mergeCell ref="O7:O9"/>
    <mergeCell ref="N1:O1"/>
    <mergeCell ref="N2:O2"/>
    <mergeCell ref="N3:O3"/>
    <mergeCell ref="N8:N9"/>
    <mergeCell ref="M7:N7"/>
    <mergeCell ref="D1:M3"/>
    <mergeCell ref="C5:O5"/>
    <mergeCell ref="C6:O6"/>
    <mergeCell ref="A7:A9"/>
    <mergeCell ref="B7:B9"/>
    <mergeCell ref="C1:C3"/>
    <mergeCell ref="M8:M9"/>
    <mergeCell ref="C124:G124"/>
    <mergeCell ref="K8:K9"/>
    <mergeCell ref="L7:L9"/>
    <mergeCell ref="C7:C9"/>
    <mergeCell ref="D7:D9"/>
    <mergeCell ref="F7:F9"/>
    <mergeCell ref="G7:G9"/>
    <mergeCell ref="E7:E9"/>
    <mergeCell ref="I7:K7"/>
    <mergeCell ref="I8:I9"/>
    <mergeCell ref="J8:J9"/>
    <mergeCell ref="H7:H9"/>
  </mergeCells>
  <phoneticPr fontId="41" type="noConversion"/>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7" tint="0.59999389629810485"/>
  </sheetPr>
  <dimension ref="A1:J18"/>
  <sheetViews>
    <sheetView workbookViewId="0"/>
  </sheetViews>
  <sheetFormatPr baseColWidth="10" defaultRowHeight="15"/>
  <cols>
    <col min="2" max="2" width="46.42578125" customWidth="1"/>
    <col min="3" max="4" width="11.42578125" customWidth="1"/>
    <col min="5" max="7" width="13.7109375" customWidth="1"/>
    <col min="9" max="9" width="12.7109375" customWidth="1"/>
    <col min="10" max="10" width="12.5703125" bestFit="1" customWidth="1"/>
  </cols>
  <sheetData>
    <row r="1" spans="1:10" ht="15" customHeight="1">
      <c r="B1" s="2597"/>
      <c r="C1" s="2408" t="s">
        <v>542</v>
      </c>
      <c r="D1" s="2603"/>
      <c r="E1" s="2603"/>
      <c r="F1" s="2603"/>
      <c r="G1" s="2603"/>
      <c r="H1" s="2409"/>
      <c r="I1" s="2495" t="s">
        <v>539</v>
      </c>
      <c r="J1" s="2496"/>
    </row>
    <row r="2" spans="1:10">
      <c r="B2" s="2598"/>
      <c r="C2" s="2410"/>
      <c r="D2" s="2604"/>
      <c r="E2" s="2604"/>
      <c r="F2" s="2604"/>
      <c r="G2" s="2604"/>
      <c r="H2" s="2411"/>
      <c r="I2" s="2497" t="s">
        <v>540</v>
      </c>
      <c r="J2" s="2498"/>
    </row>
    <row r="3" spans="1:10" ht="15.75" thickBot="1">
      <c r="B3" s="2599"/>
      <c r="C3" s="2412"/>
      <c r="D3" s="2605"/>
      <c r="E3" s="2605"/>
      <c r="F3" s="2605"/>
      <c r="G3" s="2605"/>
      <c r="H3" s="2413"/>
      <c r="I3" s="2499" t="s">
        <v>541</v>
      </c>
      <c r="J3" s="2500"/>
    </row>
    <row r="4" spans="1:10" ht="10.5" customHeight="1" thickBot="1">
      <c r="B4" s="1"/>
      <c r="C4" s="1"/>
      <c r="D4" s="1"/>
      <c r="E4" s="1"/>
      <c r="F4" s="1"/>
      <c r="G4" s="1"/>
    </row>
    <row r="5" spans="1:10" ht="15.75" thickBot="1">
      <c r="B5" s="2528" t="s">
        <v>186</v>
      </c>
      <c r="C5" s="2529"/>
      <c r="D5" s="2529"/>
      <c r="E5" s="2529"/>
      <c r="F5" s="2529"/>
      <c r="G5" s="2529"/>
      <c r="H5" s="2529"/>
      <c r="I5" s="2529"/>
      <c r="J5" s="2530"/>
    </row>
    <row r="6" spans="1:10" ht="15.75" thickBot="1">
      <c r="B6" s="2585" t="s">
        <v>187</v>
      </c>
      <c r="C6" s="2586"/>
      <c r="D6" s="2586"/>
      <c r="E6" s="2586"/>
      <c r="F6" s="2586"/>
      <c r="G6" s="2586"/>
      <c r="H6" s="2586"/>
      <c r="I6" s="2586"/>
      <c r="J6" s="2606"/>
    </row>
    <row r="7" spans="1:10" ht="15" customHeight="1" thickBot="1">
      <c r="A7" s="2397" t="s">
        <v>383</v>
      </c>
      <c r="B7" s="2493" t="s">
        <v>197</v>
      </c>
      <c r="C7" s="2440">
        <v>2023</v>
      </c>
      <c r="D7" s="2440"/>
      <c r="E7" s="2440"/>
      <c r="F7" s="2440"/>
      <c r="G7" s="2440"/>
      <c r="H7" s="1574" t="s">
        <v>1234</v>
      </c>
      <c r="I7" s="1607"/>
      <c r="J7" s="2531" t="s">
        <v>453</v>
      </c>
    </row>
    <row r="8" spans="1:10" ht="15" customHeight="1" thickBot="1">
      <c r="A8" s="2397"/>
      <c r="B8" s="2493"/>
      <c r="C8" s="2414" t="s">
        <v>249</v>
      </c>
      <c r="D8" s="2397" t="s">
        <v>200</v>
      </c>
      <c r="E8" s="2493" t="s">
        <v>198</v>
      </c>
      <c r="F8" s="2493"/>
      <c r="G8" s="2397" t="s">
        <v>1248</v>
      </c>
      <c r="H8" s="2397" t="s">
        <v>231</v>
      </c>
      <c r="I8" s="2532" t="s">
        <v>341</v>
      </c>
      <c r="J8" s="2531"/>
    </row>
    <row r="9" spans="1:10" ht="15.75" thickBot="1">
      <c r="A9" s="2397"/>
      <c r="B9" s="2493"/>
      <c r="C9" s="2414"/>
      <c r="D9" s="2397"/>
      <c r="E9" s="640" t="s">
        <v>203</v>
      </c>
      <c r="F9" s="640" t="s">
        <v>232</v>
      </c>
      <c r="G9" s="2397"/>
      <c r="H9" s="2489"/>
      <c r="I9" s="2590"/>
      <c r="J9" s="2532"/>
    </row>
    <row r="10" spans="1:10" ht="39" thickBot="1">
      <c r="A10" s="198">
        <v>3204048</v>
      </c>
      <c r="B10" s="428" t="s">
        <v>54</v>
      </c>
      <c r="C10" s="411" t="s">
        <v>214</v>
      </c>
      <c r="D10" s="411">
        <v>100</v>
      </c>
      <c r="E10" s="412">
        <f>+'ACCIONES 320401'!J10</f>
        <v>177731358.13082552</v>
      </c>
      <c r="F10" s="412">
        <f>+'ACCIONES 320401'!K10</f>
        <v>25323147.199999999</v>
      </c>
      <c r="G10" s="413">
        <f>+'ACCIONES 320401'!L10</f>
        <v>203054505.33082554</v>
      </c>
      <c r="H10" s="412">
        <f>+H11</f>
        <v>84333312.667710125</v>
      </c>
      <c r="I10" s="413">
        <f>+H10</f>
        <v>84333312.667710125</v>
      </c>
      <c r="J10" s="413">
        <f>+I10+G10</f>
        <v>287387817.99853563</v>
      </c>
    </row>
    <row r="11" spans="1:10" ht="26.25" thickBot="1">
      <c r="B11" s="427" t="s">
        <v>304</v>
      </c>
      <c r="C11" s="407" t="s">
        <v>1152</v>
      </c>
      <c r="D11" s="407">
        <v>1</v>
      </c>
      <c r="E11" s="429">
        <f>+'ACCIONES 320401'!J11</f>
        <v>177731358.13082552</v>
      </c>
      <c r="F11" s="429">
        <f>+'ACCIONES 320401'!K11</f>
        <v>25323147.199999999</v>
      </c>
      <c r="G11" s="409">
        <f>+'ACCIONES 320401'!L11</f>
        <v>203054505.33082554</v>
      </c>
      <c r="H11" s="429">
        <f>+'ACCIONES 320401'!M11</f>
        <v>84333312.667710125</v>
      </c>
      <c r="I11" s="409">
        <f>+H11</f>
        <v>84333312.667710125</v>
      </c>
      <c r="J11" s="409">
        <f t="shared" ref="J11:J13" si="0">+I11+G11</f>
        <v>287387817.99853563</v>
      </c>
    </row>
    <row r="12" spans="1:10" ht="26.25" thickBot="1">
      <c r="A12" s="199">
        <v>3204055</v>
      </c>
      <c r="B12" s="414" t="s">
        <v>55</v>
      </c>
      <c r="C12" s="404" t="s">
        <v>214</v>
      </c>
      <c r="D12" s="465">
        <v>0.9</v>
      </c>
      <c r="E12" s="466">
        <f>+'ACCIONES 320401'!J35</f>
        <v>67912898.488000005</v>
      </c>
      <c r="F12" s="466">
        <f>+'ACCIONES 320401'!K35</f>
        <v>0</v>
      </c>
      <c r="G12" s="406">
        <f>+'ACCIONES 320401'!L35</f>
        <v>67912898.488000005</v>
      </c>
      <c r="H12" s="466">
        <f>+H13</f>
        <v>0</v>
      </c>
      <c r="I12" s="406">
        <f>+I13</f>
        <v>0</v>
      </c>
      <c r="J12" s="406">
        <f t="shared" si="0"/>
        <v>67912898.488000005</v>
      </c>
    </row>
    <row r="13" spans="1:10" ht="26.25" thickBot="1">
      <c r="B13" s="463" t="s">
        <v>305</v>
      </c>
      <c r="C13" s="358" t="s">
        <v>1152</v>
      </c>
      <c r="D13" s="1498">
        <v>1</v>
      </c>
      <c r="E13" s="464">
        <f>+'ACCIONES 320401'!J36</f>
        <v>67912898.488000005</v>
      </c>
      <c r="F13" s="464">
        <f>+'ACCIONES 320401'!K36</f>
        <v>0</v>
      </c>
      <c r="G13" s="129">
        <f>+'ACCIONES 320401'!L36</f>
        <v>67912898.488000005</v>
      </c>
      <c r="H13" s="464">
        <f>+'ACCIONES 320401'!M36</f>
        <v>0</v>
      </c>
      <c r="I13" s="129">
        <f>+H13</f>
        <v>0</v>
      </c>
      <c r="J13" s="129">
        <f t="shared" si="0"/>
        <v>67912898.488000005</v>
      </c>
    </row>
    <row r="14" spans="1:10" ht="16.5" thickBot="1">
      <c r="B14" s="2601" t="s">
        <v>270</v>
      </c>
      <c r="C14" s="2602"/>
      <c r="D14" s="2602"/>
      <c r="E14" s="758">
        <f t="shared" ref="E14:J14" si="1">+E12+E10</f>
        <v>245644256.61882553</v>
      </c>
      <c r="F14" s="758">
        <f t="shared" si="1"/>
        <v>25323147.199999999</v>
      </c>
      <c r="G14" s="759">
        <f t="shared" si="1"/>
        <v>270967403.81882554</v>
      </c>
      <c r="H14" s="758">
        <f t="shared" si="1"/>
        <v>84333312.667710125</v>
      </c>
      <c r="I14" s="759">
        <f t="shared" si="1"/>
        <v>84333312.667710125</v>
      </c>
      <c r="J14" s="759">
        <f t="shared" si="1"/>
        <v>355300716.48653567</v>
      </c>
    </row>
    <row r="15" spans="1:10" ht="15.75" thickBot="1"/>
    <row r="16" spans="1:10" ht="15.75" thickBot="1">
      <c r="E16" s="557">
        <v>245644257</v>
      </c>
      <c r="F16" s="557">
        <v>25323147</v>
      </c>
      <c r="G16" s="557">
        <v>270967404</v>
      </c>
      <c r="H16" s="557">
        <v>84333311.800000012</v>
      </c>
      <c r="I16" s="557">
        <v>84333311.800000012</v>
      </c>
      <c r="J16" s="557">
        <v>355300715.80000001</v>
      </c>
    </row>
    <row r="18" spans="5:10">
      <c r="E18" s="29">
        <f>+E16-E14</f>
        <v>0.3811744749546051</v>
      </c>
      <c r="F18" s="29">
        <f>+F16-F14</f>
        <v>-0.19999999925494194</v>
      </c>
      <c r="G18" s="29">
        <f>+G16-G14</f>
        <v>0.18117445707321167</v>
      </c>
      <c r="H18" s="29">
        <f t="shared" ref="H18:J18" si="2">+H16-H14</f>
        <v>-0.86771011352539063</v>
      </c>
      <c r="I18" s="29">
        <f t="shared" si="2"/>
        <v>-0.86771011352539063</v>
      </c>
      <c r="J18" s="29">
        <f t="shared" si="2"/>
        <v>-0.68653565645217896</v>
      </c>
    </row>
  </sheetData>
  <mergeCells count="18">
    <mergeCell ref="H8:H9"/>
    <mergeCell ref="J7:J9"/>
    <mergeCell ref="I8:I9"/>
    <mergeCell ref="C1:H3"/>
    <mergeCell ref="B5:J5"/>
    <mergeCell ref="B6:J6"/>
    <mergeCell ref="B1:B3"/>
    <mergeCell ref="I1:J1"/>
    <mergeCell ref="I2:J2"/>
    <mergeCell ref="I3:J3"/>
    <mergeCell ref="A7:A9"/>
    <mergeCell ref="B14:D14"/>
    <mergeCell ref="B7:B9"/>
    <mergeCell ref="C7:G7"/>
    <mergeCell ref="E8:F8"/>
    <mergeCell ref="G8:G9"/>
    <mergeCell ref="C8:C9"/>
    <mergeCell ref="D8:D9"/>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7" tint="0.59999389629810485"/>
  </sheetPr>
  <dimension ref="A1:P50"/>
  <sheetViews>
    <sheetView topLeftCell="A17" zoomScale="87" zoomScaleNormal="87" workbookViewId="0">
      <selection activeCell="C22" sqref="C22:M32"/>
    </sheetView>
  </sheetViews>
  <sheetFormatPr baseColWidth="10" defaultRowHeight="15"/>
  <cols>
    <col min="1" max="2" width="4.5703125" style="275" customWidth="1"/>
    <col min="3" max="3" width="44.7109375" style="275" customWidth="1"/>
    <col min="4" max="4" width="15" style="275" customWidth="1"/>
    <col min="5" max="6" width="11.42578125" style="275" customWidth="1"/>
    <col min="7" max="7" width="7.7109375" style="333" customWidth="1"/>
    <col min="8" max="8" width="11.42578125" style="333" customWidth="1"/>
    <col min="9" max="9" width="5.7109375" style="362" customWidth="1"/>
    <col min="10" max="10" width="13.7109375" style="333" customWidth="1"/>
    <col min="11" max="11" width="13.85546875" style="333" customWidth="1"/>
    <col min="12" max="12" width="19.140625" style="275" customWidth="1"/>
    <col min="13" max="13" width="15.140625" style="275" customWidth="1"/>
    <col min="14" max="15" width="13.7109375" style="275" customWidth="1"/>
    <col min="16" max="16" width="15.5703125" style="275" bestFit="1" customWidth="1"/>
    <col min="17" max="16384" width="11.42578125" style="275"/>
  </cols>
  <sheetData>
    <row r="1" spans="1:15">
      <c r="C1" s="2597"/>
      <c r="D1" s="2430" t="s">
        <v>542</v>
      </c>
      <c r="E1" s="2431"/>
      <c r="F1" s="2431"/>
      <c r="G1" s="2431"/>
      <c r="H1" s="2431"/>
      <c r="I1" s="2431"/>
      <c r="J1" s="2431"/>
      <c r="K1" s="2431"/>
      <c r="L1" s="2432"/>
      <c r="M1" s="2495" t="s">
        <v>539</v>
      </c>
      <c r="N1" s="2496"/>
    </row>
    <row r="2" spans="1:15">
      <c r="C2" s="2598"/>
      <c r="D2" s="2433"/>
      <c r="E2" s="2434"/>
      <c r="F2" s="2434"/>
      <c r="G2" s="2434"/>
      <c r="H2" s="2434"/>
      <c r="I2" s="2434"/>
      <c r="J2" s="2434"/>
      <c r="K2" s="2434"/>
      <c r="L2" s="2435"/>
      <c r="M2" s="2497" t="s">
        <v>540</v>
      </c>
      <c r="N2" s="2498"/>
    </row>
    <row r="3" spans="1:15" ht="15.75" thickBot="1">
      <c r="C3" s="2599"/>
      <c r="D3" s="2436"/>
      <c r="E3" s="2437"/>
      <c r="F3" s="2437"/>
      <c r="G3" s="2437"/>
      <c r="H3" s="2437"/>
      <c r="I3" s="2437"/>
      <c r="J3" s="2437"/>
      <c r="K3" s="2437"/>
      <c r="L3" s="2438"/>
      <c r="M3" s="2499" t="s">
        <v>541</v>
      </c>
      <c r="N3" s="2500"/>
    </row>
    <row r="4" spans="1:15" s="1" customFormat="1" ht="9" customHeight="1" thickBot="1"/>
    <row r="5" spans="1:15" s="1" customFormat="1" ht="15.75" customHeight="1" thickBot="1">
      <c r="C5" s="2528" t="s">
        <v>186</v>
      </c>
      <c r="D5" s="2529"/>
      <c r="E5" s="2529"/>
      <c r="F5" s="2529"/>
      <c r="G5" s="2529"/>
      <c r="H5" s="2529"/>
      <c r="I5" s="2529"/>
      <c r="J5" s="2529"/>
      <c r="K5" s="2529"/>
      <c r="L5" s="2529"/>
      <c r="M5" s="2529"/>
      <c r="N5" s="2530"/>
    </row>
    <row r="6" spans="1:15" ht="15.75" thickBot="1">
      <c r="C6" s="2402" t="s">
        <v>187</v>
      </c>
      <c r="D6" s="2403"/>
      <c r="E6" s="2403"/>
      <c r="F6" s="2403"/>
      <c r="G6" s="2403"/>
      <c r="H6" s="2403"/>
      <c r="I6" s="2403"/>
      <c r="J6" s="2403"/>
      <c r="K6" s="2403"/>
      <c r="L6" s="2403"/>
      <c r="M6" s="2403"/>
      <c r="N6" s="2404"/>
    </row>
    <row r="7" spans="1:15" ht="26.25" customHeight="1" thickBot="1">
      <c r="A7" s="2466" t="s">
        <v>543</v>
      </c>
      <c r="B7" s="2474" t="s">
        <v>544</v>
      </c>
      <c r="C7" s="2397" t="s">
        <v>435</v>
      </c>
      <c r="D7" s="2397" t="s">
        <v>436</v>
      </c>
      <c r="E7" s="2414" t="s">
        <v>230</v>
      </c>
      <c r="F7" s="2414" t="s">
        <v>498</v>
      </c>
      <c r="G7" s="2397" t="s">
        <v>437</v>
      </c>
      <c r="H7" s="2397" t="s">
        <v>200</v>
      </c>
      <c r="I7" s="2489" t="s">
        <v>662</v>
      </c>
      <c r="J7" s="2397" t="s">
        <v>198</v>
      </c>
      <c r="K7" s="2397"/>
      <c r="L7" s="2531" t="s">
        <v>341</v>
      </c>
      <c r="M7" s="1574" t="s">
        <v>1234</v>
      </c>
      <c r="N7" s="2531" t="s">
        <v>341</v>
      </c>
    </row>
    <row r="8" spans="1:15" ht="15" customHeight="1" thickBot="1">
      <c r="A8" s="2466"/>
      <c r="B8" s="2474"/>
      <c r="C8" s="2397"/>
      <c r="D8" s="2397"/>
      <c r="E8" s="2414"/>
      <c r="F8" s="2414"/>
      <c r="G8" s="2397"/>
      <c r="H8" s="2397"/>
      <c r="I8" s="2423"/>
      <c r="J8" s="2397" t="s">
        <v>231</v>
      </c>
      <c r="K8" s="2397" t="s">
        <v>232</v>
      </c>
      <c r="L8" s="2531"/>
      <c r="M8" s="2397" t="s">
        <v>231</v>
      </c>
      <c r="N8" s="2531"/>
    </row>
    <row r="9" spans="1:15" ht="15.75" thickBot="1">
      <c r="A9" s="2466"/>
      <c r="B9" s="2474"/>
      <c r="C9" s="2489"/>
      <c r="D9" s="2489"/>
      <c r="E9" s="2522"/>
      <c r="F9" s="2522"/>
      <c r="G9" s="2489"/>
      <c r="H9" s="2489"/>
      <c r="I9" s="2401"/>
      <c r="J9" s="2489"/>
      <c r="K9" s="2489"/>
      <c r="L9" s="2532"/>
      <c r="M9" s="2489"/>
      <c r="N9" s="2532"/>
    </row>
    <row r="10" spans="1:15" ht="48.75" customHeight="1" thickBot="1">
      <c r="A10" s="623">
        <v>145</v>
      </c>
      <c r="B10" s="1436"/>
      <c r="C10" s="428" t="s">
        <v>54</v>
      </c>
      <c r="D10" s="683"/>
      <c r="E10" s="683"/>
      <c r="F10" s="683"/>
      <c r="G10" s="714" t="s">
        <v>214</v>
      </c>
      <c r="H10" s="714">
        <v>100</v>
      </c>
      <c r="I10" s="714"/>
      <c r="J10" s="715">
        <f>+J11</f>
        <v>177731358.13082552</v>
      </c>
      <c r="K10" s="715">
        <f>+K11</f>
        <v>25323147.199999999</v>
      </c>
      <c r="L10" s="716">
        <f>+L11</f>
        <v>203054505.33082554</v>
      </c>
      <c r="M10" s="1867">
        <f>+M11</f>
        <v>84333312.667710125</v>
      </c>
      <c r="N10" s="1868">
        <f>+M10+L10</f>
        <v>287387817.99853563</v>
      </c>
    </row>
    <row r="11" spans="1:15" ht="38.25" customHeight="1">
      <c r="A11" s="623"/>
      <c r="B11" s="1436" t="s">
        <v>1083</v>
      </c>
      <c r="C11" s="627" t="s">
        <v>304</v>
      </c>
      <c r="D11" s="623"/>
      <c r="E11" s="623"/>
      <c r="F11" s="623"/>
      <c r="G11" s="623" t="s">
        <v>1151</v>
      </c>
      <c r="H11" s="623">
        <v>1</v>
      </c>
      <c r="I11" s="623"/>
      <c r="J11" s="712">
        <f>SUM(J12:J34)</f>
        <v>177731358.13082552</v>
      </c>
      <c r="K11" s="712">
        <f>SUM(K12:K34)</f>
        <v>25323147.199999999</v>
      </c>
      <c r="L11" s="713">
        <f>SUM(L12:L34)</f>
        <v>203054505.33082554</v>
      </c>
      <c r="M11" s="1862">
        <f>SUM(M12:M34)</f>
        <v>84333312.667710125</v>
      </c>
      <c r="N11" s="713">
        <f>SUM(N12:N34)</f>
        <v>287387817.99853563</v>
      </c>
    </row>
    <row r="12" spans="1:15" s="569" customFormat="1">
      <c r="B12" s="1437"/>
      <c r="C12" s="565" t="s">
        <v>1236</v>
      </c>
      <c r="D12" s="2070" t="s">
        <v>235</v>
      </c>
      <c r="E12" s="2069" t="s">
        <v>499</v>
      </c>
      <c r="F12" s="2069" t="s">
        <v>776</v>
      </c>
      <c r="G12" s="2070"/>
      <c r="H12" s="2070"/>
      <c r="I12" s="282"/>
      <c r="J12" s="273">
        <v>2811670.876000002</v>
      </c>
      <c r="K12" s="282"/>
      <c r="L12" s="299">
        <f>+SUM(J12:K12)</f>
        <v>2811670.876000002</v>
      </c>
      <c r="M12" s="1863">
        <f>16866662.4-2108333.076</f>
        <v>14758329.323999999</v>
      </c>
      <c r="N12" s="1861">
        <f>+M12+L12</f>
        <v>17570000.200000003</v>
      </c>
      <c r="O12" s="1992"/>
    </row>
    <row r="13" spans="1:15" s="569" customFormat="1">
      <c r="B13" s="1437"/>
      <c r="C13" s="565" t="s">
        <v>1237</v>
      </c>
      <c r="D13" s="2195" t="s">
        <v>235</v>
      </c>
      <c r="E13" s="2196" t="s">
        <v>499</v>
      </c>
      <c r="F13" s="2196" t="s">
        <v>776</v>
      </c>
      <c r="G13" s="2195"/>
      <c r="H13" s="2195"/>
      <c r="I13" s="282"/>
      <c r="J13" s="273">
        <v>301670.87600000203</v>
      </c>
      <c r="K13" s="282"/>
      <c r="L13" s="299">
        <f t="shared" ref="L13:L34" si="0">+SUM(J13:K13)</f>
        <v>301670.87600000203</v>
      </c>
      <c r="M13" s="1863">
        <f>16866663-2108333.4-1-863852.386510139-3066649.18399997</f>
        <v>10827827.02948989</v>
      </c>
      <c r="N13" s="1861">
        <f t="shared" ref="N13:N34" si="1">+M13+L13</f>
        <v>11129497.905489892</v>
      </c>
      <c r="O13" s="1992"/>
    </row>
    <row r="14" spans="1:15" s="569" customFormat="1" ht="33.75" customHeight="1">
      <c r="B14" s="1437"/>
      <c r="C14" s="565" t="s">
        <v>1346</v>
      </c>
      <c r="D14" s="2195" t="s">
        <v>235</v>
      </c>
      <c r="E14" s="2196" t="s">
        <v>499</v>
      </c>
      <c r="F14" s="2196" t="s">
        <v>776</v>
      </c>
      <c r="G14" s="2195"/>
      <c r="H14" s="2195"/>
      <c r="I14" s="282"/>
      <c r="J14" s="273">
        <f>554675.661489844-554675.661489844</f>
        <v>0</v>
      </c>
      <c r="K14" s="282"/>
      <c r="L14" s="299">
        <f t="shared" si="0"/>
        <v>0</v>
      </c>
      <c r="M14" s="1863">
        <f>4216665.4+249395.671999999</f>
        <v>4466061.0719999997</v>
      </c>
      <c r="N14" s="1861">
        <f t="shared" si="1"/>
        <v>4466061.0719999997</v>
      </c>
      <c r="O14" s="1992"/>
    </row>
    <row r="15" spans="1:15" s="569" customFormat="1">
      <c r="B15" s="1437"/>
      <c r="C15" s="565" t="s">
        <v>986</v>
      </c>
      <c r="D15" s="2195" t="s">
        <v>235</v>
      </c>
      <c r="E15" s="2196" t="s">
        <v>499</v>
      </c>
      <c r="F15" s="2196" t="s">
        <v>776</v>
      </c>
      <c r="G15" s="2195"/>
      <c r="H15" s="2195">
        <v>11</v>
      </c>
      <c r="I15" s="282"/>
      <c r="J15" s="273">
        <f>20955984.896-7549637.89600001-3366347</f>
        <v>10039999.999999993</v>
      </c>
      <c r="K15" s="273"/>
      <c r="L15" s="299">
        <f t="shared" si="0"/>
        <v>10039999.999999993</v>
      </c>
      <c r="M15" s="1863"/>
      <c r="N15" s="1861">
        <f t="shared" si="1"/>
        <v>10039999.999999993</v>
      </c>
    </row>
    <row r="16" spans="1:15" s="569" customFormat="1">
      <c r="B16" s="1437"/>
      <c r="C16" s="565" t="s">
        <v>987</v>
      </c>
      <c r="D16" s="2195" t="s">
        <v>235</v>
      </c>
      <c r="E16" s="2196" t="s">
        <v>499</v>
      </c>
      <c r="F16" s="2196" t="s">
        <v>776</v>
      </c>
      <c r="G16" s="2195"/>
      <c r="H16" s="2195">
        <v>11</v>
      </c>
      <c r="I16" s="282"/>
      <c r="J16" s="273">
        <f>20955984.6-12590290.6</f>
        <v>8365694.0000000019</v>
      </c>
      <c r="K16" s="282"/>
      <c r="L16" s="299">
        <f t="shared" si="0"/>
        <v>8365694.0000000019</v>
      </c>
      <c r="M16" s="1863">
        <f>16866662.4-16866662.4</f>
        <v>0</v>
      </c>
      <c r="N16" s="1861">
        <f t="shared" si="1"/>
        <v>8365694.0000000019</v>
      </c>
      <c r="O16" s="1992"/>
    </row>
    <row r="17" spans="2:15" s="569" customFormat="1">
      <c r="B17" s="1437"/>
      <c r="C17" s="565" t="s">
        <v>1347</v>
      </c>
      <c r="D17" s="2195" t="s">
        <v>235</v>
      </c>
      <c r="E17" s="2196" t="s">
        <v>499</v>
      </c>
      <c r="F17" s="2196" t="s">
        <v>776</v>
      </c>
      <c r="G17" s="2195"/>
      <c r="H17" s="2195">
        <v>3</v>
      </c>
      <c r="I17" s="282"/>
      <c r="J17" s="273">
        <f>6434202.47999996</f>
        <v>6434202.4799999604</v>
      </c>
      <c r="K17" s="282"/>
      <c r="L17" s="299">
        <f t="shared" si="0"/>
        <v>6434202.4799999604</v>
      </c>
      <c r="M17" s="1863"/>
      <c r="N17" s="1861">
        <f t="shared" si="1"/>
        <v>6434202.4799999604</v>
      </c>
    </row>
    <row r="18" spans="2:15" s="569" customFormat="1">
      <c r="B18" s="1437"/>
      <c r="C18" s="565" t="s">
        <v>1348</v>
      </c>
      <c r="D18" s="2195" t="s">
        <v>235</v>
      </c>
      <c r="E18" s="2196" t="s">
        <v>499</v>
      </c>
      <c r="F18" s="2196" t="s">
        <v>776</v>
      </c>
      <c r="G18" s="2195"/>
      <c r="H18" s="2195">
        <v>3</v>
      </c>
      <c r="I18" s="282"/>
      <c r="J18" s="576">
        <f>3000000*1.004*4-646547-4774522-201331</f>
        <v>6425600</v>
      </c>
      <c r="K18" s="273"/>
      <c r="L18" s="299">
        <f t="shared" si="0"/>
        <v>6425600</v>
      </c>
      <c r="M18" s="1863">
        <f>3914525.68800001-3914525.68800001</f>
        <v>0</v>
      </c>
      <c r="N18" s="1993">
        <f t="shared" si="1"/>
        <v>6425600</v>
      </c>
      <c r="O18" s="1992"/>
    </row>
    <row r="19" spans="2:15" s="569" customFormat="1">
      <c r="B19" s="1437"/>
      <c r="C19" s="565" t="s">
        <v>1196</v>
      </c>
      <c r="D19" s="2195" t="s">
        <v>235</v>
      </c>
      <c r="E19" s="2196" t="s">
        <v>499</v>
      </c>
      <c r="F19" s="2196" t="s">
        <v>776</v>
      </c>
      <c r="G19" s="2195"/>
      <c r="H19" s="2195"/>
      <c r="I19" s="282"/>
      <c r="J19" s="273">
        <f>5258489.5322899-4555152-703338</f>
        <v>-0.46771010011434555</v>
      </c>
      <c r="K19" s="282"/>
      <c r="L19" s="299">
        <f t="shared" si="0"/>
        <v>-0.46771010011434555</v>
      </c>
      <c r="M19" s="1863">
        <f>16866662.4-2107862-702799.932289898</f>
        <v>14056000.4677101</v>
      </c>
      <c r="N19" s="1861">
        <f t="shared" si="1"/>
        <v>14056000</v>
      </c>
      <c r="O19" s="1992"/>
    </row>
    <row r="20" spans="2:15" s="569" customFormat="1">
      <c r="B20" s="1437"/>
      <c r="C20" s="565" t="s">
        <v>1275</v>
      </c>
      <c r="D20" s="2195" t="s">
        <v>235</v>
      </c>
      <c r="E20" s="2196" t="s">
        <v>499</v>
      </c>
      <c r="F20" s="2196" t="s">
        <v>776</v>
      </c>
      <c r="G20" s="2195"/>
      <c r="H20" s="2195"/>
      <c r="I20" s="282"/>
      <c r="J20" s="273">
        <v>924169</v>
      </c>
      <c r="K20" s="282"/>
      <c r="L20" s="299">
        <f t="shared" ref="L20" si="2">+SUM(J20:K20)</f>
        <v>924169</v>
      </c>
      <c r="M20" s="1863">
        <f>16866662.4-1806662+2028029.23346435</f>
        <v>17088029.633464348</v>
      </c>
      <c r="N20" s="1993">
        <f t="shared" si="1"/>
        <v>18012198.633464348</v>
      </c>
      <c r="O20" s="1992"/>
    </row>
    <row r="21" spans="2:15">
      <c r="B21" s="1440"/>
      <c r="C21" s="565" t="s">
        <v>1417</v>
      </c>
      <c r="D21" s="2195"/>
      <c r="E21" s="2196"/>
      <c r="F21" s="2196"/>
      <c r="G21" s="2195"/>
      <c r="H21" s="2195"/>
      <c r="I21" s="282"/>
      <c r="J21" s="274">
        <v>1255000</v>
      </c>
      <c r="K21" s="282"/>
      <c r="L21" s="299">
        <f t="shared" ref="L21" si="3">+SUM(J21:K21)</f>
        <v>1255000</v>
      </c>
      <c r="M21" s="1866">
        <f>1255000-1255000</f>
        <v>0</v>
      </c>
      <c r="N21" s="1993">
        <f t="shared" si="1"/>
        <v>1255000</v>
      </c>
      <c r="O21" s="278"/>
    </row>
    <row r="22" spans="2:15" s="569" customFormat="1">
      <c r="B22" s="1437"/>
      <c r="C22" s="565" t="s">
        <v>988</v>
      </c>
      <c r="D22" s="2243" t="s">
        <v>235</v>
      </c>
      <c r="E22" s="2244" t="s">
        <v>499</v>
      </c>
      <c r="F22" s="2244" t="s">
        <v>776</v>
      </c>
      <c r="G22" s="2243"/>
      <c r="H22" s="2243">
        <v>11</v>
      </c>
      <c r="I22" s="282"/>
      <c r="J22" s="273">
        <f>38807379.072-15522948-7.07199999690055</f>
        <v>23284424</v>
      </c>
      <c r="K22" s="273"/>
      <c r="L22" s="299">
        <f t="shared" si="0"/>
        <v>23284424</v>
      </c>
      <c r="M22" s="1863"/>
      <c r="N22" s="1861">
        <f t="shared" si="1"/>
        <v>23284424</v>
      </c>
    </row>
    <row r="23" spans="2:15" s="569" customFormat="1">
      <c r="B23" s="1437"/>
      <c r="C23" s="565" t="s">
        <v>989</v>
      </c>
      <c r="D23" s="2243" t="s">
        <v>235</v>
      </c>
      <c r="E23" s="2244" t="s">
        <v>499</v>
      </c>
      <c r="F23" s="2244" t="s">
        <v>776</v>
      </c>
      <c r="G23" s="2243"/>
      <c r="H23" s="2243">
        <v>11</v>
      </c>
      <c r="I23" s="282"/>
      <c r="J23" s="273">
        <f>9762141.84146432-1083140-924152.84146432</f>
        <v>7754849</v>
      </c>
      <c r="K23" s="282"/>
      <c r="L23" s="299">
        <f t="shared" si="0"/>
        <v>7754849</v>
      </c>
      <c r="M23" s="1863"/>
      <c r="N23" s="1861">
        <f t="shared" si="1"/>
        <v>7754849</v>
      </c>
      <c r="O23" s="1992"/>
    </row>
    <row r="24" spans="2:15" s="569" customFormat="1" ht="25.5">
      <c r="B24" s="1437"/>
      <c r="C24" s="565" t="s">
        <v>990</v>
      </c>
      <c r="D24" s="2243"/>
      <c r="E24" s="2244"/>
      <c r="F24" s="2244" t="s">
        <v>776</v>
      </c>
      <c r="G24" s="2243"/>
      <c r="H24" s="2243"/>
      <c r="I24" s="282"/>
      <c r="J24" s="273"/>
      <c r="K24" s="282"/>
      <c r="L24" s="299">
        <f t="shared" si="0"/>
        <v>0</v>
      </c>
      <c r="M24" s="1863"/>
      <c r="N24" s="1861">
        <f t="shared" si="1"/>
        <v>0</v>
      </c>
    </row>
    <row r="25" spans="2:15">
      <c r="B25" s="1440"/>
      <c r="C25" s="567" t="s">
        <v>854</v>
      </c>
      <c r="D25" s="2245" t="s">
        <v>568</v>
      </c>
      <c r="E25" s="2245" t="s">
        <v>849</v>
      </c>
      <c r="F25" s="2245">
        <v>68030</v>
      </c>
      <c r="G25" s="2243"/>
      <c r="H25" s="2243"/>
      <c r="I25" s="357"/>
      <c r="J25" s="1539"/>
      <c r="K25" s="2241"/>
      <c r="L25" s="2242">
        <f t="shared" si="0"/>
        <v>0</v>
      </c>
      <c r="M25" s="1866">
        <v>4321649.1425356269</v>
      </c>
      <c r="N25" s="1993">
        <f t="shared" si="1"/>
        <v>4321649.1425356269</v>
      </c>
      <c r="O25" s="278"/>
    </row>
    <row r="26" spans="2:15">
      <c r="B26" s="1440"/>
      <c r="C26" s="567" t="s">
        <v>1414</v>
      </c>
      <c r="D26" s="2243" t="s">
        <v>235</v>
      </c>
      <c r="E26" s="2244" t="s">
        <v>499</v>
      </c>
      <c r="F26" s="2245" t="s">
        <v>835</v>
      </c>
      <c r="G26" s="2243"/>
      <c r="H26" s="2243">
        <v>2</v>
      </c>
      <c r="I26" s="282"/>
      <c r="J26" s="274">
        <f>2500000*1.004*2</f>
        <v>5020000</v>
      </c>
      <c r="K26" s="282"/>
      <c r="L26" s="299">
        <f t="shared" ref="L26:L27" si="4">+SUM(J26:K26)</f>
        <v>5020000</v>
      </c>
      <c r="M26" s="1866">
        <v>2510000</v>
      </c>
      <c r="N26" s="1993">
        <f t="shared" si="1"/>
        <v>7530000</v>
      </c>
      <c r="O26" s="278"/>
    </row>
    <row r="27" spans="2:15">
      <c r="B27" s="1440"/>
      <c r="C27" s="567" t="s">
        <v>1413</v>
      </c>
      <c r="D27" s="2243" t="s">
        <v>235</v>
      </c>
      <c r="E27" s="2244" t="s">
        <v>499</v>
      </c>
      <c r="F27" s="2245" t="s">
        <v>835</v>
      </c>
      <c r="G27" s="2243"/>
      <c r="H27" s="2243">
        <v>2</v>
      </c>
      <c r="I27" s="282"/>
      <c r="J27" s="274">
        <f>4006621.40148985+2510000</f>
        <v>6516621.4014898501</v>
      </c>
      <c r="K27" s="2202"/>
      <c r="L27" s="299">
        <f t="shared" si="4"/>
        <v>6516621.4014898501</v>
      </c>
      <c r="M27" s="1866">
        <v>1013378.5985101461</v>
      </c>
      <c r="N27" s="1993">
        <f t="shared" si="1"/>
        <v>7529999.9999999963</v>
      </c>
      <c r="O27" s="2190"/>
    </row>
    <row r="28" spans="2:15" s="569" customFormat="1">
      <c r="B28" s="1437"/>
      <c r="C28" s="565" t="s">
        <v>991</v>
      </c>
      <c r="D28" s="2243" t="s">
        <v>235</v>
      </c>
      <c r="E28" s="2244" t="s">
        <v>499</v>
      </c>
      <c r="F28" s="2244" t="s">
        <v>776</v>
      </c>
      <c r="G28" s="2243"/>
      <c r="H28" s="2243">
        <v>10</v>
      </c>
      <c r="I28" s="282"/>
      <c r="J28" s="273">
        <f>38807379.072-15522948-9</f>
        <v>23284422.071999997</v>
      </c>
      <c r="K28" s="282"/>
      <c r="L28" s="299">
        <f t="shared" si="0"/>
        <v>23284422.071999997</v>
      </c>
      <c r="M28" s="1863"/>
      <c r="N28" s="1861">
        <f t="shared" si="1"/>
        <v>23284422.071999997</v>
      </c>
    </row>
    <row r="29" spans="2:15" s="569" customFormat="1">
      <c r="B29" s="1437"/>
      <c r="C29" s="565" t="s">
        <v>992</v>
      </c>
      <c r="D29" s="2243" t="s">
        <v>235</v>
      </c>
      <c r="E29" s="2244" t="s">
        <v>499</v>
      </c>
      <c r="F29" s="2244" t="s">
        <v>776</v>
      </c>
      <c r="G29" s="2243"/>
      <c r="H29" s="2243">
        <v>11</v>
      </c>
      <c r="I29" s="282"/>
      <c r="J29" s="273">
        <f>9762141.84146432-1967777</f>
        <v>7794364.8414643202</v>
      </c>
      <c r="K29" s="282"/>
      <c r="L29" s="299">
        <f t="shared" si="0"/>
        <v>7794364.8414643202</v>
      </c>
      <c r="M29" s="1863">
        <v>884637</v>
      </c>
      <c r="N29" s="1861">
        <f t="shared" si="1"/>
        <v>8679001.8414643202</v>
      </c>
    </row>
    <row r="30" spans="2:15" s="569" customFormat="1">
      <c r="B30" s="1437"/>
      <c r="C30" s="565" t="s">
        <v>993</v>
      </c>
      <c r="D30" s="2243" t="s">
        <v>235</v>
      </c>
      <c r="E30" s="2244" t="s">
        <v>499</v>
      </c>
      <c r="F30" s="2244" t="s">
        <v>776</v>
      </c>
      <c r="G30" s="2243"/>
      <c r="H30" s="2243"/>
      <c r="I30" s="282"/>
      <c r="J30" s="273"/>
      <c r="K30" s="282"/>
      <c r="L30" s="299">
        <f t="shared" si="0"/>
        <v>0</v>
      </c>
      <c r="M30" s="1863">
        <f>16866662.4-3162062-3162600</f>
        <v>10542000.399999999</v>
      </c>
      <c r="N30" s="1861">
        <f t="shared" si="1"/>
        <v>10542000.399999999</v>
      </c>
      <c r="O30" s="1992"/>
    </row>
    <row r="31" spans="2:15" s="569" customFormat="1">
      <c r="B31" s="1437"/>
      <c r="C31" s="565" t="s">
        <v>867</v>
      </c>
      <c r="D31" s="2243" t="s">
        <v>235</v>
      </c>
      <c r="E31" s="2244" t="s">
        <v>499</v>
      </c>
      <c r="F31" s="2244" t="s">
        <v>835</v>
      </c>
      <c r="G31" s="2243"/>
      <c r="H31" s="2243"/>
      <c r="I31" s="282"/>
      <c r="J31" s="273"/>
      <c r="K31" s="282"/>
      <c r="L31" s="299">
        <f t="shared" si="0"/>
        <v>0</v>
      </c>
      <c r="M31" s="1863">
        <v>3865400</v>
      </c>
      <c r="N31" s="1861">
        <f t="shared" si="1"/>
        <v>3865400</v>
      </c>
    </row>
    <row r="32" spans="2:15" s="569" customFormat="1">
      <c r="B32" s="1437"/>
      <c r="C32" s="565" t="s">
        <v>994</v>
      </c>
      <c r="D32" s="2243" t="s">
        <v>235</v>
      </c>
      <c r="E32" s="2244" t="s">
        <v>499</v>
      </c>
      <c r="F32" s="2244" t="s">
        <v>776</v>
      </c>
      <c r="G32" s="2243"/>
      <c r="H32" s="2243">
        <v>11.5</v>
      </c>
      <c r="I32" s="282"/>
      <c r="J32" s="273">
        <v>45061094.006491497</v>
      </c>
      <c r="K32" s="282">
        <v>25323147.199999999</v>
      </c>
      <c r="L32" s="299">
        <f t="shared" si="0"/>
        <v>70384241.2064915</v>
      </c>
      <c r="M32" s="1863"/>
      <c r="N32" s="1861">
        <f t="shared" si="1"/>
        <v>70384241.2064915</v>
      </c>
    </row>
    <row r="33" spans="1:16" s="569" customFormat="1" ht="25.5">
      <c r="B33" s="1437"/>
      <c r="C33" s="565" t="s">
        <v>995</v>
      </c>
      <c r="D33" s="811" t="s">
        <v>235</v>
      </c>
      <c r="E33" s="1551" t="s">
        <v>499</v>
      </c>
      <c r="F33" s="1551" t="s">
        <v>776</v>
      </c>
      <c r="G33" s="811"/>
      <c r="H33" s="811">
        <v>11</v>
      </c>
      <c r="I33" s="282"/>
      <c r="J33" s="273">
        <v>13805000</v>
      </c>
      <c r="K33" s="282"/>
      <c r="L33" s="299">
        <f t="shared" si="0"/>
        <v>13805000</v>
      </c>
      <c r="M33" s="1863"/>
      <c r="N33" s="1861">
        <f t="shared" si="1"/>
        <v>13805000</v>
      </c>
      <c r="P33" s="1496"/>
    </row>
    <row r="34" spans="1:16" s="569" customFormat="1" ht="26.25" thickBot="1">
      <c r="B34" s="1437"/>
      <c r="C34" s="565" t="s">
        <v>961</v>
      </c>
      <c r="D34" s="811" t="s">
        <v>235</v>
      </c>
      <c r="E34" s="1551" t="s">
        <v>499</v>
      </c>
      <c r="F34" s="1551" t="s">
        <v>776</v>
      </c>
      <c r="G34" s="811"/>
      <c r="H34" s="811">
        <v>10</v>
      </c>
      <c r="I34" s="282"/>
      <c r="J34" s="273">
        <f>2717022.04508999+3935554+2000000</f>
        <v>8652576.0450899899</v>
      </c>
      <c r="K34" s="282"/>
      <c r="L34" s="299">
        <f t="shared" si="0"/>
        <v>8652576.0450899899</v>
      </c>
      <c r="M34" s="1863"/>
      <c r="N34" s="1861">
        <f t="shared" si="1"/>
        <v>8652576.0450899899</v>
      </c>
    </row>
    <row r="35" spans="1:16" ht="26.25" thickBot="1">
      <c r="A35" s="171">
        <v>146</v>
      </c>
      <c r="B35" s="1438"/>
      <c r="C35" s="414" t="s">
        <v>55</v>
      </c>
      <c r="D35" s="709"/>
      <c r="E35" s="709"/>
      <c r="F35" s="709"/>
      <c r="G35" s="710" t="s">
        <v>214</v>
      </c>
      <c r="H35" s="710">
        <v>90</v>
      </c>
      <c r="I35" s="710"/>
      <c r="J35" s="717">
        <f>+J36</f>
        <v>67912898.488000005</v>
      </c>
      <c r="K35" s="717">
        <f>+K36</f>
        <v>0</v>
      </c>
      <c r="L35" s="718">
        <f>+L36</f>
        <v>67912898.488000005</v>
      </c>
      <c r="M35" s="1864">
        <f>+M36</f>
        <v>0</v>
      </c>
      <c r="N35" s="718">
        <f>+N36</f>
        <v>67912898.488000005</v>
      </c>
    </row>
    <row r="36" spans="1:16" ht="30.75" customHeight="1">
      <c r="A36" s="171"/>
      <c r="B36" s="1439" t="s">
        <v>1084</v>
      </c>
      <c r="C36" s="628" t="s">
        <v>305</v>
      </c>
      <c r="D36" s="623"/>
      <c r="E36" s="623"/>
      <c r="F36" s="623"/>
      <c r="G36" s="623" t="s">
        <v>1151</v>
      </c>
      <c r="H36" s="623">
        <v>1</v>
      </c>
      <c r="I36" s="623"/>
      <c r="J36" s="712">
        <f>SUM(J37:J40)</f>
        <v>67912898.488000005</v>
      </c>
      <c r="K36" s="712">
        <f>SUM(K37:K40)</f>
        <v>0</v>
      </c>
      <c r="L36" s="713">
        <f>SUM(L37:L40)</f>
        <v>67912898.488000005</v>
      </c>
      <c r="M36" s="1865">
        <f>SUM(M37:M40)</f>
        <v>0</v>
      </c>
      <c r="N36" s="713">
        <f>SUM(N37:N40)</f>
        <v>67912898.488000005</v>
      </c>
    </row>
    <row r="37" spans="1:16">
      <c r="B37" s="1440"/>
      <c r="C37" s="565" t="s">
        <v>996</v>
      </c>
      <c r="D37" s="22" t="s">
        <v>235</v>
      </c>
      <c r="E37" s="351" t="s">
        <v>499</v>
      </c>
      <c r="F37" s="351" t="s">
        <v>776</v>
      </c>
      <c r="G37" s="14"/>
      <c r="H37" s="811">
        <v>10</v>
      </c>
      <c r="I37" s="282"/>
      <c r="J37" s="274">
        <f>45010129.0202899-884637-7258489.5322899</f>
        <v>36867002.487999998</v>
      </c>
      <c r="K37" s="273"/>
      <c r="L37" s="299">
        <f>+SUM(J37:K37)</f>
        <v>36867002.487999998</v>
      </c>
      <c r="M37" s="1866"/>
      <c r="N37" s="1861">
        <f>+M37+L37</f>
        <v>36867002.487999998</v>
      </c>
    </row>
    <row r="38" spans="1:16">
      <c r="B38" s="1440"/>
      <c r="C38" s="565" t="s">
        <v>997</v>
      </c>
      <c r="D38" s="568" t="s">
        <v>235</v>
      </c>
      <c r="E38" s="351" t="s">
        <v>499</v>
      </c>
      <c r="F38" s="351" t="s">
        <v>776</v>
      </c>
      <c r="G38" s="811"/>
      <c r="H38" s="811"/>
      <c r="I38" s="282"/>
      <c r="J38" s="274"/>
      <c r="K38" s="273"/>
      <c r="L38" s="299">
        <f>+SUM(J38:K38)</f>
        <v>0</v>
      </c>
      <c r="M38" s="1866"/>
      <c r="N38" s="1861">
        <f t="shared" ref="N38:N40" si="5">+M38+L38</f>
        <v>0</v>
      </c>
    </row>
    <row r="39" spans="1:16">
      <c r="B39" s="1440"/>
      <c r="C39" s="565" t="s">
        <v>988</v>
      </c>
      <c r="D39" s="568" t="s">
        <v>235</v>
      </c>
      <c r="E39" s="351" t="s">
        <v>499</v>
      </c>
      <c r="F39" s="351" t="s">
        <v>776</v>
      </c>
      <c r="G39" s="811"/>
      <c r="H39" s="811"/>
      <c r="I39" s="282"/>
      <c r="J39" s="274">
        <v>15522948</v>
      </c>
      <c r="K39" s="273"/>
      <c r="L39" s="299">
        <f>+SUM(J39:K39)</f>
        <v>15522948</v>
      </c>
      <c r="M39" s="1866"/>
      <c r="N39" s="1861">
        <f t="shared" si="5"/>
        <v>15522948</v>
      </c>
    </row>
    <row r="40" spans="1:16" ht="15.75" thickBot="1">
      <c r="B40" s="1440"/>
      <c r="C40" s="565" t="s">
        <v>991</v>
      </c>
      <c r="D40" s="568" t="s">
        <v>235</v>
      </c>
      <c r="E40" s="351" t="s">
        <v>499</v>
      </c>
      <c r="F40" s="351" t="s">
        <v>776</v>
      </c>
      <c r="G40" s="811"/>
      <c r="H40" s="811"/>
      <c r="I40" s="282"/>
      <c r="J40" s="274">
        <v>15522948</v>
      </c>
      <c r="K40" s="273"/>
      <c r="L40" s="299">
        <f>+SUM(J40:K40)</f>
        <v>15522948</v>
      </c>
      <c r="M40" s="1866"/>
      <c r="N40" s="1861">
        <f t="shared" si="5"/>
        <v>15522948</v>
      </c>
    </row>
    <row r="41" spans="1:16" ht="21" customHeight="1" thickBot="1">
      <c r="B41" s="1440"/>
      <c r="C41" s="2539" t="s">
        <v>10</v>
      </c>
      <c r="D41" s="2540"/>
      <c r="E41" s="2540"/>
      <c r="F41" s="2540"/>
      <c r="G41" s="2540"/>
      <c r="H41" s="2600"/>
      <c r="I41" s="1178"/>
      <c r="J41" s="749">
        <f>+J35+J10</f>
        <v>245644256.61882553</v>
      </c>
      <c r="K41" s="749">
        <f>+K35+K10</f>
        <v>25323147.199999999</v>
      </c>
      <c r="L41" s="750">
        <f>+L35+L10</f>
        <v>270967403.81882554</v>
      </c>
      <c r="M41" s="1774">
        <f>+M35+M10</f>
        <v>84333312.667710125</v>
      </c>
      <c r="N41" s="1775">
        <f>+N35+N10</f>
        <v>355300716.48653567</v>
      </c>
    </row>
    <row r="42" spans="1:16" ht="15.75" thickBot="1">
      <c r="L42" s="278"/>
      <c r="M42" s="362"/>
      <c r="N42" s="278"/>
    </row>
    <row r="43" spans="1:16" ht="15.75" thickBot="1">
      <c r="G43" s="362"/>
      <c r="H43" s="362"/>
      <c r="J43" s="557">
        <v>245644257</v>
      </c>
      <c r="K43" s="557">
        <v>25323147</v>
      </c>
      <c r="L43" s="557">
        <v>270967404</v>
      </c>
      <c r="M43" s="557">
        <v>84333311.800000012</v>
      </c>
      <c r="N43" s="557">
        <v>355300715.80000001</v>
      </c>
    </row>
    <row r="44" spans="1:16">
      <c r="M44" s="362"/>
    </row>
    <row r="45" spans="1:16">
      <c r="J45" s="279">
        <f>+J43-J41</f>
        <v>0.3811744749546051</v>
      </c>
      <c r="K45" s="279">
        <f>+K43-K41</f>
        <v>-0.19999999925494194</v>
      </c>
      <c r="L45" s="279">
        <f>+L43-L41</f>
        <v>0.18117445707321167</v>
      </c>
      <c r="M45" s="279">
        <f>+M43-M41</f>
        <v>-0.86771011352539063</v>
      </c>
      <c r="N45" s="279">
        <f>+N43-N41</f>
        <v>-0.68653565645217896</v>
      </c>
    </row>
    <row r="49" spans="6:10">
      <c r="J49" s="279"/>
    </row>
    <row r="50" spans="6:10">
      <c r="F50" s="278"/>
    </row>
  </sheetData>
  <mergeCells count="23">
    <mergeCell ref="A7:A9"/>
    <mergeCell ref="B7:B9"/>
    <mergeCell ref="C1:C3"/>
    <mergeCell ref="M1:N1"/>
    <mergeCell ref="M2:N2"/>
    <mergeCell ref="M3:N3"/>
    <mergeCell ref="D1:L3"/>
    <mergeCell ref="C6:N6"/>
    <mergeCell ref="C5:N5"/>
    <mergeCell ref="M8:M9"/>
    <mergeCell ref="N7:N9"/>
    <mergeCell ref="C41:H41"/>
    <mergeCell ref="J8:J9"/>
    <mergeCell ref="K8:K9"/>
    <mergeCell ref="J7:K7"/>
    <mergeCell ref="L7:L9"/>
    <mergeCell ref="C7:C9"/>
    <mergeCell ref="D7:D9"/>
    <mergeCell ref="G7:G9"/>
    <mergeCell ref="H7:H9"/>
    <mergeCell ref="F7:F9"/>
    <mergeCell ref="E7:E9"/>
    <mergeCell ref="I7:I9"/>
  </mergeCells>
  <pageMargins left="0.7" right="0.7" top="0.75" bottom="0.75" header="0.3" footer="0.3"/>
  <pageSetup paperSize="9" orientation="portrait" verticalDpi="597"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8">
    <tabColor theme="7" tint="0.59999389629810485"/>
  </sheetPr>
  <dimension ref="A1:J19"/>
  <sheetViews>
    <sheetView workbookViewId="0"/>
  </sheetViews>
  <sheetFormatPr baseColWidth="10" defaultRowHeight="15"/>
  <cols>
    <col min="2" max="2" width="41.140625" customWidth="1"/>
    <col min="3" max="8" width="15.7109375" customWidth="1"/>
    <col min="9" max="9" width="12.28515625" customWidth="1"/>
    <col min="10" max="10" width="13" customWidth="1"/>
  </cols>
  <sheetData>
    <row r="1" spans="1:10" ht="15" customHeight="1">
      <c r="B1" s="2597"/>
      <c r="C1" s="2430" t="s">
        <v>663</v>
      </c>
      <c r="D1" s="2431"/>
      <c r="E1" s="2431"/>
      <c r="F1" s="2432"/>
      <c r="G1" s="2495" t="s">
        <v>539</v>
      </c>
      <c r="H1" s="2496"/>
    </row>
    <row r="2" spans="1:10">
      <c r="B2" s="2598"/>
      <c r="C2" s="2433"/>
      <c r="D2" s="2434"/>
      <c r="E2" s="2434"/>
      <c r="F2" s="2435"/>
      <c r="G2" s="2497" t="s">
        <v>540</v>
      </c>
      <c r="H2" s="2498"/>
    </row>
    <row r="3" spans="1:10" ht="15.75" customHeight="1" thickBot="1">
      <c r="B3" s="2599"/>
      <c r="C3" s="2436"/>
      <c r="D3" s="2437"/>
      <c r="E3" s="2437"/>
      <c r="F3" s="2438"/>
      <c r="G3" s="2499" t="s">
        <v>541</v>
      </c>
      <c r="H3" s="2500"/>
    </row>
    <row r="4" spans="1:10" ht="15.75" thickBot="1"/>
    <row r="5" spans="1:10" ht="15.75" thickBot="1">
      <c r="B5" s="2402" t="s">
        <v>500</v>
      </c>
      <c r="C5" s="2403"/>
      <c r="D5" s="2403"/>
      <c r="E5" s="2403"/>
      <c r="F5" s="2403"/>
      <c r="G5" s="2403"/>
      <c r="H5" s="2404"/>
    </row>
    <row r="6" spans="1:10" s="62" customFormat="1" ht="15.75" customHeight="1" thickBot="1">
      <c r="A6" s="1179"/>
      <c r="B6" s="2402" t="s">
        <v>456</v>
      </c>
      <c r="C6" s="2403"/>
      <c r="D6" s="2403"/>
      <c r="E6" s="2403"/>
      <c r="F6" s="2403"/>
      <c r="G6" s="2403"/>
      <c r="H6" s="2404"/>
      <c r="I6" s="812"/>
    </row>
    <row r="7" spans="1:10" ht="15" customHeight="1" thickBot="1">
      <c r="A7" s="2397" t="s">
        <v>383</v>
      </c>
      <c r="B7" s="2455" t="s">
        <v>197</v>
      </c>
      <c r="C7" s="2414">
        <v>2023</v>
      </c>
      <c r="D7" s="2414"/>
      <c r="E7" s="2414"/>
      <c r="F7" s="2414"/>
      <c r="G7" s="2414"/>
      <c r="H7" s="2414"/>
    </row>
    <row r="8" spans="1:10" ht="15.75" thickBot="1">
      <c r="A8" s="2397"/>
      <c r="B8" s="2455"/>
      <c r="C8" s="2414" t="s">
        <v>199</v>
      </c>
      <c r="D8" s="2414" t="s">
        <v>200</v>
      </c>
      <c r="E8" s="622" t="s">
        <v>248</v>
      </c>
      <c r="F8" s="897"/>
      <c r="G8" s="897"/>
      <c r="H8" s="2454" t="s">
        <v>204</v>
      </c>
    </row>
    <row r="9" spans="1:10" ht="15.75" thickBot="1">
      <c r="A9" s="2397"/>
      <c r="B9" s="2455"/>
      <c r="C9" s="2414"/>
      <c r="D9" s="2414"/>
      <c r="E9" s="622" t="s">
        <v>231</v>
      </c>
      <c r="F9" s="897" t="s">
        <v>509</v>
      </c>
      <c r="G9" s="897" t="s">
        <v>510</v>
      </c>
      <c r="H9" s="2454"/>
    </row>
    <row r="10" spans="1:10" ht="77.25" thickBot="1">
      <c r="A10" s="189">
        <v>3205022</v>
      </c>
      <c r="B10" s="363" t="s">
        <v>1</v>
      </c>
      <c r="C10" s="364" t="s">
        <v>214</v>
      </c>
      <c r="D10" s="364">
        <v>100</v>
      </c>
      <c r="E10" s="365">
        <f>+'ACCIONES 320501'!K10</f>
        <v>265425337.67479998</v>
      </c>
      <c r="F10" s="365">
        <f>+'ACCIONES 320501'!L10</f>
        <v>0</v>
      </c>
      <c r="G10" s="1625">
        <f>+'ACCIONES 320501'!M10</f>
        <v>50000000</v>
      </c>
      <c r="H10" s="1869">
        <f>+'ACCIONES 320501'!N10</f>
        <v>315425337.67479998</v>
      </c>
      <c r="J10" s="501"/>
    </row>
    <row r="11" spans="1:10" ht="26.25" thickBot="1">
      <c r="B11" s="366" t="s">
        <v>306</v>
      </c>
      <c r="C11" s="367" t="s">
        <v>209</v>
      </c>
      <c r="D11" s="367">
        <v>1</v>
      </c>
      <c r="E11" s="368">
        <f>+'ACCIONES 320501'!K11</f>
        <v>265425337.67479998</v>
      </c>
      <c r="F11" s="368">
        <f>+'ACCIONES 320501'!L11</f>
        <v>0</v>
      </c>
      <c r="G11" s="369">
        <f>+'ACCIONES 320501'!M11</f>
        <v>50000000</v>
      </c>
      <c r="H11" s="1870">
        <f>+'ACCIONES 320501'!N11</f>
        <v>315425337.67479998</v>
      </c>
      <c r="J11" s="501"/>
    </row>
    <row r="12" spans="1:10" ht="26.25" thickBot="1">
      <c r="A12" s="205">
        <v>3205022</v>
      </c>
      <c r="B12" s="370" t="s">
        <v>239</v>
      </c>
      <c r="C12" s="371" t="s">
        <v>209</v>
      </c>
      <c r="D12" s="371">
        <v>1</v>
      </c>
      <c r="E12" s="372">
        <f>+SUM(E13:E14)</f>
        <v>108794262.88113163</v>
      </c>
      <c r="F12" s="372">
        <f>+SUM(F13:F14)</f>
        <v>0</v>
      </c>
      <c r="G12" s="373">
        <f>+SUM(G13:G14)</f>
        <v>0</v>
      </c>
      <c r="H12" s="1871">
        <f>+SUM(H13:H14)</f>
        <v>108794262.88113163</v>
      </c>
      <c r="J12" s="501"/>
    </row>
    <row r="13" spans="1:10" ht="38.25">
      <c r="B13" s="48" t="s">
        <v>307</v>
      </c>
      <c r="C13" s="122" t="s">
        <v>209</v>
      </c>
      <c r="D13" s="122">
        <v>1</v>
      </c>
      <c r="E13" s="374">
        <f>+'ACCIONES 320501'!K23</f>
        <v>10000000</v>
      </c>
      <c r="F13" s="374">
        <f>+'ACCIONES 320501'!L23</f>
        <v>0</v>
      </c>
      <c r="G13" s="1875">
        <f>+'ACCIONES 320501'!M23</f>
        <v>0</v>
      </c>
      <c r="H13" s="1872">
        <f>+'ACCIONES 320501'!N23</f>
        <v>10000000</v>
      </c>
      <c r="I13">
        <v>3205022</v>
      </c>
      <c r="J13" s="501"/>
    </row>
    <row r="14" spans="1:10" ht="15.75" thickBot="1">
      <c r="B14" s="172" t="s">
        <v>660</v>
      </c>
      <c r="C14" s="167" t="s">
        <v>209</v>
      </c>
      <c r="D14" s="167">
        <v>1</v>
      </c>
      <c r="E14" s="290">
        <f>+'ACCIONES 320501'!K26</f>
        <v>98794262.881131634</v>
      </c>
      <c r="F14" s="290">
        <f>+'ACCIONES 320501'!L26</f>
        <v>0</v>
      </c>
      <c r="G14" s="1876">
        <f>+'ACCIONES 320501'!M26</f>
        <v>0</v>
      </c>
      <c r="H14" s="1873">
        <f>+'ACCIONES 320501'!N26</f>
        <v>98794262.881131634</v>
      </c>
      <c r="J14" s="501"/>
    </row>
    <row r="15" spans="1:10" ht="15.75" thickBot="1">
      <c r="B15" s="2607" t="s">
        <v>10</v>
      </c>
      <c r="C15" s="2608"/>
      <c r="D15" s="2608"/>
      <c r="E15" s="760">
        <f>+E12+E10</f>
        <v>374219600.55593163</v>
      </c>
      <c r="F15" s="760">
        <f>+F12+F10</f>
        <v>0</v>
      </c>
      <c r="G15" s="761">
        <f>+G12+G10</f>
        <v>50000000</v>
      </c>
      <c r="H15" s="1874">
        <f>+H12+H10</f>
        <v>424219600.55593163</v>
      </c>
      <c r="J15" s="501"/>
    </row>
    <row r="16" spans="1:10" ht="15.75" thickBot="1"/>
    <row r="17" spans="5:8" ht="15.75" thickBot="1">
      <c r="E17" s="777">
        <v>374219601</v>
      </c>
      <c r="F17" s="900"/>
      <c r="G17" s="900">
        <v>50000000</v>
      </c>
      <c r="H17" s="902">
        <v>424219601</v>
      </c>
    </row>
    <row r="19" spans="5:8">
      <c r="E19" s="130">
        <f>+E17-E15</f>
        <v>0.44406837224960327</v>
      </c>
      <c r="F19" s="130">
        <f>+F17-F15</f>
        <v>0</v>
      </c>
      <c r="G19" s="130">
        <f>+G17-G15</f>
        <v>0</v>
      </c>
      <c r="H19" s="130">
        <f>+H17-H15</f>
        <v>0.44406837224960327</v>
      </c>
    </row>
  </sheetData>
  <mergeCells count="14">
    <mergeCell ref="B1:B3"/>
    <mergeCell ref="C1:F3"/>
    <mergeCell ref="G1:H1"/>
    <mergeCell ref="G2:H2"/>
    <mergeCell ref="G3:H3"/>
    <mergeCell ref="A7:A9"/>
    <mergeCell ref="B5:H5"/>
    <mergeCell ref="B6:H6"/>
    <mergeCell ref="B15:D15"/>
    <mergeCell ref="B7:B9"/>
    <mergeCell ref="C7:H7"/>
    <mergeCell ref="C8:C9"/>
    <mergeCell ref="D8:D9"/>
    <mergeCell ref="H8:H9"/>
  </mergeCells>
  <pageMargins left="0.7" right="0.7" top="0.75" bottom="0.75" header="0.3" footer="0.3"/>
  <pageSetup paperSize="9" orientation="portrait" verticalDpi="597"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9">
    <tabColor theme="7" tint="0.59999389629810485"/>
  </sheetPr>
  <dimension ref="A1:AD41"/>
  <sheetViews>
    <sheetView workbookViewId="0"/>
  </sheetViews>
  <sheetFormatPr baseColWidth="10" defaultRowHeight="15"/>
  <cols>
    <col min="1" max="1" width="4.7109375" customWidth="1"/>
    <col min="2" max="2" width="5.42578125" customWidth="1"/>
    <col min="3" max="3" width="39.85546875" customWidth="1"/>
    <col min="4" max="4" width="20.140625" customWidth="1"/>
    <col min="5" max="5" width="10.140625" customWidth="1"/>
    <col min="6" max="6" width="8.42578125" customWidth="1"/>
    <col min="7" max="7" width="6.85546875" style="335" customWidth="1"/>
    <col min="8" max="8" width="12.140625" style="335" customWidth="1"/>
    <col min="9" max="9" width="12.85546875" customWidth="1"/>
    <col min="10" max="10" width="12.140625" customWidth="1"/>
    <col min="11" max="11" width="15.7109375" customWidth="1"/>
    <col min="12" max="12" width="5.28515625" customWidth="1"/>
    <col min="13" max="13" width="15.7109375" customWidth="1"/>
    <col min="14" max="14" width="20.28515625" customWidth="1"/>
    <col min="15" max="15" width="19.5703125" customWidth="1"/>
    <col min="16" max="16" width="17.85546875" customWidth="1"/>
    <col min="17" max="17" width="18.28515625" customWidth="1"/>
    <col min="18" max="19" width="16.85546875" bestFit="1" customWidth="1"/>
    <col min="20" max="20" width="20.42578125" customWidth="1"/>
    <col min="23" max="23" width="16.85546875" customWidth="1"/>
    <col min="26" max="26" width="18.42578125" customWidth="1"/>
  </cols>
  <sheetData>
    <row r="1" spans="1:26">
      <c r="C1" s="2597"/>
      <c r="D1" s="2430" t="s">
        <v>663</v>
      </c>
      <c r="E1" s="2431"/>
      <c r="F1" s="2431"/>
      <c r="G1" s="2431"/>
      <c r="H1" s="2431"/>
      <c r="I1" s="2431"/>
      <c r="J1" s="2431"/>
      <c r="K1" s="2431"/>
      <c r="L1" s="2432"/>
      <c r="M1" s="2495" t="s">
        <v>539</v>
      </c>
      <c r="N1" s="2496"/>
    </row>
    <row r="2" spans="1:26">
      <c r="C2" s="2598"/>
      <c r="D2" s="2433"/>
      <c r="E2" s="2434"/>
      <c r="F2" s="2434"/>
      <c r="G2" s="2434"/>
      <c r="H2" s="2434"/>
      <c r="I2" s="2434"/>
      <c r="J2" s="2434"/>
      <c r="K2" s="2434"/>
      <c r="L2" s="2435"/>
      <c r="M2" s="2497" t="s">
        <v>540</v>
      </c>
      <c r="N2" s="2498"/>
    </row>
    <row r="3" spans="1:26" ht="15.75" thickBot="1">
      <c r="C3" s="2599"/>
      <c r="D3" s="2436"/>
      <c r="E3" s="2437"/>
      <c r="F3" s="2437"/>
      <c r="G3" s="2437"/>
      <c r="H3" s="2437"/>
      <c r="I3" s="2437"/>
      <c r="J3" s="2437"/>
      <c r="K3" s="2437"/>
      <c r="L3" s="2438"/>
      <c r="M3" s="2499" t="s">
        <v>541</v>
      </c>
      <c r="N3" s="2500"/>
    </row>
    <row r="4" spans="1:26" ht="15.75" thickBot="1">
      <c r="G4" s="362"/>
      <c r="H4" s="362"/>
    </row>
    <row r="5" spans="1:26" s="1" customFormat="1" ht="15" customHeight="1" thickBot="1">
      <c r="C5" s="2402" t="s">
        <v>500</v>
      </c>
      <c r="D5" s="2403"/>
      <c r="E5" s="2403"/>
      <c r="F5" s="2403"/>
      <c r="G5" s="2403"/>
      <c r="H5" s="2403"/>
      <c r="I5" s="2403"/>
      <c r="J5" s="2403"/>
      <c r="K5" s="2403"/>
      <c r="L5" s="2403"/>
      <c r="M5" s="2403"/>
      <c r="N5" s="2404"/>
    </row>
    <row r="6" spans="1:26" ht="15.75" thickBot="1">
      <c r="C6" s="2402" t="s">
        <v>456</v>
      </c>
      <c r="D6" s="2403"/>
      <c r="E6" s="2403"/>
      <c r="F6" s="2403"/>
      <c r="G6" s="2403"/>
      <c r="H6" s="2403"/>
      <c r="I6" s="2403"/>
      <c r="J6" s="2403"/>
      <c r="K6" s="2403"/>
      <c r="L6" s="2403"/>
      <c r="M6" s="2403"/>
      <c r="N6" s="2404"/>
    </row>
    <row r="7" spans="1:26" ht="25.5" customHeight="1" thickBot="1">
      <c r="A7" s="2466" t="s">
        <v>543</v>
      </c>
      <c r="B7" s="2474" t="s">
        <v>544</v>
      </c>
      <c r="C7" s="2397" t="s">
        <v>435</v>
      </c>
      <c r="D7" s="2397" t="s">
        <v>436</v>
      </c>
      <c r="E7" s="2397" t="s">
        <v>497</v>
      </c>
      <c r="F7" s="2397" t="s">
        <v>437</v>
      </c>
      <c r="G7" s="2397" t="s">
        <v>200</v>
      </c>
      <c r="H7" s="2397" t="s">
        <v>576</v>
      </c>
      <c r="I7" s="2397" t="s">
        <v>495</v>
      </c>
      <c r="J7" s="2397" t="s">
        <v>496</v>
      </c>
      <c r="K7" s="2398" t="s">
        <v>198</v>
      </c>
      <c r="L7" s="2399"/>
      <c r="M7" s="2399"/>
      <c r="N7" s="2397" t="s">
        <v>341</v>
      </c>
    </row>
    <row r="8" spans="1:26" ht="15" customHeight="1" thickBot="1">
      <c r="A8" s="2466"/>
      <c r="B8" s="2474"/>
      <c r="C8" s="2397"/>
      <c r="D8" s="2397"/>
      <c r="E8" s="2397"/>
      <c r="F8" s="2397"/>
      <c r="G8" s="2397"/>
      <c r="H8" s="2397"/>
      <c r="I8" s="2397"/>
      <c r="J8" s="2397"/>
      <c r="K8" s="2397" t="s">
        <v>203</v>
      </c>
      <c r="L8" s="2489" t="s">
        <v>232</v>
      </c>
      <c r="M8" s="2489" t="s">
        <v>201</v>
      </c>
      <c r="N8" s="2397"/>
    </row>
    <row r="9" spans="1:26" ht="15.75" thickBot="1">
      <c r="A9" s="2466"/>
      <c r="B9" s="2474"/>
      <c r="C9" s="2397"/>
      <c r="D9" s="2397"/>
      <c r="E9" s="2397"/>
      <c r="F9" s="2397"/>
      <c r="G9" s="2397"/>
      <c r="H9" s="2397"/>
      <c r="I9" s="2397"/>
      <c r="J9" s="2397"/>
      <c r="K9" s="2397"/>
      <c r="L9" s="2401"/>
      <c r="M9" s="2401"/>
      <c r="N9" s="2397"/>
    </row>
    <row r="10" spans="1:26" ht="90" thickBot="1">
      <c r="A10" s="1246">
        <v>147</v>
      </c>
      <c r="B10" s="1441"/>
      <c r="C10" s="363" t="s">
        <v>1</v>
      </c>
      <c r="D10" s="625"/>
      <c r="E10" s="625"/>
      <c r="F10" s="634" t="s">
        <v>214</v>
      </c>
      <c r="G10" s="634">
        <v>100</v>
      </c>
      <c r="H10" s="634"/>
      <c r="I10" s="634"/>
      <c r="J10" s="1895"/>
      <c r="K10" s="1890">
        <f>+K11</f>
        <v>265425337.67479998</v>
      </c>
      <c r="L10" s="720">
        <f>+L11</f>
        <v>0</v>
      </c>
      <c r="M10" s="721">
        <f>+M11</f>
        <v>50000000</v>
      </c>
      <c r="N10" s="1877">
        <f>SUM(N11)</f>
        <v>315425337.67479998</v>
      </c>
      <c r="O10" s="1481"/>
    </row>
    <row r="11" spans="1:26" ht="25.5">
      <c r="A11" s="1246"/>
      <c r="B11" s="1441" t="s">
        <v>1085</v>
      </c>
      <c r="C11" s="800" t="s">
        <v>306</v>
      </c>
      <c r="D11" s="623"/>
      <c r="E11" s="623"/>
      <c r="F11" s="629" t="s">
        <v>209</v>
      </c>
      <c r="G11" s="629">
        <v>1</v>
      </c>
      <c r="H11" s="629"/>
      <c r="I11" s="629"/>
      <c r="J11" s="1896"/>
      <c r="K11" s="1878">
        <f>SUM(K12:K21)</f>
        <v>265425337.67479998</v>
      </c>
      <c r="L11" s="719">
        <f>SUM(L12:L20)</f>
        <v>0</v>
      </c>
      <c r="M11" s="1884">
        <f>SUM(M12:M20)</f>
        <v>50000000</v>
      </c>
      <c r="N11" s="1888">
        <f>SUM(N12:N21)</f>
        <v>315425337.67479998</v>
      </c>
    </row>
    <row r="12" spans="1:26" s="62" customFormat="1" ht="25.5">
      <c r="A12" s="812"/>
      <c r="B12" s="1423"/>
      <c r="C12" s="1517" t="s">
        <v>1102</v>
      </c>
      <c r="D12" s="8" t="s">
        <v>235</v>
      </c>
      <c r="E12" s="8">
        <v>83990</v>
      </c>
      <c r="F12" s="14" t="s">
        <v>606</v>
      </c>
      <c r="G12" s="811">
        <v>11.5</v>
      </c>
      <c r="H12" s="268">
        <v>6412846</v>
      </c>
      <c r="I12" s="268">
        <f>+H12*G12</f>
        <v>73747729</v>
      </c>
      <c r="J12" s="1677">
        <f>+I12*1.004</f>
        <v>74042719.915999994</v>
      </c>
      <c r="K12" s="1891">
        <f>+J12</f>
        <v>74042719.915999994</v>
      </c>
      <c r="L12" s="281"/>
      <c r="M12" s="1677"/>
      <c r="N12" s="1879">
        <f t="shared" ref="N12:N21" si="0">SUM(K12:M12)</f>
        <v>74042719.915999994</v>
      </c>
      <c r="O12"/>
      <c r="P12"/>
      <c r="Q12"/>
      <c r="Z12"/>
    </row>
    <row r="13" spans="1:26" s="812" customFormat="1" ht="25.5">
      <c r="B13" s="1423"/>
      <c r="C13" s="1517" t="s">
        <v>1103</v>
      </c>
      <c r="D13" s="810" t="s">
        <v>235</v>
      </c>
      <c r="E13" s="810">
        <v>83990</v>
      </c>
      <c r="F13" s="811" t="s">
        <v>606</v>
      </c>
      <c r="G13" s="811">
        <v>11.5</v>
      </c>
      <c r="H13" s="268">
        <v>4260000</v>
      </c>
      <c r="I13" s="268">
        <f>+H13*G13</f>
        <v>48990000</v>
      </c>
      <c r="J13" s="1677">
        <f>+I13*1.004</f>
        <v>49185960</v>
      </c>
      <c r="K13" s="1891">
        <f>49185960-2358384</f>
        <v>46827576</v>
      </c>
      <c r="L13" s="281"/>
      <c r="M13" s="1677"/>
      <c r="N13" s="1879">
        <f t="shared" si="0"/>
        <v>46827576</v>
      </c>
      <c r="O13"/>
      <c r="P13" s="288"/>
      <c r="Q13"/>
      <c r="W13" s="1479"/>
      <c r="Z13"/>
    </row>
    <row r="14" spans="1:26" s="812" customFormat="1" ht="25.5">
      <c r="B14" s="1423"/>
      <c r="C14" s="1517" t="s">
        <v>1104</v>
      </c>
      <c r="D14" s="810" t="s">
        <v>235</v>
      </c>
      <c r="E14" s="810">
        <v>83990</v>
      </c>
      <c r="F14" s="811" t="s">
        <v>606</v>
      </c>
      <c r="G14" s="811">
        <v>11.5</v>
      </c>
      <c r="H14" s="268">
        <v>3771573</v>
      </c>
      <c r="I14" s="268">
        <f>+H14*G14</f>
        <v>43373089.5</v>
      </c>
      <c r="J14" s="1677">
        <f>+I14*1.004</f>
        <v>43546581.858000003</v>
      </c>
      <c r="K14" s="1891">
        <f>+J14</f>
        <v>43546581.858000003</v>
      </c>
      <c r="L14" s="281"/>
      <c r="M14" s="1677"/>
      <c r="N14" s="1879">
        <f t="shared" si="0"/>
        <v>43546581.858000003</v>
      </c>
      <c r="O14" s="2160" t="s">
        <v>1401</v>
      </c>
      <c r="P14" s="59">
        <f>+N15-14625054</f>
        <v>250000.3487999998</v>
      </c>
      <c r="Q14"/>
      <c r="W14" s="1479"/>
      <c r="Z14"/>
    </row>
    <row r="15" spans="1:26" s="812" customFormat="1" ht="27.75" customHeight="1">
      <c r="B15" s="1423"/>
      <c r="C15" s="1517" t="s">
        <v>1105</v>
      </c>
      <c r="D15" s="811" t="s">
        <v>235</v>
      </c>
      <c r="E15" s="810">
        <v>83990</v>
      </c>
      <c r="F15" s="811" t="s">
        <v>606</v>
      </c>
      <c r="G15" s="811">
        <v>11.2</v>
      </c>
      <c r="H15" s="268">
        <v>1300606</v>
      </c>
      <c r="I15" s="268">
        <v>14566787.199999999</v>
      </c>
      <c r="J15" s="1677">
        <v>14625054.3488</v>
      </c>
      <c r="K15" s="1891">
        <f>14625054.3488+250000</f>
        <v>14875054.3488</v>
      </c>
      <c r="L15" s="281"/>
      <c r="M15" s="1677"/>
      <c r="N15" s="1879">
        <f t="shared" si="0"/>
        <v>14875054.3488</v>
      </c>
      <c r="P15"/>
      <c r="Q15"/>
      <c r="W15" s="1450"/>
      <c r="Z15"/>
    </row>
    <row r="16" spans="1:26" s="812" customFormat="1" ht="27.75" customHeight="1">
      <c r="B16" s="1423"/>
      <c r="C16" s="1517" t="s">
        <v>1378</v>
      </c>
      <c r="D16" s="2054" t="s">
        <v>235</v>
      </c>
      <c r="E16" s="810">
        <v>83990</v>
      </c>
      <c r="F16" s="2054" t="s">
        <v>606</v>
      </c>
      <c r="G16" s="2054">
        <v>8</v>
      </c>
      <c r="H16" s="268"/>
      <c r="I16" s="268"/>
      <c r="J16" s="1677"/>
      <c r="K16" s="1891">
        <f>7834850.544+13851549-602400</f>
        <v>21083999.544</v>
      </c>
      <c r="L16" s="281"/>
      <c r="M16" s="1677"/>
      <c r="N16" s="1879">
        <f t="shared" si="0"/>
        <v>21083999.544</v>
      </c>
      <c r="O16" s="517"/>
      <c r="P16"/>
      <c r="Q16"/>
      <c r="W16" s="1450"/>
      <c r="Z16"/>
    </row>
    <row r="17" spans="1:30" s="812" customFormat="1" ht="27.75" customHeight="1">
      <c r="B17" s="1423"/>
      <c r="C17" s="565" t="s">
        <v>1255</v>
      </c>
      <c r="D17" s="2054" t="s">
        <v>235</v>
      </c>
      <c r="E17" s="810">
        <v>83990</v>
      </c>
      <c r="F17" s="2054" t="s">
        <v>606</v>
      </c>
      <c r="G17" s="2054">
        <v>8</v>
      </c>
      <c r="H17" s="268"/>
      <c r="I17" s="268"/>
      <c r="J17" s="1677"/>
      <c r="K17" s="1891">
        <f>15260800-78038</f>
        <v>15182762</v>
      </c>
      <c r="L17" s="281"/>
      <c r="M17" s="1677"/>
      <c r="N17" s="1879">
        <f t="shared" si="0"/>
        <v>15182762</v>
      </c>
      <c r="Q17"/>
      <c r="W17" s="1450"/>
      <c r="Z17"/>
    </row>
    <row r="18" spans="1:30" s="812" customFormat="1" ht="27.75" customHeight="1">
      <c r="B18" s="1423"/>
      <c r="C18" s="1517" t="s">
        <v>701</v>
      </c>
      <c r="D18" s="2054" t="s">
        <v>702</v>
      </c>
      <c r="E18" s="810" t="s">
        <v>703</v>
      </c>
      <c r="F18" s="2213" t="s">
        <v>606</v>
      </c>
      <c r="G18" s="2054">
        <v>12</v>
      </c>
      <c r="H18" s="268"/>
      <c r="I18" s="268"/>
      <c r="J18" s="1677"/>
      <c r="K18" s="1891">
        <f>11582000-414338</f>
        <v>11167662</v>
      </c>
      <c r="L18" s="281"/>
      <c r="M18" s="1677"/>
      <c r="N18" s="1879">
        <f t="shared" si="0"/>
        <v>11167662</v>
      </c>
      <c r="O18"/>
      <c r="P18"/>
      <c r="Q18"/>
      <c r="W18" s="1450"/>
      <c r="Z18"/>
    </row>
    <row r="19" spans="1:30" s="812" customFormat="1" ht="30" customHeight="1">
      <c r="B19" s="1423"/>
      <c r="C19" s="2612" t="s">
        <v>1106</v>
      </c>
      <c r="D19" s="2223" t="s">
        <v>1333</v>
      </c>
      <c r="E19" s="810"/>
      <c r="F19" s="2217"/>
      <c r="G19" s="2217"/>
      <c r="H19" s="268"/>
      <c r="I19" s="268"/>
      <c r="J19" s="1677"/>
      <c r="K19" s="1891"/>
      <c r="L19" s="281"/>
      <c r="M19" s="1677">
        <v>28960982.399999999</v>
      </c>
      <c r="N19" s="1879">
        <f t="shared" si="0"/>
        <v>28960982.399999999</v>
      </c>
      <c r="O19"/>
      <c r="P19"/>
      <c r="Q19" s="517"/>
      <c r="W19" s="1450"/>
      <c r="Z19"/>
    </row>
    <row r="20" spans="1:30" s="812" customFormat="1" ht="27.75" customHeight="1">
      <c r="B20" s="1423"/>
      <c r="C20" s="2613"/>
      <c r="D20" s="2217" t="s">
        <v>235</v>
      </c>
      <c r="E20" s="810">
        <v>83990</v>
      </c>
      <c r="F20" s="2213" t="s">
        <v>606</v>
      </c>
      <c r="G20" s="2213">
        <v>3</v>
      </c>
      <c r="H20" s="268">
        <v>36739809</v>
      </c>
      <c r="I20" s="268">
        <v>110219427</v>
      </c>
      <c r="J20" s="1677">
        <v>110660304.708</v>
      </c>
      <c r="K20" s="2225">
        <f>75268709.708+921462.3-250000-13851549-12902416-10979601-10049624</f>
        <v>28156982.008000001</v>
      </c>
      <c r="L20" s="281"/>
      <c r="M20" s="1885">
        <f>50000000-28960982.4</f>
        <v>21039017.600000001</v>
      </c>
      <c r="N20" s="1879">
        <f t="shared" si="0"/>
        <v>49195999.608000003</v>
      </c>
      <c r="O20"/>
      <c r="P20" s="795"/>
      <c r="Q20" s="517"/>
      <c r="R20" s="1479"/>
    </row>
    <row r="21" spans="1:30" s="812" customFormat="1" ht="45" customHeight="1" thickBot="1">
      <c r="B21" s="1423"/>
      <c r="C21" s="2226" t="s">
        <v>1423</v>
      </c>
      <c r="D21" s="2213" t="s">
        <v>235</v>
      </c>
      <c r="E21" s="810">
        <v>83990</v>
      </c>
      <c r="F21" s="2213" t="s">
        <v>606</v>
      </c>
      <c r="G21" s="2216">
        <v>1.5</v>
      </c>
      <c r="H21" s="268"/>
      <c r="I21" s="268"/>
      <c r="J21" s="1677"/>
      <c r="K21" s="1891">
        <f>10049624+414338+78038</f>
        <v>10542000</v>
      </c>
      <c r="L21" s="281"/>
      <c r="M21" s="1677"/>
      <c r="N21" s="1879">
        <f t="shared" si="0"/>
        <v>10542000</v>
      </c>
      <c r="O21"/>
      <c r="P21" s="517"/>
      <c r="Q21" s="2064"/>
    </row>
    <row r="22" spans="1:30" ht="39" customHeight="1" thickBot="1">
      <c r="A22" s="1246">
        <v>148</v>
      </c>
      <c r="B22" s="1441"/>
      <c r="C22" s="370" t="s">
        <v>239</v>
      </c>
      <c r="D22" s="661"/>
      <c r="E22" s="661"/>
      <c r="F22" s="661" t="s">
        <v>209</v>
      </c>
      <c r="G22" s="661">
        <v>1</v>
      </c>
      <c r="H22" s="661"/>
      <c r="I22" s="661"/>
      <c r="J22" s="1897"/>
      <c r="K22" s="1892">
        <f>+K23+K27</f>
        <v>108794262.88113163</v>
      </c>
      <c r="L22" s="898"/>
      <c r="M22" s="724"/>
      <c r="N22" s="1880">
        <f>+N23+N27</f>
        <v>108794262.88113163</v>
      </c>
      <c r="Z22" s="335"/>
      <c r="AA22" s="335"/>
    </row>
    <row r="23" spans="1:30" s="1" customFormat="1" ht="38.25">
      <c r="A23" s="1246"/>
      <c r="B23" s="1441" t="s">
        <v>1086</v>
      </c>
      <c r="C23" s="800" t="s">
        <v>307</v>
      </c>
      <c r="D23" s="629"/>
      <c r="E23" s="629"/>
      <c r="F23" s="629" t="s">
        <v>209</v>
      </c>
      <c r="G23" s="629">
        <v>1</v>
      </c>
      <c r="H23" s="629"/>
      <c r="I23" s="629"/>
      <c r="J23" s="1896"/>
      <c r="K23" s="1882">
        <f>SUM(K24:K25)</f>
        <v>10000000</v>
      </c>
      <c r="L23" s="722">
        <f>SUM(L24:L25)</f>
        <v>0</v>
      </c>
      <c r="M23" s="723">
        <f>SUM(M24:M25)</f>
        <v>0</v>
      </c>
      <c r="N23" s="1881">
        <f>SUM(N24:N25)</f>
        <v>10000000</v>
      </c>
      <c r="Y23"/>
      <c r="Z23"/>
      <c r="AA23" s="335"/>
      <c r="AB23" s="335"/>
      <c r="AC23"/>
      <c r="AD23"/>
    </row>
    <row r="24" spans="1:30" s="812" customFormat="1" ht="21.75" customHeight="1">
      <c r="B24" s="1423"/>
      <c r="C24" s="565" t="s">
        <v>445</v>
      </c>
      <c r="D24" s="27" t="s">
        <v>568</v>
      </c>
      <c r="E24" s="27">
        <v>65119</v>
      </c>
      <c r="F24" s="811"/>
      <c r="G24" s="811"/>
      <c r="H24" s="811"/>
      <c r="I24" s="811"/>
      <c r="J24" s="1898"/>
      <c r="K24" s="1893">
        <v>7000000</v>
      </c>
      <c r="L24" s="778"/>
      <c r="M24" s="514"/>
      <c r="N24" s="1879">
        <f>SUM(K24:M24)</f>
        <v>7000000</v>
      </c>
      <c r="O24" s="1479"/>
      <c r="Q24" s="517"/>
      <c r="S24" s="1479"/>
      <c r="Y24" s="813"/>
      <c r="Z24" s="813"/>
      <c r="AA24" s="886"/>
      <c r="AB24" s="886"/>
      <c r="AC24" s="813"/>
      <c r="AD24" s="813"/>
    </row>
    <row r="25" spans="1:30" s="812" customFormat="1" ht="21.75" customHeight="1">
      <c r="B25" s="1423"/>
      <c r="C25" s="565" t="s">
        <v>1107</v>
      </c>
      <c r="D25" s="27" t="s">
        <v>568</v>
      </c>
      <c r="E25" s="27">
        <v>63399</v>
      </c>
      <c r="F25" s="811"/>
      <c r="G25" s="811"/>
      <c r="H25" s="811"/>
      <c r="I25" s="811"/>
      <c r="J25" s="1898"/>
      <c r="K25" s="1893">
        <v>3000000</v>
      </c>
      <c r="L25" s="778"/>
      <c r="M25" s="514"/>
      <c r="N25" s="1879">
        <f>SUM(K25:M25)</f>
        <v>3000000</v>
      </c>
      <c r="R25" s="809"/>
      <c r="Y25" s="813"/>
      <c r="Z25" s="813"/>
      <c r="AA25" s="886"/>
      <c r="AB25" s="886"/>
      <c r="AC25" s="813"/>
      <c r="AD25" s="813"/>
    </row>
    <row r="26" spans="1:30" s="812" customFormat="1">
      <c r="A26" s="1246"/>
      <c r="B26" s="1441" t="s">
        <v>1087</v>
      </c>
      <c r="C26" s="627" t="s">
        <v>659</v>
      </c>
      <c r="D26" s="629"/>
      <c r="E26" s="629"/>
      <c r="F26" s="629"/>
      <c r="G26" s="629"/>
      <c r="H26" s="629"/>
      <c r="I26" s="629"/>
      <c r="J26" s="1896"/>
      <c r="K26" s="1882">
        <f>+K27</f>
        <v>98794262.881131634</v>
      </c>
      <c r="L26" s="722">
        <f>+L27</f>
        <v>0</v>
      </c>
      <c r="M26" s="723">
        <f>+M27</f>
        <v>0</v>
      </c>
      <c r="N26" s="1887">
        <f>+N27</f>
        <v>98794262.881131634</v>
      </c>
      <c r="Q26" s="1479"/>
      <c r="S26" s="2224"/>
      <c r="Y26" s="813"/>
      <c r="Z26" s="813"/>
      <c r="AA26" s="886"/>
      <c r="AB26" s="886"/>
      <c r="AC26" s="813"/>
      <c r="AD26" s="813"/>
    </row>
    <row r="27" spans="1:30" ht="15.75" thickBot="1">
      <c r="C27" s="172" t="s">
        <v>227</v>
      </c>
      <c r="D27" s="173" t="s">
        <v>603</v>
      </c>
      <c r="E27" s="173"/>
      <c r="F27" s="177" t="s">
        <v>209</v>
      </c>
      <c r="G27" s="177">
        <v>1</v>
      </c>
      <c r="H27" s="177"/>
      <c r="I27" s="177"/>
      <c r="J27" s="1899"/>
      <c r="K27" s="1894">
        <v>98794262.881131634</v>
      </c>
      <c r="L27" s="899"/>
      <c r="M27" s="1886"/>
      <c r="N27" s="1883">
        <f>+SUM(K27:M27)</f>
        <v>98794262.881131634</v>
      </c>
      <c r="AA27" s="335"/>
      <c r="AB27" s="335"/>
    </row>
    <row r="28" spans="1:30" ht="15.75" thickBot="1">
      <c r="C28" s="2609" t="s">
        <v>10</v>
      </c>
      <c r="D28" s="2610"/>
      <c r="E28" s="2610"/>
      <c r="F28" s="2610"/>
      <c r="G28" s="2610"/>
      <c r="H28" s="2610"/>
      <c r="I28" s="2610"/>
      <c r="J28" s="2611"/>
      <c r="K28" s="1889">
        <f>+K22+K10</f>
        <v>374219600.55593163</v>
      </c>
      <c r="L28" s="762">
        <f>+L22+L10</f>
        <v>0</v>
      </c>
      <c r="M28" s="762">
        <f>+M22+M10</f>
        <v>50000000</v>
      </c>
      <c r="N28" s="754">
        <f>+N22+N10</f>
        <v>424219600.55593163</v>
      </c>
      <c r="Z28" s="884"/>
      <c r="AA28" s="883"/>
      <c r="AB28" s="335"/>
    </row>
    <row r="29" spans="1:30" ht="15.75" thickBot="1">
      <c r="F29" s="335"/>
      <c r="I29" s="335"/>
      <c r="J29" s="335"/>
      <c r="K29" s="335"/>
      <c r="L29" s="362"/>
      <c r="M29" s="362"/>
      <c r="N29" s="59"/>
      <c r="Q29" s="2064"/>
      <c r="AA29" s="335"/>
      <c r="AB29" s="335"/>
    </row>
    <row r="30" spans="1:30" ht="15.75" thickBot="1">
      <c r="F30" s="362"/>
      <c r="G30" s="362"/>
      <c r="H30" s="362"/>
      <c r="I30" s="362"/>
      <c r="J30" s="362"/>
      <c r="K30" s="777">
        <v>374219601</v>
      </c>
      <c r="L30" s="900"/>
      <c r="M30" s="900">
        <v>50000000</v>
      </c>
      <c r="N30" s="902">
        <v>424219601</v>
      </c>
      <c r="AA30" s="362"/>
      <c r="AB30" s="362"/>
    </row>
    <row r="31" spans="1:30">
      <c r="F31" s="335"/>
      <c r="I31" s="335"/>
      <c r="J31" s="335"/>
      <c r="K31" s="335"/>
      <c r="L31" s="362"/>
      <c r="M31" s="362"/>
      <c r="AA31" s="882"/>
      <c r="AB31" s="335"/>
    </row>
    <row r="32" spans="1:30">
      <c r="K32" s="501">
        <f>+K30-K28</f>
        <v>0.44406837224960327</v>
      </c>
      <c r="L32" s="501">
        <f>+L30-L28</f>
        <v>0</v>
      </c>
      <c r="M32" s="501">
        <f>+M30-M28</f>
        <v>0</v>
      </c>
      <c r="N32" s="501">
        <f>+N30-N28</f>
        <v>0.44406837224960327</v>
      </c>
      <c r="Q32" s="1480"/>
      <c r="AA32" s="335"/>
      <c r="AB32" s="335"/>
    </row>
    <row r="33" spans="4:28">
      <c r="AA33" s="885"/>
      <c r="AB33" s="335"/>
    </row>
    <row r="34" spans="4:28">
      <c r="H34" s="882"/>
      <c r="I34" s="1480"/>
      <c r="AA34" s="335"/>
      <c r="AB34" s="335"/>
    </row>
    <row r="35" spans="4:28">
      <c r="L35" s="59"/>
      <c r="AA35" s="882"/>
      <c r="AB35" s="335"/>
    </row>
    <row r="36" spans="4:28">
      <c r="J36" s="59"/>
      <c r="AA36" s="335"/>
      <c r="AB36" s="335"/>
    </row>
    <row r="37" spans="4:28">
      <c r="AA37" s="335"/>
      <c r="AB37" s="335"/>
    </row>
    <row r="38" spans="4:28">
      <c r="D38" s="881"/>
      <c r="AA38" s="335"/>
      <c r="AB38" s="335"/>
    </row>
    <row r="39" spans="4:28">
      <c r="AA39" s="335"/>
      <c r="AB39" s="335"/>
    </row>
    <row r="40" spans="4:28">
      <c r="AA40" s="335"/>
      <c r="AB40" s="335"/>
    </row>
    <row r="41" spans="4:28">
      <c r="O41" s="59"/>
      <c r="AA41" s="335"/>
      <c r="AB41" s="335"/>
    </row>
  </sheetData>
  <mergeCells count="24">
    <mergeCell ref="A7:A9"/>
    <mergeCell ref="B7:B9"/>
    <mergeCell ref="C1:C3"/>
    <mergeCell ref="D1:L3"/>
    <mergeCell ref="M1:N1"/>
    <mergeCell ref="M2:N2"/>
    <mergeCell ref="M3:N3"/>
    <mergeCell ref="K7:M7"/>
    <mergeCell ref="C5:N5"/>
    <mergeCell ref="C6:N6"/>
    <mergeCell ref="C28:J28"/>
    <mergeCell ref="N7:N9"/>
    <mergeCell ref="K8:K9"/>
    <mergeCell ref="L8:L9"/>
    <mergeCell ref="M8:M9"/>
    <mergeCell ref="C7:C9"/>
    <mergeCell ref="D7:D9"/>
    <mergeCell ref="E7:E9"/>
    <mergeCell ref="F7:F9"/>
    <mergeCell ref="G7:G9"/>
    <mergeCell ref="I7:I9"/>
    <mergeCell ref="J7:J9"/>
    <mergeCell ref="H7:H9"/>
    <mergeCell ref="C19:C20"/>
  </mergeCells>
  <pageMargins left="0.7" right="0.7" top="0.75" bottom="0.75" header="0.3" footer="0.3"/>
  <pageSetup orientation="portrait" verticalDpi="597"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0">
    <tabColor theme="7" tint="0.59999389629810485"/>
  </sheetPr>
  <dimension ref="A1:I25"/>
  <sheetViews>
    <sheetView workbookViewId="0"/>
  </sheetViews>
  <sheetFormatPr baseColWidth="10" defaultRowHeight="15"/>
  <cols>
    <col min="2" max="2" width="52.7109375" customWidth="1"/>
    <col min="3" max="4" width="11.42578125" customWidth="1"/>
    <col min="5" max="5" width="17" customWidth="1"/>
    <col min="6" max="6" width="20.42578125" customWidth="1"/>
    <col min="7" max="7" width="18.85546875" customWidth="1"/>
    <col min="8" max="8" width="16.140625" customWidth="1"/>
    <col min="9" max="9" width="14.140625" customWidth="1"/>
  </cols>
  <sheetData>
    <row r="1" spans="1:9" ht="15" customHeight="1">
      <c r="B1" s="2597"/>
      <c r="C1" s="2430" t="s">
        <v>663</v>
      </c>
      <c r="D1" s="2431"/>
      <c r="E1" s="2431"/>
      <c r="F1" s="2431"/>
      <c r="G1" s="2432"/>
      <c r="H1" s="2495" t="s">
        <v>539</v>
      </c>
      <c r="I1" s="2496"/>
    </row>
    <row r="2" spans="1:9">
      <c r="B2" s="2598"/>
      <c r="C2" s="2433"/>
      <c r="D2" s="2434"/>
      <c r="E2" s="2434"/>
      <c r="F2" s="2434"/>
      <c r="G2" s="2435"/>
      <c r="H2" s="2497" t="s">
        <v>540</v>
      </c>
      <c r="I2" s="2498"/>
    </row>
    <row r="3" spans="1:9" ht="15.75" customHeight="1" thickBot="1">
      <c r="B3" s="2599"/>
      <c r="C3" s="2436"/>
      <c r="D3" s="2437"/>
      <c r="E3" s="2437"/>
      <c r="F3" s="2437"/>
      <c r="G3" s="2438"/>
      <c r="H3" s="2499" t="s">
        <v>541</v>
      </c>
      <c r="I3" s="2500"/>
    </row>
    <row r="4" spans="1:9" ht="15.75" thickBot="1">
      <c r="B4" s="1"/>
      <c r="C4" s="1"/>
      <c r="D4" s="1"/>
      <c r="E4" s="1"/>
      <c r="F4" s="1"/>
      <c r="G4" s="1"/>
    </row>
    <row r="5" spans="1:9" ht="15.75" thickBot="1">
      <c r="B5" s="2528" t="s">
        <v>188</v>
      </c>
      <c r="C5" s="2529"/>
      <c r="D5" s="2529"/>
      <c r="E5" s="2529"/>
      <c r="F5" s="2529"/>
      <c r="G5" s="2529"/>
      <c r="H5" s="2529"/>
      <c r="I5" s="2530"/>
    </row>
    <row r="6" spans="1:9" ht="15.75" thickBot="1">
      <c r="B6" s="2585" t="s">
        <v>189</v>
      </c>
      <c r="C6" s="2586"/>
      <c r="D6" s="2586"/>
      <c r="E6" s="2586"/>
      <c r="F6" s="2586"/>
      <c r="G6" s="2586"/>
      <c r="H6" s="2586"/>
      <c r="I6" s="2586"/>
    </row>
    <row r="7" spans="1:9" ht="15.75" customHeight="1" thickBot="1">
      <c r="A7" s="2468" t="s">
        <v>383</v>
      </c>
      <c r="B7" s="2493" t="s">
        <v>197</v>
      </c>
      <c r="C7" s="2397">
        <v>2023</v>
      </c>
      <c r="D7" s="2397"/>
      <c r="E7" s="2397"/>
      <c r="F7" s="2397"/>
      <c r="G7" s="2397"/>
      <c r="H7" s="1575" t="s">
        <v>1234</v>
      </c>
      <c r="I7" s="2531" t="s">
        <v>453</v>
      </c>
    </row>
    <row r="8" spans="1:9" ht="15.75" customHeight="1" thickBot="1">
      <c r="A8" s="2469"/>
      <c r="B8" s="2493"/>
      <c r="C8" s="2397" t="s">
        <v>437</v>
      </c>
      <c r="D8" s="2397" t="s">
        <v>200</v>
      </c>
      <c r="E8" s="2397" t="s">
        <v>248</v>
      </c>
      <c r="F8" s="2397"/>
      <c r="G8" s="2397" t="s">
        <v>228</v>
      </c>
      <c r="H8" s="2397" t="s">
        <v>231</v>
      </c>
      <c r="I8" s="2531"/>
    </row>
    <row r="9" spans="1:9" ht="15.75" thickBot="1">
      <c r="A9" s="2470"/>
      <c r="B9" s="2493"/>
      <c r="C9" s="2397"/>
      <c r="D9" s="2397"/>
      <c r="E9" s="640" t="s">
        <v>201</v>
      </c>
      <c r="F9" s="640" t="s">
        <v>203</v>
      </c>
      <c r="G9" s="2397"/>
      <c r="H9" s="2397"/>
      <c r="I9" s="2531"/>
    </row>
    <row r="10" spans="1:9" ht="26.25" thickBot="1">
      <c r="A10" s="359">
        <v>3205017</v>
      </c>
      <c r="B10" s="477" t="s">
        <v>308</v>
      </c>
      <c r="C10" s="478" t="s">
        <v>214</v>
      </c>
      <c r="D10" s="478">
        <v>100</v>
      </c>
      <c r="E10" s="479">
        <f>+E11+E12+E13+E14</f>
        <v>390516563.65200007</v>
      </c>
      <c r="F10" s="479">
        <f>SUM(F11:F15)</f>
        <v>302594890.84724271</v>
      </c>
      <c r="G10" s="480">
        <f>+'ACCIONES 320502'!K10</f>
        <v>693111454.49924278</v>
      </c>
      <c r="H10" s="479">
        <f t="shared" ref="H10:I10" si="0">SUM(H11:H15)</f>
        <v>31045896.936000001</v>
      </c>
      <c r="I10" s="480">
        <f t="shared" si="0"/>
        <v>724157351.43524265</v>
      </c>
    </row>
    <row r="11" spans="1:9" ht="25.5">
      <c r="B11" s="467" t="s">
        <v>309</v>
      </c>
      <c r="C11" s="434" t="s">
        <v>210</v>
      </c>
      <c r="D11" s="468">
        <v>1</v>
      </c>
      <c r="E11" s="469">
        <f>+'ACCIONES 320502'!I11</f>
        <v>265101845.65200001</v>
      </c>
      <c r="F11" s="469">
        <f>+'ACCIONES 320502'!J11</f>
        <v>0</v>
      </c>
      <c r="G11" s="470">
        <f>+'ACCIONES 320502'!K11</f>
        <v>265101845.65200001</v>
      </c>
      <c r="H11" s="469">
        <f>+'ACCIONES 320502'!L11</f>
        <v>0</v>
      </c>
      <c r="I11" s="470">
        <f>+H11+G11</f>
        <v>265101845.65200001</v>
      </c>
    </row>
    <row r="12" spans="1:9" ht="76.5">
      <c r="B12" s="54" t="s">
        <v>310</v>
      </c>
      <c r="C12" s="27" t="s">
        <v>210</v>
      </c>
      <c r="D12" s="27">
        <v>37</v>
      </c>
      <c r="E12" s="55">
        <f>+'ACCIONES 320502'!I13</f>
        <v>125414718.00000003</v>
      </c>
      <c r="F12" s="55">
        <f>+'ACCIONES 320502'!J13</f>
        <v>250630382.1088427</v>
      </c>
      <c r="G12" s="65">
        <f>+'ACCIONES 320502'!K13</f>
        <v>376045100.10884273</v>
      </c>
      <c r="H12" s="55">
        <f>+'ACCIONES 320502'!L13</f>
        <v>31045896.936000001</v>
      </c>
      <c r="I12" s="470">
        <f t="shared" ref="I12:I20" si="1">+H12+G12</f>
        <v>407090997.04484272</v>
      </c>
    </row>
    <row r="13" spans="1:9" ht="25.5">
      <c r="B13" s="54" t="s">
        <v>311</v>
      </c>
      <c r="C13" s="27" t="s">
        <v>210</v>
      </c>
      <c r="D13" s="27">
        <v>1</v>
      </c>
      <c r="E13" s="55">
        <f>+'ACCIONES 320502'!I32</f>
        <v>0</v>
      </c>
      <c r="F13" s="55">
        <f>+'ACCIONES 320502'!J32</f>
        <v>0</v>
      </c>
      <c r="G13" s="65">
        <f>+'ACCIONES 320502'!K32</f>
        <v>0</v>
      </c>
      <c r="H13" s="55">
        <f>+'ACCIONES 320502'!L32</f>
        <v>0</v>
      </c>
      <c r="I13" s="470">
        <f t="shared" si="1"/>
        <v>0</v>
      </c>
    </row>
    <row r="14" spans="1:9" ht="25.5">
      <c r="B14" s="54" t="s">
        <v>312</v>
      </c>
      <c r="C14" s="27" t="s">
        <v>210</v>
      </c>
      <c r="D14" s="27">
        <v>1</v>
      </c>
      <c r="E14" s="55">
        <f>+'ACCIONES 320502'!I34</f>
        <v>0</v>
      </c>
      <c r="F14" s="55">
        <f>+'ACCIONES 320502'!J34</f>
        <v>12239964.315999929</v>
      </c>
      <c r="G14" s="65">
        <f>+'ACCIONES 320502'!K34</f>
        <v>12239964.315999929</v>
      </c>
      <c r="H14" s="55">
        <f>+'ACCIONES 320502'!L34</f>
        <v>0</v>
      </c>
      <c r="I14" s="470">
        <f t="shared" si="1"/>
        <v>12239964.315999929</v>
      </c>
    </row>
    <row r="15" spans="1:9" ht="15.75" thickBot="1">
      <c r="B15" s="472" t="s">
        <v>313</v>
      </c>
      <c r="C15" s="426" t="s">
        <v>210</v>
      </c>
      <c r="D15" s="19"/>
      <c r="E15" s="19">
        <f>+'ACCIONES 320502'!I37</f>
        <v>0</v>
      </c>
      <c r="F15" s="473">
        <f>+'ACCIONES 320502'!J37</f>
        <v>39724544.422400057</v>
      </c>
      <c r="G15" s="515">
        <f>+'ACCIONES 320502'!K37</f>
        <v>39724544.422400057</v>
      </c>
      <c r="H15" s="473">
        <f>+'ACCIONES 320502'!L37</f>
        <v>0</v>
      </c>
      <c r="I15" s="470">
        <f t="shared" si="1"/>
        <v>39724544.422400057</v>
      </c>
    </row>
    <row r="16" spans="1:9" ht="15.75" thickBot="1">
      <c r="A16" s="359">
        <v>3205020</v>
      </c>
      <c r="B16" s="471" t="s">
        <v>314</v>
      </c>
      <c r="C16" s="411" t="s">
        <v>214</v>
      </c>
      <c r="D16" s="411">
        <v>100</v>
      </c>
      <c r="E16" s="475">
        <f>+E17+E18</f>
        <v>2431080471.348</v>
      </c>
      <c r="F16" s="475">
        <f>SUM(F17:F20)</f>
        <v>57181352.08075732</v>
      </c>
      <c r="G16" s="476">
        <f>+'ACCIONES 320502'!K39</f>
        <v>2488261823.4287572</v>
      </c>
      <c r="H16" s="475">
        <f t="shared" ref="H16:I16" si="2">SUM(H17:H20)</f>
        <v>75000000</v>
      </c>
      <c r="I16" s="476">
        <f t="shared" si="2"/>
        <v>2563261823.4287572</v>
      </c>
    </row>
    <row r="17" spans="2:9" ht="25.5">
      <c r="B17" s="467" t="s">
        <v>315</v>
      </c>
      <c r="C17" s="22" t="s">
        <v>210</v>
      </c>
      <c r="D17" s="122">
        <v>2</v>
      </c>
      <c r="E17" s="474">
        <f>+'ACCIONES 320502'!I40</f>
        <v>2241519334.348</v>
      </c>
      <c r="F17" s="122">
        <f>+'ACCIONES 320502'!J40</f>
        <v>0</v>
      </c>
      <c r="G17" s="470">
        <f>+'ACCIONES 320502'!K40</f>
        <v>2241519334.348</v>
      </c>
      <c r="H17" s="122">
        <f>+'ACCIONES 320502'!L40</f>
        <v>0</v>
      </c>
      <c r="I17" s="470">
        <f t="shared" si="1"/>
        <v>2241519334.348</v>
      </c>
    </row>
    <row r="18" spans="2:9" ht="51">
      <c r="B18" s="53" t="s">
        <v>316</v>
      </c>
      <c r="C18" s="8" t="s">
        <v>209</v>
      </c>
      <c r="D18" s="8">
        <v>1</v>
      </c>
      <c r="E18" s="8">
        <f>+'ACCIONES 320502'!I42</f>
        <v>189561137</v>
      </c>
      <c r="F18" s="50">
        <f>+'ACCIONES 320502'!J42</f>
        <v>35432738.684000015</v>
      </c>
      <c r="G18" s="65">
        <f>+'ACCIONES 320502'!K42</f>
        <v>224993875.68400002</v>
      </c>
      <c r="H18" s="50">
        <f>+'ACCIONES 320502'!L42</f>
        <v>75000000</v>
      </c>
      <c r="I18" s="470">
        <f t="shared" si="1"/>
        <v>299993875.68400002</v>
      </c>
    </row>
    <row r="19" spans="2:9">
      <c r="B19" s="53" t="s">
        <v>313</v>
      </c>
      <c r="C19" s="8"/>
      <c r="D19" s="8"/>
      <c r="E19" s="8">
        <f>+'ACCIONES 320502'!I44</f>
        <v>0</v>
      </c>
      <c r="F19" s="287">
        <f>+'ACCIONES 320502'!J44</f>
        <v>21748613.396757305</v>
      </c>
      <c r="G19" s="65">
        <f>+'ACCIONES 320502'!K44</f>
        <v>21748613.396757305</v>
      </c>
      <c r="H19" s="287">
        <f>+'ACCIONES 320502'!L44</f>
        <v>0</v>
      </c>
      <c r="I19" s="470">
        <f t="shared" si="1"/>
        <v>21748613.396757305</v>
      </c>
    </row>
    <row r="20" spans="2:9" ht="15.75" thickBot="1">
      <c r="B20" s="195"/>
      <c r="C20" s="191"/>
      <c r="D20" s="191"/>
      <c r="E20" s="191"/>
      <c r="F20" s="196"/>
      <c r="G20" s="197"/>
      <c r="H20" s="196"/>
      <c r="I20" s="470">
        <f t="shared" si="1"/>
        <v>0</v>
      </c>
    </row>
    <row r="21" spans="2:9" ht="15.75" thickBot="1">
      <c r="B21" s="2398" t="s">
        <v>10</v>
      </c>
      <c r="C21" s="2399"/>
      <c r="D21" s="2614"/>
      <c r="E21" s="763">
        <f>+E16+E10</f>
        <v>2821597035</v>
      </c>
      <c r="F21" s="763">
        <f>+F16+F10</f>
        <v>359776242.92800003</v>
      </c>
      <c r="G21" s="764">
        <f>+G16+G10</f>
        <v>3181373277.928</v>
      </c>
      <c r="H21" s="763">
        <f t="shared" ref="H21:I21" si="3">+H16+H10</f>
        <v>106045896.936</v>
      </c>
      <c r="I21" s="764">
        <f t="shared" si="3"/>
        <v>3287419174.8639998</v>
      </c>
    </row>
    <row r="22" spans="2:9" ht="15.75" thickBot="1"/>
    <row r="23" spans="2:9" ht="15.75" thickBot="1">
      <c r="E23" s="561">
        <f>3100000000-259078323-208885779+189561137</f>
        <v>2821597035</v>
      </c>
      <c r="F23" s="561">
        <f>346365663+13410580</f>
        <v>359776243</v>
      </c>
      <c r="G23" s="561">
        <f>3446365663-259078323-208885779+202971717</f>
        <v>3181373278</v>
      </c>
      <c r="H23" s="561">
        <v>106045896.832</v>
      </c>
      <c r="I23" s="561">
        <f>3552411559.832-259078323-208885779+202971717</f>
        <v>3287419174.8319998</v>
      </c>
    </row>
    <row r="25" spans="2:9">
      <c r="E25" s="29">
        <f>+E23-E21</f>
        <v>0</v>
      </c>
      <c r="F25" s="29">
        <f>+F23-F21</f>
        <v>7.1999967098236084E-2</v>
      </c>
      <c r="G25" s="29">
        <f>+G23-G21</f>
        <v>7.2000026702880859E-2</v>
      </c>
      <c r="H25" s="29">
        <f t="shared" ref="H25:I25" si="4">+H23-H21</f>
        <v>-0.10400000214576721</v>
      </c>
      <c r="I25" s="29">
        <f t="shared" si="4"/>
        <v>-3.2000064849853516E-2</v>
      </c>
    </row>
  </sheetData>
  <mergeCells count="17">
    <mergeCell ref="I7:I9"/>
    <mergeCell ref="H8:H9"/>
    <mergeCell ref="C1:G3"/>
    <mergeCell ref="B5:I5"/>
    <mergeCell ref="B6:I6"/>
    <mergeCell ref="B1:B3"/>
    <mergeCell ref="H1:I1"/>
    <mergeCell ref="H2:I2"/>
    <mergeCell ref="H3:I3"/>
    <mergeCell ref="A7:A9"/>
    <mergeCell ref="B21:D21"/>
    <mergeCell ref="B7:B9"/>
    <mergeCell ref="C7:G7"/>
    <mergeCell ref="E8:F8"/>
    <mergeCell ref="C8:C9"/>
    <mergeCell ref="D8:D9"/>
    <mergeCell ref="G8:G9"/>
  </mergeCells>
  <pageMargins left="0.7" right="0.7" top="0.75" bottom="0.75" header="0.3" footer="0.3"/>
  <pageSetup orientation="portrait" verticalDpi="597"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tabColor theme="7" tint="0.59999389629810485"/>
  </sheetPr>
  <dimension ref="A1:Z54"/>
  <sheetViews>
    <sheetView topLeftCell="A37" workbookViewId="0">
      <selection activeCell="I47" sqref="I47"/>
    </sheetView>
  </sheetViews>
  <sheetFormatPr baseColWidth="10" defaultRowHeight="15"/>
  <cols>
    <col min="1" max="1" width="4.28515625" customWidth="1"/>
    <col min="2" max="2" width="4.85546875" customWidth="1"/>
    <col min="3" max="3" width="45.7109375" customWidth="1"/>
    <col min="4" max="4" width="24.28515625" customWidth="1"/>
    <col min="5" max="5" width="6.5703125" customWidth="1"/>
    <col min="6" max="8" width="6.5703125" style="181" customWidth="1"/>
    <col min="9" max="9" width="16.140625" style="181" customWidth="1"/>
    <col min="10" max="10" width="15.42578125" style="181" customWidth="1"/>
    <col min="11" max="11" width="18.5703125" style="179" customWidth="1"/>
    <col min="12" max="12" width="16.7109375" customWidth="1"/>
    <col min="13" max="13" width="15.28515625" bestFit="1" customWidth="1"/>
    <col min="15" max="15" width="18.28515625" bestFit="1" customWidth="1"/>
    <col min="16" max="16" width="16.85546875" bestFit="1" customWidth="1"/>
    <col min="20" max="20" width="16.5703125" customWidth="1"/>
    <col min="21" max="21" width="18.42578125" bestFit="1" customWidth="1"/>
  </cols>
  <sheetData>
    <row r="1" spans="1:14" ht="15" customHeight="1">
      <c r="C1" s="2597"/>
      <c r="D1" s="2430" t="s">
        <v>663</v>
      </c>
      <c r="E1" s="2431"/>
      <c r="F1" s="2431"/>
      <c r="G1" s="2431"/>
      <c r="H1" s="2431"/>
      <c r="I1" s="2431"/>
      <c r="J1" s="2431"/>
      <c r="K1" s="2432"/>
      <c r="L1" s="2495" t="s">
        <v>539</v>
      </c>
      <c r="M1" s="2496"/>
    </row>
    <row r="2" spans="1:14">
      <c r="C2" s="2598"/>
      <c r="D2" s="2433"/>
      <c r="E2" s="2434"/>
      <c r="F2" s="2434"/>
      <c r="G2" s="2434"/>
      <c r="H2" s="2434"/>
      <c r="I2" s="2434"/>
      <c r="J2" s="2434"/>
      <c r="K2" s="2435"/>
      <c r="L2" s="2497" t="s">
        <v>540</v>
      </c>
      <c r="M2" s="2498"/>
    </row>
    <row r="3" spans="1:14" ht="15.75" customHeight="1" thickBot="1">
      <c r="C3" s="2599"/>
      <c r="D3" s="2436"/>
      <c r="E3" s="2437"/>
      <c r="F3" s="2437"/>
      <c r="G3" s="2437"/>
      <c r="H3" s="2437"/>
      <c r="I3" s="2437"/>
      <c r="J3" s="2437"/>
      <c r="K3" s="2438"/>
      <c r="L3" s="2499" t="s">
        <v>541</v>
      </c>
      <c r="M3" s="2500"/>
    </row>
    <row r="4" spans="1:14" s="1" customFormat="1" ht="13.5" thickBot="1"/>
    <row r="5" spans="1:14" s="1" customFormat="1" ht="15" customHeight="1" thickBot="1">
      <c r="C5" s="2528" t="s">
        <v>188</v>
      </c>
      <c r="D5" s="2529"/>
      <c r="E5" s="2529"/>
      <c r="F5" s="2529"/>
      <c r="G5" s="2529"/>
      <c r="H5" s="2529"/>
      <c r="I5" s="2529"/>
      <c r="J5" s="2529"/>
      <c r="K5" s="2529"/>
      <c r="L5" s="2529"/>
      <c r="M5" s="2530"/>
    </row>
    <row r="6" spans="1:14" ht="15.75" thickBot="1">
      <c r="C6" s="2402" t="s">
        <v>189</v>
      </c>
      <c r="D6" s="2403"/>
      <c r="E6" s="2403"/>
      <c r="F6" s="2403"/>
      <c r="G6" s="2403"/>
      <c r="H6" s="2403"/>
      <c r="I6" s="2403"/>
      <c r="J6" s="2403"/>
      <c r="K6" s="2403"/>
      <c r="L6" s="2403"/>
      <c r="M6" s="2404"/>
    </row>
    <row r="7" spans="1:14" ht="15.75" customHeight="1" thickBot="1">
      <c r="A7" s="2466" t="s">
        <v>543</v>
      </c>
      <c r="B7" s="2474" t="s">
        <v>544</v>
      </c>
      <c r="C7" s="2397" t="s">
        <v>435</v>
      </c>
      <c r="D7" s="2397" t="s">
        <v>436</v>
      </c>
      <c r="E7" s="2414" t="s">
        <v>498</v>
      </c>
      <c r="F7" s="2397" t="s">
        <v>437</v>
      </c>
      <c r="G7" s="2397" t="s">
        <v>200</v>
      </c>
      <c r="H7" s="2489" t="s">
        <v>664</v>
      </c>
      <c r="I7" s="2397" t="s">
        <v>198</v>
      </c>
      <c r="J7" s="2397"/>
      <c r="K7" s="2531" t="s">
        <v>341</v>
      </c>
      <c r="L7" s="1575" t="s">
        <v>1234</v>
      </c>
      <c r="M7" s="2531" t="s">
        <v>453</v>
      </c>
    </row>
    <row r="8" spans="1:14" ht="13.5" customHeight="1" thickBot="1">
      <c r="A8" s="2466"/>
      <c r="B8" s="2474"/>
      <c r="C8" s="2397"/>
      <c r="D8" s="2397"/>
      <c r="E8" s="2414"/>
      <c r="F8" s="2397"/>
      <c r="G8" s="2397"/>
      <c r="H8" s="2423"/>
      <c r="I8" s="2397" t="s">
        <v>201</v>
      </c>
      <c r="J8" s="2397" t="s">
        <v>231</v>
      </c>
      <c r="K8" s="2531"/>
      <c r="L8" s="2397" t="s">
        <v>231</v>
      </c>
      <c r="M8" s="2531"/>
    </row>
    <row r="9" spans="1:14" ht="21.75" customHeight="1" thickBot="1">
      <c r="A9" s="2467"/>
      <c r="B9" s="2475"/>
      <c r="C9" s="2489"/>
      <c r="D9" s="2489"/>
      <c r="E9" s="2522"/>
      <c r="F9" s="2489"/>
      <c r="G9" s="2489"/>
      <c r="H9" s="2401"/>
      <c r="I9" s="2489"/>
      <c r="J9" s="2489"/>
      <c r="K9" s="2532"/>
      <c r="L9" s="2489"/>
      <c r="M9" s="2532"/>
    </row>
    <row r="10" spans="1:14" ht="31.5" customHeight="1" thickBot="1">
      <c r="A10" s="171">
        <v>149</v>
      </c>
      <c r="B10" s="1442"/>
      <c r="C10" s="471" t="s">
        <v>308</v>
      </c>
      <c r="D10" s="726"/>
      <c r="E10" s="726"/>
      <c r="F10" s="411" t="s">
        <v>214</v>
      </c>
      <c r="G10" s="411">
        <v>100</v>
      </c>
      <c r="H10" s="1204"/>
      <c r="I10" s="727">
        <f>+I11+I13+I32+I34+I37</f>
        <v>390516563.65200007</v>
      </c>
      <c r="J10" s="727">
        <f>+J11+J13+J32+J34+J37</f>
        <v>302594890.84724271</v>
      </c>
      <c r="K10" s="728">
        <f>+K11+K13+K32+K34+K37</f>
        <v>693111454.49924278</v>
      </c>
      <c r="L10" s="1908">
        <f>+L11+L13+L32+L34+L37</f>
        <v>31045896.936000001</v>
      </c>
      <c r="M10" s="1900">
        <f>+L10+K10</f>
        <v>724157351.43524277</v>
      </c>
    </row>
    <row r="11" spans="1:14" ht="28.5" customHeight="1">
      <c r="A11" s="171"/>
      <c r="B11" s="1442" t="s">
        <v>1088</v>
      </c>
      <c r="C11" s="627" t="s">
        <v>309</v>
      </c>
      <c r="D11" s="623"/>
      <c r="E11" s="623"/>
      <c r="F11" s="629" t="s">
        <v>210</v>
      </c>
      <c r="G11" s="629">
        <v>1</v>
      </c>
      <c r="H11" s="702"/>
      <c r="I11" s="700">
        <f>+I12</f>
        <v>265101845.65200001</v>
      </c>
      <c r="J11" s="702">
        <f>+J12</f>
        <v>0</v>
      </c>
      <c r="K11" s="682">
        <f>SUM(K12:K12)</f>
        <v>265101845.65200001</v>
      </c>
      <c r="L11" s="1909">
        <f>+L12</f>
        <v>0</v>
      </c>
      <c r="M11" s="1901">
        <f>SUM(M12:M12)</f>
        <v>265101845.65200001</v>
      </c>
    </row>
    <row r="12" spans="1:14" s="813" customFormat="1" ht="28.5" customHeight="1">
      <c r="B12" s="1433"/>
      <c r="C12" s="565" t="s">
        <v>998</v>
      </c>
      <c r="D12" s="17" t="s">
        <v>235</v>
      </c>
      <c r="E12" s="27" t="s">
        <v>776</v>
      </c>
      <c r="F12" s="811" t="s">
        <v>999</v>
      </c>
      <c r="G12" s="811"/>
      <c r="H12" s="282"/>
      <c r="I12" s="273">
        <v>265101845.65200001</v>
      </c>
      <c r="J12" s="282"/>
      <c r="K12" s="259">
        <f>SUM(I12:J12)</f>
        <v>265101845.65200001</v>
      </c>
      <c r="L12" s="1910"/>
      <c r="M12" s="1902">
        <f>+L12+K12</f>
        <v>265101845.65200001</v>
      </c>
    </row>
    <row r="13" spans="1:14" ht="83.25" customHeight="1">
      <c r="A13" s="171"/>
      <c r="B13" s="1442" t="s">
        <v>1089</v>
      </c>
      <c r="C13" s="250" t="s">
        <v>310</v>
      </c>
      <c r="D13" s="171"/>
      <c r="E13" s="171"/>
      <c r="F13" s="174" t="s">
        <v>210</v>
      </c>
      <c r="G13" s="174">
        <v>37</v>
      </c>
      <c r="H13" s="272"/>
      <c r="I13" s="572">
        <f>SUM(I14:I31)</f>
        <v>125414718.00000003</v>
      </c>
      <c r="J13" s="276">
        <f>SUM(J14:J31)</f>
        <v>250630382.1088427</v>
      </c>
      <c r="K13" s="257">
        <f>SUM(K14:K31)</f>
        <v>376045100.10884273</v>
      </c>
      <c r="L13" s="1068">
        <f>SUM(L14:L31)</f>
        <v>31045896.936000001</v>
      </c>
      <c r="M13" s="1903">
        <f>SUM(M14:M31)</f>
        <v>407090997.04484272</v>
      </c>
    </row>
    <row r="14" spans="1:14" s="1" customFormat="1" ht="38.25">
      <c r="A14"/>
      <c r="B14" s="1434"/>
      <c r="C14" s="565" t="s">
        <v>824</v>
      </c>
      <c r="D14" s="17" t="s">
        <v>235</v>
      </c>
      <c r="E14" s="1996" t="s">
        <v>776</v>
      </c>
      <c r="F14" s="1995"/>
      <c r="G14" s="1995" t="s">
        <v>448</v>
      </c>
      <c r="H14" s="282"/>
      <c r="I14" s="282"/>
      <c r="J14" s="273">
        <v>37555986.38884259</v>
      </c>
      <c r="K14" s="259">
        <f>SUM(I14:J14)</f>
        <v>37555986.38884259</v>
      </c>
      <c r="L14" s="1863"/>
      <c r="M14" s="1902">
        <f t="shared" ref="M14:M36" si="0">+L14+K14</f>
        <v>37555986.38884259</v>
      </c>
    </row>
    <row r="15" spans="1:14" s="1" customFormat="1">
      <c r="A15"/>
      <c r="B15" s="1434"/>
      <c r="C15" s="565" t="s">
        <v>1000</v>
      </c>
      <c r="D15" s="17" t="s">
        <v>235</v>
      </c>
      <c r="E15" s="1996" t="s">
        <v>776</v>
      </c>
      <c r="F15" s="1995"/>
      <c r="G15" s="1995"/>
      <c r="H15" s="282"/>
      <c r="I15" s="282"/>
      <c r="J15" s="273">
        <f>40747747.32-1940376.28000001</f>
        <v>38807371.039999992</v>
      </c>
      <c r="K15" s="259">
        <f t="shared" ref="K15:K31" si="1">SUM(I15:J15)</f>
        <v>38807371.039999992</v>
      </c>
      <c r="L15" s="1863"/>
      <c r="M15" s="1902">
        <f t="shared" si="0"/>
        <v>38807371.039999992</v>
      </c>
    </row>
    <row r="16" spans="1:14" s="1" customFormat="1">
      <c r="A16"/>
      <c r="B16" s="1434"/>
      <c r="C16" s="565" t="s">
        <v>1001</v>
      </c>
      <c r="D16" s="17" t="s">
        <v>235</v>
      </c>
      <c r="E16" s="1996" t="s">
        <v>776</v>
      </c>
      <c r="F16" s="1995"/>
      <c r="G16" s="1995"/>
      <c r="H16" s="282"/>
      <c r="I16" s="282"/>
      <c r="J16" s="273"/>
      <c r="K16" s="259">
        <f t="shared" si="1"/>
        <v>0</v>
      </c>
      <c r="L16" s="1863">
        <f>31045896.832-3880737</f>
        <v>27165159.831999999</v>
      </c>
      <c r="M16" s="1902">
        <f t="shared" si="0"/>
        <v>27165159.831999999</v>
      </c>
      <c r="N16" s="1516"/>
    </row>
    <row r="17" spans="1:26" s="1" customFormat="1" ht="38.25">
      <c r="A17"/>
      <c r="B17" s="1434"/>
      <c r="C17" s="565" t="s">
        <v>960</v>
      </c>
      <c r="D17" s="17" t="s">
        <v>235</v>
      </c>
      <c r="E17" s="1996" t="s">
        <v>776</v>
      </c>
      <c r="F17" s="1995"/>
      <c r="G17" s="1995"/>
      <c r="H17" s="282"/>
      <c r="I17" s="282"/>
      <c r="J17" s="273">
        <v>13883604.205142301</v>
      </c>
      <c r="K17" s="259">
        <f t="shared" si="1"/>
        <v>13883604.205142301</v>
      </c>
      <c r="L17" s="1863"/>
      <c r="M17" s="1902">
        <f t="shared" si="0"/>
        <v>13883604.205142301</v>
      </c>
    </row>
    <row r="18" spans="1:26" s="1" customFormat="1" ht="38.25">
      <c r="A18"/>
      <c r="B18" s="1434"/>
      <c r="C18" s="565" t="s">
        <v>825</v>
      </c>
      <c r="D18" s="17" t="s">
        <v>235</v>
      </c>
      <c r="E18" s="2244" t="s">
        <v>776</v>
      </c>
      <c r="F18" s="2243"/>
      <c r="G18" s="2243"/>
      <c r="H18" s="282"/>
      <c r="I18" s="273"/>
      <c r="J18" s="273">
        <f>20080000+8032000-8708315</f>
        <v>19403685</v>
      </c>
      <c r="K18" s="259">
        <f t="shared" si="1"/>
        <v>19403685</v>
      </c>
      <c r="L18" s="1863"/>
      <c r="M18" s="1902">
        <f t="shared" si="0"/>
        <v>19403685</v>
      </c>
    </row>
    <row r="19" spans="1:26" s="1" customFormat="1" ht="38.25">
      <c r="A19"/>
      <c r="B19" s="1434"/>
      <c r="C19" s="565" t="s">
        <v>826</v>
      </c>
      <c r="D19" s="17" t="s">
        <v>235</v>
      </c>
      <c r="E19" s="2244" t="s">
        <v>776</v>
      </c>
      <c r="F19" s="2243"/>
      <c r="G19" s="2243"/>
      <c r="H19" s="282"/>
      <c r="I19" s="282"/>
      <c r="J19" s="273">
        <v>20080000</v>
      </c>
      <c r="K19" s="259">
        <f t="shared" si="1"/>
        <v>20080000</v>
      </c>
      <c r="L19" s="1863"/>
      <c r="M19" s="1902">
        <f t="shared" si="0"/>
        <v>20080000</v>
      </c>
      <c r="O19"/>
      <c r="P19"/>
      <c r="Q19"/>
      <c r="R19"/>
      <c r="S19"/>
      <c r="T19"/>
      <c r="U19"/>
      <c r="V19"/>
      <c r="W19"/>
      <c r="X19"/>
      <c r="Y19"/>
      <c r="Z19"/>
    </row>
    <row r="20" spans="1:26" s="1" customFormat="1" ht="38.25">
      <c r="A20"/>
      <c r="B20" s="1434"/>
      <c r="C20" s="565" t="s">
        <v>827</v>
      </c>
      <c r="D20" s="17" t="s">
        <v>235</v>
      </c>
      <c r="E20" s="2244" t="s">
        <v>776</v>
      </c>
      <c r="F20" s="2243"/>
      <c r="G20" s="2243"/>
      <c r="H20" s="282"/>
      <c r="I20" s="273"/>
      <c r="J20" s="273">
        <v>32664116.240000002</v>
      </c>
      <c r="K20" s="259">
        <f t="shared" si="1"/>
        <v>32664116.240000002</v>
      </c>
      <c r="L20" s="1863"/>
      <c r="M20" s="1902">
        <f t="shared" si="0"/>
        <v>32664116.240000002</v>
      </c>
      <c r="O20"/>
      <c r="P20"/>
      <c r="Q20"/>
      <c r="R20"/>
      <c r="S20"/>
      <c r="T20"/>
      <c r="U20"/>
      <c r="V20"/>
      <c r="W20"/>
      <c r="X20"/>
      <c r="Y20"/>
      <c r="Z20"/>
    </row>
    <row r="21" spans="1:26" s="1" customFormat="1" ht="25.5">
      <c r="A21"/>
      <c r="B21" s="1434"/>
      <c r="C21" s="565" t="s">
        <v>828</v>
      </c>
      <c r="D21" s="17" t="s">
        <v>235</v>
      </c>
      <c r="E21" s="2244" t="s">
        <v>776</v>
      </c>
      <c r="F21" s="2243"/>
      <c r="G21" s="2243"/>
      <c r="H21" s="282"/>
      <c r="I21" s="282"/>
      <c r="J21" s="273">
        <f>37280448-10570112</f>
        <v>26710336</v>
      </c>
      <c r="K21" s="259">
        <f t="shared" si="1"/>
        <v>26710336</v>
      </c>
      <c r="L21" s="1863"/>
      <c r="M21" s="1902">
        <f t="shared" si="0"/>
        <v>26710336</v>
      </c>
      <c r="O21"/>
      <c r="P21"/>
      <c r="Q21"/>
      <c r="R21"/>
      <c r="S21"/>
      <c r="T21"/>
      <c r="U21"/>
      <c r="V21"/>
      <c r="W21"/>
      <c r="X21"/>
      <c r="Y21"/>
      <c r="Z21"/>
    </row>
    <row r="22" spans="1:26" s="1" customFormat="1">
      <c r="A22"/>
      <c r="B22" s="1434"/>
      <c r="C22" s="565" t="s">
        <v>1002</v>
      </c>
      <c r="D22" s="17" t="s">
        <v>235</v>
      </c>
      <c r="E22" s="2244" t="s">
        <v>776</v>
      </c>
      <c r="F22" s="2243"/>
      <c r="G22" s="2243"/>
      <c r="H22" s="282"/>
      <c r="I22" s="273">
        <f>29067807.7668578-4831247.76685776</f>
        <v>24236560.000000037</v>
      </c>
      <c r="J22" s="273">
        <f>818994.928000059-818994.928000059</f>
        <v>0</v>
      </c>
      <c r="K22" s="259">
        <f t="shared" si="1"/>
        <v>24236560.000000037</v>
      </c>
      <c r="L22" s="1863">
        <f>3880737.104-3880737.104</f>
        <v>0</v>
      </c>
      <c r="M22" s="1902">
        <f t="shared" si="0"/>
        <v>24236560.000000037</v>
      </c>
      <c r="O22"/>
      <c r="P22"/>
      <c r="Q22"/>
      <c r="R22"/>
      <c r="S22"/>
      <c r="T22"/>
      <c r="U22"/>
      <c r="V22"/>
      <c r="W22"/>
      <c r="X22"/>
      <c r="Y22"/>
      <c r="Z22"/>
    </row>
    <row r="23" spans="1:26" s="1" customFormat="1" ht="24">
      <c r="A23"/>
      <c r="B23" s="1434"/>
      <c r="C23" s="2683" t="s">
        <v>1438</v>
      </c>
      <c r="D23" s="17" t="s">
        <v>235</v>
      </c>
      <c r="E23" s="2244" t="s">
        <v>776</v>
      </c>
      <c r="F23" s="2243"/>
      <c r="G23" s="2243"/>
      <c r="H23" s="282"/>
      <c r="I23" s="282"/>
      <c r="J23" s="274">
        <f>3500000*1.004</f>
        <v>3514000</v>
      </c>
      <c r="K23" s="258">
        <f t="shared" si="1"/>
        <v>3514000</v>
      </c>
      <c r="L23" s="2191"/>
      <c r="M23" s="1994">
        <f t="shared" si="0"/>
        <v>3514000</v>
      </c>
      <c r="O23"/>
      <c r="P23"/>
      <c r="Q23"/>
      <c r="R23"/>
      <c r="S23"/>
      <c r="T23"/>
      <c r="U23"/>
      <c r="V23"/>
      <c r="W23"/>
      <c r="X23"/>
      <c r="Y23"/>
      <c r="Z23"/>
    </row>
    <row r="24" spans="1:26" s="1" customFormat="1">
      <c r="A24"/>
      <c r="B24" s="1434"/>
      <c r="C24" s="565" t="s">
        <v>1174</v>
      </c>
      <c r="D24" s="17" t="s">
        <v>235</v>
      </c>
      <c r="E24" s="2244" t="s">
        <v>776</v>
      </c>
      <c r="F24" s="2243"/>
      <c r="G24" s="2243"/>
      <c r="H24" s="282"/>
      <c r="I24" s="273"/>
      <c r="J24" s="274">
        <f>50208032.4-9559698.63314224-4282297-2013173-5285056-28248812.8388577</f>
        <v>818994.92800005898</v>
      </c>
      <c r="K24" s="258">
        <f t="shared" si="1"/>
        <v>818994.92800005898</v>
      </c>
      <c r="L24" s="2191"/>
      <c r="M24" s="1994">
        <f t="shared" si="0"/>
        <v>818994.92800005898</v>
      </c>
      <c r="O24"/>
      <c r="P24"/>
      <c r="Q24"/>
      <c r="R24"/>
      <c r="S24"/>
      <c r="T24"/>
      <c r="U24"/>
      <c r="V24"/>
      <c r="W24"/>
      <c r="X24"/>
      <c r="Y24"/>
      <c r="Z24"/>
    </row>
    <row r="25" spans="1:26" s="1" customFormat="1">
      <c r="A25"/>
      <c r="B25" s="1434"/>
      <c r="C25" s="567" t="s">
        <v>1168</v>
      </c>
      <c r="D25" s="17" t="s">
        <v>235</v>
      </c>
      <c r="E25" s="2244" t="s">
        <v>776</v>
      </c>
      <c r="F25" s="2243"/>
      <c r="G25" s="2243"/>
      <c r="H25" s="282"/>
      <c r="I25" s="282"/>
      <c r="J25" s="273">
        <f>7468796.16-1004000-3012000.16</f>
        <v>3452796</v>
      </c>
      <c r="K25" s="259">
        <f t="shared" si="1"/>
        <v>3452796</v>
      </c>
      <c r="L25" s="1863"/>
      <c r="M25" s="1902">
        <f t="shared" si="0"/>
        <v>3452796</v>
      </c>
      <c r="O25"/>
      <c r="P25"/>
      <c r="Q25"/>
      <c r="R25"/>
      <c r="S25"/>
      <c r="T25"/>
      <c r="U25"/>
      <c r="V25"/>
      <c r="W25"/>
      <c r="X25"/>
      <c r="Y25"/>
      <c r="Z25"/>
    </row>
    <row r="26" spans="1:26" s="1" customFormat="1">
      <c r="A26"/>
      <c r="B26" s="1434"/>
      <c r="C26" s="1999" t="s">
        <v>1168</v>
      </c>
      <c r="D26" s="2004" t="s">
        <v>235</v>
      </c>
      <c r="E26" s="2005" t="s">
        <v>776</v>
      </c>
      <c r="F26" s="2195"/>
      <c r="G26" s="2195"/>
      <c r="H26" s="282"/>
      <c r="I26" s="274"/>
      <c r="J26" s="274">
        <v>4282296.5784883499</v>
      </c>
      <c r="K26" s="259">
        <f t="shared" si="1"/>
        <v>4282296.5784883499</v>
      </c>
      <c r="L26" s="1863"/>
      <c r="M26" s="1994">
        <f t="shared" si="0"/>
        <v>4282296.5784883499</v>
      </c>
      <c r="N26" s="1516"/>
      <c r="O26"/>
      <c r="P26"/>
      <c r="Q26"/>
      <c r="R26"/>
      <c r="S26"/>
      <c r="T26"/>
      <c r="U26"/>
      <c r="V26"/>
      <c r="W26"/>
      <c r="X26"/>
      <c r="Y26"/>
      <c r="Z26"/>
    </row>
    <row r="27" spans="1:26" s="1" customFormat="1">
      <c r="A27"/>
      <c r="B27" s="1434"/>
      <c r="C27" s="565" t="s">
        <v>1174</v>
      </c>
      <c r="D27" s="17"/>
      <c r="E27" s="2196"/>
      <c r="F27" s="2195"/>
      <c r="G27" s="2195"/>
      <c r="H27" s="282"/>
      <c r="I27" s="282"/>
      <c r="J27" s="273">
        <v>6464796.1600000001</v>
      </c>
      <c r="K27" s="259">
        <f t="shared" si="1"/>
        <v>6464796.1600000001</v>
      </c>
      <c r="L27" s="1863"/>
      <c r="M27" s="1902">
        <f t="shared" si="0"/>
        <v>6464796.1600000001</v>
      </c>
      <c r="O27"/>
      <c r="P27"/>
      <c r="Q27"/>
      <c r="R27"/>
      <c r="S27"/>
      <c r="T27"/>
      <c r="U27"/>
      <c r="V27"/>
      <c r="W27"/>
      <c r="X27"/>
      <c r="Y27"/>
      <c r="Z27"/>
    </row>
    <row r="28" spans="1:26" s="1" customFormat="1" ht="25.5">
      <c r="A28"/>
      <c r="B28" s="1434"/>
      <c r="C28" s="565" t="s">
        <v>1003</v>
      </c>
      <c r="D28" s="17" t="s">
        <v>235</v>
      </c>
      <c r="E28" s="2069" t="s">
        <v>776</v>
      </c>
      <c r="F28" s="2070"/>
      <c r="G28" s="2107"/>
      <c r="H28" s="282"/>
      <c r="I28" s="282"/>
      <c r="J28" s="273">
        <f>38807379.072-982307.640000001-1311905.652</f>
        <v>36513165.779999994</v>
      </c>
      <c r="K28" s="259">
        <f t="shared" si="1"/>
        <v>36513165.779999994</v>
      </c>
      <c r="L28" s="1863"/>
      <c r="M28" s="1902">
        <f t="shared" si="0"/>
        <v>36513165.779999994</v>
      </c>
      <c r="O28"/>
      <c r="P28"/>
      <c r="Q28"/>
      <c r="R28"/>
      <c r="S28"/>
      <c r="T28"/>
      <c r="U28"/>
      <c r="V28"/>
      <c r="W28"/>
      <c r="X28"/>
      <c r="Y28"/>
      <c r="Z28"/>
    </row>
    <row r="29" spans="1:26" s="252" customFormat="1" ht="19.5" customHeight="1">
      <c r="A29" s="275"/>
      <c r="B29" s="1440"/>
      <c r="C29" s="2074" t="s">
        <v>1346</v>
      </c>
      <c r="D29" s="2004" t="s">
        <v>235</v>
      </c>
      <c r="E29" s="2005" t="s">
        <v>776</v>
      </c>
      <c r="F29" s="2070"/>
      <c r="G29" s="2107"/>
      <c r="H29" s="282"/>
      <c r="I29" s="273"/>
      <c r="J29" s="274">
        <f>5285056-818995</f>
        <v>4466061</v>
      </c>
      <c r="K29" s="259">
        <f t="shared" ref="K29" si="2">SUM(I29:J29)</f>
        <v>4466061</v>
      </c>
      <c r="L29" s="2061"/>
      <c r="M29" s="1994">
        <f t="shared" si="0"/>
        <v>4466061</v>
      </c>
      <c r="N29" s="2016"/>
      <c r="O29"/>
      <c r="P29"/>
      <c r="Q29"/>
      <c r="R29"/>
      <c r="S29"/>
      <c r="T29"/>
      <c r="U29"/>
      <c r="V29"/>
      <c r="W29"/>
      <c r="X29"/>
      <c r="Y29"/>
      <c r="Z29"/>
    </row>
    <row r="30" spans="1:26" s="1" customFormat="1" ht="30.75" customHeight="1">
      <c r="A30"/>
      <c r="B30" s="1434"/>
      <c r="C30" s="567" t="s">
        <v>1223</v>
      </c>
      <c r="D30" s="17"/>
      <c r="E30" s="2069"/>
      <c r="F30" s="2070"/>
      <c r="G30" s="2107"/>
      <c r="H30" s="282"/>
      <c r="I30" s="282"/>
      <c r="J30" s="274">
        <v>2013172.7883694172</v>
      </c>
      <c r="K30" s="259">
        <f t="shared" si="1"/>
        <v>2013172.7883694172</v>
      </c>
      <c r="L30" s="1866">
        <v>3880737.1040000021</v>
      </c>
      <c r="M30" s="1994">
        <f t="shared" si="0"/>
        <v>5893909.8923694193</v>
      </c>
      <c r="N30" s="1516"/>
      <c r="O30"/>
      <c r="P30"/>
      <c r="Q30"/>
      <c r="R30"/>
      <c r="S30"/>
      <c r="T30"/>
      <c r="U30"/>
      <c r="V30"/>
      <c r="W30"/>
      <c r="X30"/>
      <c r="Y30"/>
      <c r="Z30"/>
    </row>
    <row r="31" spans="1:26" s="1" customFormat="1">
      <c r="A31"/>
      <c r="B31" s="1434"/>
      <c r="C31" s="565" t="s">
        <v>1004</v>
      </c>
      <c r="D31" s="17" t="s">
        <v>235</v>
      </c>
      <c r="E31" s="1996" t="s">
        <v>776</v>
      </c>
      <c r="F31" s="1995"/>
      <c r="G31" s="1995"/>
      <c r="H31" s="282"/>
      <c r="I31" s="2006">
        <v>101178158</v>
      </c>
      <c r="J31" s="273"/>
      <c r="K31" s="259">
        <f t="shared" si="1"/>
        <v>101178158</v>
      </c>
      <c r="L31" s="1863"/>
      <c r="M31" s="1902">
        <f t="shared" si="0"/>
        <v>101178158</v>
      </c>
      <c r="O31"/>
      <c r="P31"/>
      <c r="Q31"/>
      <c r="R31"/>
      <c r="S31"/>
      <c r="T31"/>
      <c r="U31"/>
      <c r="V31"/>
      <c r="W31"/>
      <c r="X31"/>
      <c r="Y31"/>
      <c r="Z31"/>
    </row>
    <row r="32" spans="1:26" s="1" customFormat="1" ht="25.5">
      <c r="A32" s="171"/>
      <c r="B32" s="1442" t="s">
        <v>1090</v>
      </c>
      <c r="C32" s="169" t="s">
        <v>311</v>
      </c>
      <c r="D32" s="171"/>
      <c r="E32" s="171"/>
      <c r="F32" s="174" t="s">
        <v>210</v>
      </c>
      <c r="G32" s="174">
        <v>1</v>
      </c>
      <c r="H32" s="272"/>
      <c r="I32" s="272">
        <f>+I33</f>
        <v>0</v>
      </c>
      <c r="J32" s="272">
        <f>+J33</f>
        <v>0</v>
      </c>
      <c r="K32" s="257">
        <f>SUM(K33:K33)</f>
        <v>0</v>
      </c>
      <c r="L32" s="1911"/>
      <c r="M32" s="1903">
        <f>SUM(M33:M33)</f>
        <v>0</v>
      </c>
      <c r="O32"/>
      <c r="P32"/>
      <c r="Q32"/>
      <c r="R32"/>
      <c r="S32"/>
      <c r="T32"/>
      <c r="U32"/>
      <c r="V32"/>
      <c r="W32"/>
      <c r="X32"/>
      <c r="Y32"/>
      <c r="Z32"/>
    </row>
    <row r="33" spans="1:26" s="1" customFormat="1">
      <c r="B33" s="1420"/>
      <c r="C33" s="565" t="s">
        <v>438</v>
      </c>
      <c r="D33" s="17" t="s">
        <v>235</v>
      </c>
      <c r="E33" s="27"/>
      <c r="F33" s="14"/>
      <c r="G33" s="14"/>
      <c r="H33" s="282"/>
      <c r="I33" s="282"/>
      <c r="J33" s="282"/>
      <c r="K33" s="259">
        <f>SUM(I33:J33)</f>
        <v>0</v>
      </c>
      <c r="L33" s="1910"/>
      <c r="M33" s="1902">
        <f t="shared" si="0"/>
        <v>0</v>
      </c>
      <c r="O33"/>
      <c r="P33"/>
      <c r="Q33"/>
      <c r="R33"/>
      <c r="S33"/>
      <c r="T33"/>
      <c r="U33"/>
      <c r="V33"/>
      <c r="W33"/>
      <c r="X33"/>
      <c r="Y33"/>
      <c r="Z33"/>
    </row>
    <row r="34" spans="1:26" s="1" customFormat="1" ht="25.5">
      <c r="A34" s="171"/>
      <c r="B34" s="1442" t="s">
        <v>1091</v>
      </c>
      <c r="C34" s="169" t="s">
        <v>312</v>
      </c>
      <c r="D34" s="171"/>
      <c r="E34" s="171"/>
      <c r="F34" s="174" t="s">
        <v>210</v>
      </c>
      <c r="G34" s="174">
        <v>1</v>
      </c>
      <c r="H34" s="272"/>
      <c r="I34" s="572">
        <f>+I35+I36</f>
        <v>0</v>
      </c>
      <c r="J34" s="572">
        <f>+J35</f>
        <v>12239964.315999929</v>
      </c>
      <c r="K34" s="257">
        <f>+K35</f>
        <v>12239964.315999929</v>
      </c>
      <c r="L34" s="1068">
        <f>+L35</f>
        <v>0</v>
      </c>
      <c r="M34" s="1903">
        <f>+M35</f>
        <v>12239964.315999929</v>
      </c>
    </row>
    <row r="35" spans="1:26" s="812" customFormat="1" ht="12.75">
      <c r="B35" s="1423"/>
      <c r="C35" s="1410" t="s">
        <v>1005</v>
      </c>
      <c r="D35" s="1411" t="s">
        <v>235</v>
      </c>
      <c r="E35" s="351" t="s">
        <v>776</v>
      </c>
      <c r="F35" s="254" t="s">
        <v>1006</v>
      </c>
      <c r="G35" s="811"/>
      <c r="H35" s="282"/>
      <c r="I35" s="273"/>
      <c r="J35" s="273">
        <f>7045649.38799995+5194314.92799998</f>
        <v>12239964.315999929</v>
      </c>
      <c r="K35" s="574">
        <f>+I35+J35</f>
        <v>12239964.315999929</v>
      </c>
      <c r="L35" s="1863"/>
      <c r="M35" s="1902">
        <f t="shared" si="0"/>
        <v>12239964.315999929</v>
      </c>
    </row>
    <row r="36" spans="1:26" s="1" customFormat="1" ht="12.75">
      <c r="B36" s="1420"/>
      <c r="C36" s="565"/>
      <c r="D36" s="175"/>
      <c r="E36" s="175"/>
      <c r="F36" s="14"/>
      <c r="G36" s="14"/>
      <c r="H36" s="282"/>
      <c r="I36" s="282"/>
      <c r="J36" s="282"/>
      <c r="K36" s="270"/>
      <c r="L36" s="1910"/>
      <c r="M36" s="1902">
        <f t="shared" si="0"/>
        <v>0</v>
      </c>
    </row>
    <row r="37" spans="1:26" s="1" customFormat="1" ht="12.75">
      <c r="A37" s="171"/>
      <c r="B37" s="1442" t="s">
        <v>1092</v>
      </c>
      <c r="C37" s="169" t="s">
        <v>1007</v>
      </c>
      <c r="D37" s="292"/>
      <c r="E37" s="292"/>
      <c r="F37" s="170" t="s">
        <v>1151</v>
      </c>
      <c r="G37" s="170">
        <v>1</v>
      </c>
      <c r="H37" s="360"/>
      <c r="I37" s="361">
        <f>+I38</f>
        <v>0</v>
      </c>
      <c r="J37" s="361">
        <f>+J38</f>
        <v>39724544.422400057</v>
      </c>
      <c r="K37" s="293">
        <f>SUM(K38)</f>
        <v>39724544.422400057</v>
      </c>
      <c r="L37" s="1912">
        <f>+L38</f>
        <v>0</v>
      </c>
      <c r="M37" s="1904">
        <f>SUM(M38)</f>
        <v>0</v>
      </c>
    </row>
    <row r="38" spans="1:26" s="813" customFormat="1" ht="15.75" thickBot="1">
      <c r="B38" s="1433"/>
      <c r="C38" s="567" t="s">
        <v>1007</v>
      </c>
      <c r="D38" s="494" t="s">
        <v>568</v>
      </c>
      <c r="E38" s="426">
        <v>64112</v>
      </c>
      <c r="F38" s="18"/>
      <c r="G38" s="18"/>
      <c r="H38" s="493"/>
      <c r="I38" s="493"/>
      <c r="J38" s="725">
        <v>39724544.422400057</v>
      </c>
      <c r="K38" s="877">
        <f>SUM(I38:J38)</f>
        <v>39724544.422400057</v>
      </c>
      <c r="L38" s="2111">
        <f>35000000-35000000</f>
        <v>0</v>
      </c>
      <c r="M38" s="1905"/>
    </row>
    <row r="39" spans="1:26" ht="25.5" customHeight="1" thickBot="1">
      <c r="A39" s="171">
        <v>150</v>
      </c>
      <c r="B39" s="1442"/>
      <c r="C39" s="471" t="s">
        <v>314</v>
      </c>
      <c r="D39" s="726"/>
      <c r="E39" s="726"/>
      <c r="F39" s="411" t="s">
        <v>214</v>
      </c>
      <c r="G39" s="411">
        <v>100</v>
      </c>
      <c r="H39" s="1204"/>
      <c r="I39" s="727">
        <f>+I40+I42+I44</f>
        <v>2431080471.348</v>
      </c>
      <c r="J39" s="727">
        <f>+J40+J42+J44</f>
        <v>57181352.08075732</v>
      </c>
      <c r="K39" s="728">
        <f>+K40+K42+K44</f>
        <v>2488261823.4287572</v>
      </c>
      <c r="L39" s="1908">
        <f>+L40+L42+L44</f>
        <v>75000000</v>
      </c>
      <c r="M39" s="1900">
        <f>+L39+K39</f>
        <v>2563261823.4287572</v>
      </c>
    </row>
    <row r="40" spans="1:26" s="1" customFormat="1" ht="12.75" customHeight="1">
      <c r="A40" s="171"/>
      <c r="B40" s="1442" t="s">
        <v>1093</v>
      </c>
      <c r="C40" s="627" t="s">
        <v>315</v>
      </c>
      <c r="D40" s="623"/>
      <c r="E40" s="623"/>
      <c r="F40" s="629" t="s">
        <v>210</v>
      </c>
      <c r="G40" s="629">
        <v>2</v>
      </c>
      <c r="H40" s="702"/>
      <c r="I40" s="700">
        <f>+I41</f>
        <v>2241519334.348</v>
      </c>
      <c r="J40" s="702"/>
      <c r="K40" s="682">
        <f>SUM(K41:K41)</f>
        <v>2241519334.348</v>
      </c>
      <c r="L40" s="1909">
        <f>+SUM(L41:L41)</f>
        <v>0</v>
      </c>
      <c r="M40" s="1901">
        <f>SUM(M41:M41)</f>
        <v>2241519334.348</v>
      </c>
    </row>
    <row r="41" spans="1:26" s="812" customFormat="1" ht="28.5" customHeight="1">
      <c r="B41" s="1423"/>
      <c r="C41" s="565" t="s">
        <v>1008</v>
      </c>
      <c r="D41" s="17" t="s">
        <v>598</v>
      </c>
      <c r="E41" s="1956" t="s">
        <v>1009</v>
      </c>
      <c r="F41" s="1955" t="s">
        <v>1010</v>
      </c>
      <c r="G41" s="2114"/>
      <c r="H41" s="273"/>
      <c r="I41" s="273">
        <f>2834898154.348-259078323-101178158-29067808-208885779+4831248</f>
        <v>2241519334.348</v>
      </c>
      <c r="J41" s="282"/>
      <c r="K41" s="1581">
        <f>SUM(I41:J41)</f>
        <v>2241519334.348</v>
      </c>
      <c r="L41" s="1910"/>
      <c r="M41" s="1902">
        <f t="shared" ref="M41" si="3">+L41+K41</f>
        <v>2241519334.348</v>
      </c>
    </row>
    <row r="42" spans="1:26" s="1" customFormat="1" ht="54.75" customHeight="1">
      <c r="A42" s="171"/>
      <c r="B42" s="1442" t="s">
        <v>1094</v>
      </c>
      <c r="C42" s="169" t="s">
        <v>316</v>
      </c>
      <c r="D42" s="171"/>
      <c r="E42" s="171"/>
      <c r="F42" s="174" t="s">
        <v>209</v>
      </c>
      <c r="G42" s="174">
        <v>1</v>
      </c>
      <c r="H42" s="272"/>
      <c r="I42" s="572">
        <f>SUM(I43:I43)</f>
        <v>189561137</v>
      </c>
      <c r="J42" s="572">
        <f>SUM(J43:J43)</f>
        <v>35432738.684000015</v>
      </c>
      <c r="K42" s="257">
        <f>SUM(K43:K43)</f>
        <v>224993875.68400002</v>
      </c>
      <c r="L42" s="1068">
        <f>SUM(L43:L43)</f>
        <v>75000000</v>
      </c>
      <c r="M42" s="1903">
        <f>SUM(M43:M43)</f>
        <v>299993875.68400002</v>
      </c>
    </row>
    <row r="43" spans="1:26" s="812" customFormat="1" ht="16.5" customHeight="1">
      <c r="B43" s="1423"/>
      <c r="C43" s="565" t="s">
        <v>1238</v>
      </c>
      <c r="D43" s="17" t="s">
        <v>1424</v>
      </c>
      <c r="E43" s="27"/>
      <c r="F43" s="811"/>
      <c r="G43" s="811"/>
      <c r="H43" s="811"/>
      <c r="I43" s="357">
        <v>189561137</v>
      </c>
      <c r="J43" s="357">
        <f>29067808-7045649.31599998+13410580</f>
        <v>35432738.684000015</v>
      </c>
      <c r="K43" s="574">
        <f>+I43+J43</f>
        <v>224993875.68400002</v>
      </c>
      <c r="L43" s="1863">
        <f>40000000+35000000</f>
        <v>75000000</v>
      </c>
      <c r="M43" s="1902">
        <f t="shared" ref="M43" si="4">+L43+K43</f>
        <v>299993875.68400002</v>
      </c>
    </row>
    <row r="44" spans="1:26" s="1" customFormat="1" ht="12.75">
      <c r="A44" s="171"/>
      <c r="B44" s="1442" t="s">
        <v>1095</v>
      </c>
      <c r="C44" s="291" t="s">
        <v>1007</v>
      </c>
      <c r="D44" s="174"/>
      <c r="E44" s="174"/>
      <c r="F44" s="174" t="s">
        <v>209</v>
      </c>
      <c r="G44" s="174">
        <v>1</v>
      </c>
      <c r="H44" s="272"/>
      <c r="I44" s="360"/>
      <c r="J44" s="361">
        <f>SUM(J45:J45)</f>
        <v>21748613.396757305</v>
      </c>
      <c r="K44" s="1412">
        <f>SUM(K45:K45)</f>
        <v>21748613.396757305</v>
      </c>
      <c r="L44" s="1912">
        <f>SUM(L45:L45)</f>
        <v>0</v>
      </c>
      <c r="M44" s="1906">
        <f>SUM(M45:M45)</f>
        <v>21748613.396757305</v>
      </c>
    </row>
    <row r="45" spans="1:26" s="813" customFormat="1" ht="25.5" customHeight="1" thickBot="1">
      <c r="B45" s="1433"/>
      <c r="C45" s="565" t="s">
        <v>1007</v>
      </c>
      <c r="D45" s="494" t="s">
        <v>568</v>
      </c>
      <c r="E45" s="938">
        <v>64112</v>
      </c>
      <c r="F45" s="282"/>
      <c r="G45" s="273"/>
      <c r="H45" s="273"/>
      <c r="I45" s="1059"/>
      <c r="J45" s="811">
        <v>21748613.396757305</v>
      </c>
      <c r="K45" s="1413">
        <f>+SUM(I45:J45)</f>
        <v>21748613.396757305</v>
      </c>
      <c r="L45" s="1910"/>
      <c r="M45" s="1902">
        <f t="shared" ref="M45" si="5">+L45+K45</f>
        <v>21748613.396757305</v>
      </c>
    </row>
    <row r="46" spans="1:26" ht="15.75" thickBot="1">
      <c r="B46" s="1434"/>
      <c r="C46" s="2539" t="s">
        <v>10</v>
      </c>
      <c r="D46" s="2540"/>
      <c r="E46" s="2540"/>
      <c r="F46" s="2540"/>
      <c r="G46" s="2600"/>
      <c r="H46" s="1178"/>
      <c r="I46" s="765">
        <f>+I39+I10</f>
        <v>2821597035</v>
      </c>
      <c r="J46" s="765">
        <f>+J39+J10</f>
        <v>359776242.92800003</v>
      </c>
      <c r="K46" s="766">
        <f>+K39+K10</f>
        <v>3181373277.928</v>
      </c>
      <c r="L46" s="1913">
        <f>+L39+L10</f>
        <v>106045896.936</v>
      </c>
      <c r="M46" s="1907">
        <f>+M39+M10</f>
        <v>3287419174.8639998</v>
      </c>
    </row>
    <row r="47" spans="1:26" ht="15.75" thickBot="1">
      <c r="B47" s="1434"/>
      <c r="K47" s="271"/>
      <c r="L47" s="181"/>
      <c r="M47" s="271"/>
    </row>
    <row r="48" spans="1:26" ht="15.75" thickBot="1">
      <c r="B48" s="1434"/>
      <c r="I48" s="561">
        <f>3100000000-259078323-208885779+189561137</f>
        <v>2821597035</v>
      </c>
      <c r="J48" s="561">
        <f>346365663+13410580</f>
        <v>359776243</v>
      </c>
      <c r="K48" s="561">
        <f>3446365663-259078323-208885779+202971717</f>
        <v>3181373278</v>
      </c>
      <c r="L48" s="561">
        <v>106045896.832</v>
      </c>
      <c r="M48" s="561">
        <f>3552411559.832-259078323-208885779+202971717</f>
        <v>3287419174.8319998</v>
      </c>
    </row>
    <row r="49" spans="5:13">
      <c r="M49" s="179"/>
    </row>
    <row r="50" spans="5:13" s="813" customFormat="1">
      <c r="E50" s="782"/>
      <c r="F50" s="860"/>
      <c r="G50" s="860"/>
      <c r="H50" s="860"/>
      <c r="I50" s="861">
        <f>+I48-I46</f>
        <v>0</v>
      </c>
      <c r="J50" s="861">
        <f>+J48-J46</f>
        <v>7.1999967098236084E-2</v>
      </c>
      <c r="K50" s="861">
        <f>+K48-K46</f>
        <v>7.2000026702880859E-2</v>
      </c>
      <c r="L50" s="861">
        <f t="shared" ref="L50:M50" si="6">+L48-L46</f>
        <v>-0.10400000214576721</v>
      </c>
      <c r="M50" s="861">
        <f t="shared" si="6"/>
        <v>-3.2000064849853516E-2</v>
      </c>
    </row>
    <row r="51" spans="5:13">
      <c r="J51" s="2192"/>
    </row>
    <row r="52" spans="5:13">
      <c r="J52" s="861"/>
    </row>
    <row r="53" spans="5:13">
      <c r="I53" s="560"/>
      <c r="J53" s="861"/>
    </row>
    <row r="54" spans="5:13">
      <c r="I54" s="560"/>
    </row>
  </sheetData>
  <mergeCells count="22">
    <mergeCell ref="L1:M1"/>
    <mergeCell ref="L2:M2"/>
    <mergeCell ref="L3:M3"/>
    <mergeCell ref="H7:H9"/>
    <mergeCell ref="A7:A9"/>
    <mergeCell ref="B7:B9"/>
    <mergeCell ref="C1:C3"/>
    <mergeCell ref="D1:K3"/>
    <mergeCell ref="C5:M5"/>
    <mergeCell ref="C6:M6"/>
    <mergeCell ref="L8:L9"/>
    <mergeCell ref="M7:M9"/>
    <mergeCell ref="C46:G46"/>
    <mergeCell ref="I8:I9"/>
    <mergeCell ref="J8:J9"/>
    <mergeCell ref="I7:J7"/>
    <mergeCell ref="K7:K9"/>
    <mergeCell ref="C7:C9"/>
    <mergeCell ref="D7:D9"/>
    <mergeCell ref="F7:F9"/>
    <mergeCell ref="G7:G9"/>
    <mergeCell ref="E7:E9"/>
  </mergeCells>
  <pageMargins left="0.7" right="0.7" top="0.75" bottom="0.75" header="0.3" footer="0.3"/>
  <pageSetup orientation="portrait" verticalDpi="597"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7" tint="0.59999389629810485"/>
  </sheetPr>
  <dimension ref="A1:K24"/>
  <sheetViews>
    <sheetView workbookViewId="0"/>
  </sheetViews>
  <sheetFormatPr baseColWidth="10" defaultRowHeight="15"/>
  <cols>
    <col min="1" max="1" width="11.42578125" customWidth="1"/>
    <col min="2" max="2" width="41.85546875" customWidth="1"/>
    <col min="3" max="4" width="15.7109375" customWidth="1"/>
    <col min="5" max="5" width="16.140625" customWidth="1"/>
    <col min="6" max="6" width="15.7109375" customWidth="1"/>
    <col min="7" max="7" width="16" customWidth="1"/>
    <col min="8" max="8" width="12.85546875" customWidth="1"/>
    <col min="10" max="10" width="14.42578125" customWidth="1"/>
    <col min="11" max="11" width="14.28515625" customWidth="1"/>
  </cols>
  <sheetData>
    <row r="1" spans="1:11" s="1" customFormat="1" ht="15" customHeight="1">
      <c r="A1"/>
      <c r="B1" s="2405"/>
      <c r="C1" s="2430" t="s">
        <v>542</v>
      </c>
      <c r="D1" s="2431"/>
      <c r="E1" s="2431"/>
      <c r="F1" s="2431"/>
      <c r="G1" s="2431"/>
      <c r="H1" s="2431"/>
      <c r="I1" s="2432"/>
      <c r="J1" s="2495" t="s">
        <v>539</v>
      </c>
      <c r="K1" s="2496"/>
    </row>
    <row r="2" spans="1:11" s="1" customFormat="1" ht="12.75" customHeight="1">
      <c r="A2"/>
      <c r="B2" s="2406"/>
      <c r="C2" s="2433"/>
      <c r="D2" s="2434"/>
      <c r="E2" s="2434"/>
      <c r="F2" s="2434"/>
      <c r="G2" s="2434"/>
      <c r="H2" s="2434"/>
      <c r="I2" s="2435"/>
      <c r="J2" s="2497" t="s">
        <v>540</v>
      </c>
      <c r="K2" s="2498"/>
    </row>
    <row r="3" spans="1:11" ht="15.75" customHeight="1" thickBot="1">
      <c r="B3" s="2407"/>
      <c r="C3" s="2436"/>
      <c r="D3" s="2437"/>
      <c r="E3" s="2437"/>
      <c r="F3" s="2437"/>
      <c r="G3" s="2437"/>
      <c r="H3" s="2437"/>
      <c r="I3" s="2438"/>
      <c r="J3" s="2499" t="s">
        <v>541</v>
      </c>
      <c r="K3" s="2500"/>
    </row>
    <row r="4" spans="1:11" ht="8.25" customHeight="1" thickBot="1">
      <c r="D4" s="362"/>
      <c r="E4" s="362"/>
      <c r="F4" s="362"/>
      <c r="G4" s="179"/>
    </row>
    <row r="5" spans="1:11" ht="15.75" thickBot="1">
      <c r="B5" s="2528" t="s">
        <v>188</v>
      </c>
      <c r="C5" s="2529"/>
      <c r="D5" s="2529"/>
      <c r="E5" s="2529"/>
      <c r="F5" s="2529"/>
      <c r="G5" s="2529"/>
      <c r="H5" s="2529"/>
      <c r="I5" s="2529"/>
      <c r="J5" s="2529"/>
      <c r="K5" s="2530"/>
    </row>
    <row r="6" spans="1:11" ht="15.75" thickBot="1">
      <c r="B6" s="2402" t="s">
        <v>545</v>
      </c>
      <c r="C6" s="2403"/>
      <c r="D6" s="2403"/>
      <c r="E6" s="2403"/>
      <c r="F6" s="2403"/>
      <c r="G6" s="2403"/>
      <c r="H6" s="2403"/>
      <c r="I6" s="2403"/>
      <c r="J6" s="2403"/>
      <c r="K6" s="2404"/>
    </row>
    <row r="7" spans="1:11" ht="15.75" customHeight="1" thickBot="1">
      <c r="A7" s="2397" t="s">
        <v>383</v>
      </c>
      <c r="B7" s="2414" t="s">
        <v>197</v>
      </c>
      <c r="C7" s="2414">
        <v>2023</v>
      </c>
      <c r="D7" s="2414"/>
      <c r="E7" s="2414"/>
      <c r="F7" s="2414"/>
      <c r="G7" s="2414"/>
      <c r="H7" s="2397" t="s">
        <v>1213</v>
      </c>
      <c r="I7" s="2398"/>
      <c r="J7" s="2397" t="s">
        <v>1212</v>
      </c>
      <c r="K7" s="2397" t="s">
        <v>453</v>
      </c>
    </row>
    <row r="8" spans="1:11" ht="15.75" thickBot="1">
      <c r="A8" s="2397"/>
      <c r="B8" s="2414"/>
      <c r="C8" s="2414" t="s">
        <v>199</v>
      </c>
      <c r="D8" s="2414" t="s">
        <v>200</v>
      </c>
      <c r="E8" s="2414" t="s">
        <v>198</v>
      </c>
      <c r="F8" s="2414"/>
      <c r="G8" s="2454" t="s">
        <v>204</v>
      </c>
      <c r="H8" s="2414" t="s">
        <v>231</v>
      </c>
      <c r="I8" s="2441" t="s">
        <v>201</v>
      </c>
      <c r="J8" s="2397"/>
      <c r="K8" s="2397"/>
    </row>
    <row r="9" spans="1:11" ht="15.75" thickBot="1">
      <c r="A9" s="2397"/>
      <c r="B9" s="2414"/>
      <c r="C9" s="2414"/>
      <c r="D9" s="2414"/>
      <c r="E9" s="622" t="s">
        <v>231</v>
      </c>
      <c r="F9" s="622" t="s">
        <v>201</v>
      </c>
      <c r="G9" s="2454"/>
      <c r="H9" s="2522"/>
      <c r="I9" s="2527"/>
      <c r="J9" s="2489"/>
      <c r="K9" s="2489"/>
    </row>
    <row r="10" spans="1:11" ht="26.25" thickBot="1">
      <c r="A10" s="189">
        <v>3205022</v>
      </c>
      <c r="B10" s="363" t="s">
        <v>4</v>
      </c>
      <c r="C10" s="481" t="s">
        <v>210</v>
      </c>
      <c r="D10" s="481">
        <v>5</v>
      </c>
      <c r="E10" s="482">
        <f>+E11</f>
        <v>300000000.21503997</v>
      </c>
      <c r="F10" s="482">
        <f>+F11</f>
        <v>0</v>
      </c>
      <c r="G10" s="483">
        <f>+G11</f>
        <v>300000000.21503997</v>
      </c>
      <c r="H10" s="482">
        <f t="shared" ref="H10:I10" si="0">+H11</f>
        <v>150000000.31999999</v>
      </c>
      <c r="I10" s="482">
        <f t="shared" si="0"/>
        <v>50000000</v>
      </c>
      <c r="J10" s="483">
        <f>+J11</f>
        <v>200000000.31999999</v>
      </c>
      <c r="K10" s="483">
        <f>+K11</f>
        <v>500000000.53503996</v>
      </c>
    </row>
    <row r="11" spans="1:11" ht="24.75" thickBot="1">
      <c r="A11" s="11"/>
      <c r="B11" s="484" t="s">
        <v>318</v>
      </c>
      <c r="C11" s="485" t="s">
        <v>210</v>
      </c>
      <c r="D11" s="485">
        <v>5</v>
      </c>
      <c r="E11" s="486">
        <f>+'ACCIONES 320503'!I11</f>
        <v>300000000.21503997</v>
      </c>
      <c r="F11" s="486">
        <f>+'ACCIONES 320503'!J11</f>
        <v>0</v>
      </c>
      <c r="G11" s="486">
        <f>+SUM(E11:F11)</f>
        <v>300000000.21503997</v>
      </c>
      <c r="H11" s="486">
        <f>+'ACCIONES 320503'!M11</f>
        <v>150000000.31999999</v>
      </c>
      <c r="I11" s="486">
        <f>+'ACCIONES 320503'!N11</f>
        <v>50000000</v>
      </c>
      <c r="J11" s="1914">
        <f>+SUM(H11:I11)</f>
        <v>200000000.31999999</v>
      </c>
      <c r="K11" s="1917">
        <f>+J11+G11</f>
        <v>500000000.53503996</v>
      </c>
    </row>
    <row r="12" spans="1:11" ht="24.75" thickBot="1">
      <c r="A12" s="185">
        <v>3205022</v>
      </c>
      <c r="B12" s="336" t="s">
        <v>0</v>
      </c>
      <c r="C12" s="481" t="s">
        <v>209</v>
      </c>
      <c r="D12" s="481">
        <v>1</v>
      </c>
      <c r="E12" s="490">
        <f>+E13</f>
        <v>138973148</v>
      </c>
      <c r="F12" s="490">
        <f>+F13</f>
        <v>0</v>
      </c>
      <c r="G12" s="490">
        <f>+G13</f>
        <v>138973148</v>
      </c>
      <c r="H12" s="490">
        <f t="shared" ref="H12:I12" si="1">+H13</f>
        <v>0</v>
      </c>
      <c r="I12" s="490">
        <f t="shared" si="1"/>
        <v>0</v>
      </c>
      <c r="J12" s="1915">
        <f>+J13</f>
        <v>0</v>
      </c>
      <c r="K12" s="1918">
        <f>+K13</f>
        <v>138973148</v>
      </c>
    </row>
    <row r="13" spans="1:11" ht="15.75" thickBot="1">
      <c r="A13" s="11"/>
      <c r="B13" s="487" t="s">
        <v>660</v>
      </c>
      <c r="C13" s="488" t="s">
        <v>209</v>
      </c>
      <c r="D13" s="488">
        <v>1</v>
      </c>
      <c r="E13" s="489">
        <f>+'ACCIONES 320503'!I24</f>
        <v>138973148</v>
      </c>
      <c r="F13" s="489">
        <f>+'ACCIONES 320503'!J24</f>
        <v>0</v>
      </c>
      <c r="G13" s="489">
        <f>+SUM(E13:F13)</f>
        <v>138973148</v>
      </c>
      <c r="H13" s="489">
        <f>+'ACCIONES 320503'!M24</f>
        <v>0</v>
      </c>
      <c r="I13" s="489">
        <f>+'ACCIONES 320503'!N24</f>
        <v>0</v>
      </c>
      <c r="J13" s="1916">
        <f>+SUM(H13:I13)</f>
        <v>0</v>
      </c>
      <c r="K13" s="1919">
        <f>+J13+G13</f>
        <v>138973148</v>
      </c>
    </row>
    <row r="14" spans="1:11" s="11" customFormat="1" ht="15" customHeight="1" thickBot="1">
      <c r="A14" s="56"/>
      <c r="B14" s="2615" t="s">
        <v>228</v>
      </c>
      <c r="C14" s="2616"/>
      <c r="D14" s="2617"/>
      <c r="E14" s="767">
        <f>+E12+E10</f>
        <v>438973148.21503997</v>
      </c>
      <c r="F14" s="767">
        <f>+F12+F10</f>
        <v>0</v>
      </c>
      <c r="G14" s="768">
        <f>+G12+G10</f>
        <v>438973148.21503997</v>
      </c>
      <c r="H14" s="768">
        <f t="shared" ref="H14:K14" si="2">+H12+H10</f>
        <v>150000000.31999999</v>
      </c>
      <c r="I14" s="768">
        <f t="shared" si="2"/>
        <v>50000000</v>
      </c>
      <c r="J14" s="768">
        <f t="shared" si="2"/>
        <v>200000000.31999999</v>
      </c>
      <c r="K14" s="1920">
        <f t="shared" si="2"/>
        <v>638973148.5350399</v>
      </c>
    </row>
    <row r="15" spans="1:11" s="11" customFormat="1" ht="15.75" thickBot="1">
      <c r="A15"/>
      <c r="B15"/>
      <c r="C15"/>
      <c r="D15"/>
      <c r="E15"/>
      <c r="F15"/>
      <c r="G15"/>
    </row>
    <row r="16" spans="1:11" s="11" customFormat="1" ht="15.75" thickBot="1">
      <c r="A16"/>
      <c r="B16"/>
      <c r="C16"/>
      <c r="D16"/>
      <c r="E16" s="1050">
        <v>438973147.88704002</v>
      </c>
      <c r="F16" s="562">
        <v>0</v>
      </c>
      <c r="G16" s="1051">
        <v>438973147.88704002</v>
      </c>
      <c r="H16" s="1050">
        <v>150000000</v>
      </c>
      <c r="I16" s="562">
        <v>50000000</v>
      </c>
      <c r="J16" s="1051">
        <v>200000000</v>
      </c>
      <c r="K16" s="1051">
        <v>638973147.88704002</v>
      </c>
    </row>
    <row r="17" spans="1:11" s="11" customFormat="1">
      <c r="A17"/>
      <c r="B17"/>
      <c r="C17"/>
      <c r="D17"/>
      <c r="E17"/>
      <c r="F17"/>
      <c r="G17"/>
    </row>
    <row r="18" spans="1:11" s="1055" customFormat="1" ht="19.5" customHeight="1">
      <c r="A18" s="184"/>
      <c r="B18" s="184"/>
      <c r="C18" s="184"/>
      <c r="D18" s="184"/>
      <c r="E18" s="1054">
        <f>+E16-E14</f>
        <v>-0.32799994945526123</v>
      </c>
      <c r="F18" s="1054">
        <f>+F16-F14</f>
        <v>0</v>
      </c>
      <c r="G18" s="1054">
        <f>+G16-G14</f>
        <v>-0.32799994945526123</v>
      </c>
      <c r="H18" s="1054">
        <f t="shared" ref="H18:K18" si="3">+H16-H14</f>
        <v>-0.31999999284744263</v>
      </c>
      <c r="I18" s="1054">
        <f t="shared" si="3"/>
        <v>0</v>
      </c>
      <c r="J18" s="1054">
        <f t="shared" si="3"/>
        <v>-0.31999999284744263</v>
      </c>
      <c r="K18" s="1054">
        <f t="shared" si="3"/>
        <v>-0.64799988269805908</v>
      </c>
    </row>
    <row r="19" spans="1:11" s="1055" customFormat="1">
      <c r="G19" s="1056"/>
    </row>
    <row r="20" spans="1:11" s="56" customFormat="1">
      <c r="G20" s="297"/>
    </row>
    <row r="24" spans="1:11">
      <c r="G24" s="29"/>
    </row>
  </sheetData>
  <mergeCells count="20">
    <mergeCell ref="B1:B3"/>
    <mergeCell ref="J1:K1"/>
    <mergeCell ref="J2:K2"/>
    <mergeCell ref="J3:K3"/>
    <mergeCell ref="C1:I3"/>
    <mergeCell ref="B5:K5"/>
    <mergeCell ref="B6:K6"/>
    <mergeCell ref="A7:A9"/>
    <mergeCell ref="B14:D14"/>
    <mergeCell ref="B7:B9"/>
    <mergeCell ref="C7:G7"/>
    <mergeCell ref="C8:C9"/>
    <mergeCell ref="D8:D9"/>
    <mergeCell ref="G8:G9"/>
    <mergeCell ref="E8:F8"/>
    <mergeCell ref="H7:I7"/>
    <mergeCell ref="J7:J9"/>
    <mergeCell ref="K7:K9"/>
    <mergeCell ref="H8:H9"/>
    <mergeCell ref="I8:I9"/>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00B050"/>
  </sheetPr>
  <dimension ref="A1:J14"/>
  <sheetViews>
    <sheetView workbookViewId="0"/>
  </sheetViews>
  <sheetFormatPr baseColWidth="10" defaultRowHeight="15"/>
  <cols>
    <col min="1" max="1" width="7.42578125" customWidth="1"/>
    <col min="2" max="2" width="8.5703125" customWidth="1"/>
    <col min="3" max="3" width="11.42578125" customWidth="1"/>
    <col min="4" max="4" width="52.7109375" customWidth="1"/>
    <col min="5" max="5" width="17.85546875" customWidth="1"/>
    <col min="6" max="6" width="14.28515625" customWidth="1"/>
    <col min="7" max="7" width="14.5703125" customWidth="1"/>
    <col min="8" max="8" width="18.85546875" customWidth="1"/>
    <col min="9" max="9" width="17.85546875" customWidth="1"/>
  </cols>
  <sheetData>
    <row r="1" spans="1:10">
      <c r="D1" s="2405"/>
      <c r="E1" s="2430" t="s">
        <v>542</v>
      </c>
      <c r="F1" s="2431"/>
      <c r="G1" s="2432"/>
      <c r="H1" s="2495" t="s">
        <v>539</v>
      </c>
      <c r="I1" s="2496"/>
    </row>
    <row r="2" spans="1:10">
      <c r="D2" s="2406"/>
      <c r="E2" s="2433"/>
      <c r="F2" s="2434"/>
      <c r="G2" s="2435"/>
      <c r="H2" s="2497" t="s">
        <v>540</v>
      </c>
      <c r="I2" s="2498"/>
    </row>
    <row r="3" spans="1:10" ht="15.75" thickBot="1">
      <c r="D3" s="2407"/>
      <c r="E3" s="2436"/>
      <c r="F3" s="2437"/>
      <c r="G3" s="2438"/>
      <c r="H3" s="2499" t="s">
        <v>541</v>
      </c>
      <c r="I3" s="2500"/>
    </row>
    <row r="4" spans="1:10" ht="10.5" customHeight="1" thickBot="1"/>
    <row r="5" spans="1:10" ht="15.75" thickBot="1">
      <c r="D5" s="2528" t="s">
        <v>188</v>
      </c>
      <c r="E5" s="2529"/>
      <c r="F5" s="2529"/>
      <c r="G5" s="2529"/>
      <c r="H5" s="2529"/>
      <c r="I5" s="2530"/>
    </row>
    <row r="6" spans="1:10" ht="21.75" customHeight="1" thickBot="1">
      <c r="D6" s="2586" t="s">
        <v>378</v>
      </c>
      <c r="E6" s="2586"/>
      <c r="F6" s="2586"/>
      <c r="G6" s="2586"/>
      <c r="H6" s="2586"/>
      <c r="I6" s="2586"/>
    </row>
    <row r="7" spans="1:10" ht="15" customHeight="1" thickBot="1">
      <c r="A7" s="2630" t="s">
        <v>613</v>
      </c>
      <c r="B7" s="2629" t="s">
        <v>604</v>
      </c>
      <c r="C7" s="2627" t="s">
        <v>433</v>
      </c>
      <c r="D7" s="2622" t="s">
        <v>197</v>
      </c>
      <c r="E7" s="2624">
        <v>2023</v>
      </c>
      <c r="F7" s="2625"/>
      <c r="G7" s="2625"/>
      <c r="H7" s="2626"/>
      <c r="I7" s="2489" t="s">
        <v>204</v>
      </c>
      <c r="J7" s="2618"/>
    </row>
    <row r="8" spans="1:10" ht="25.5" customHeight="1" thickBot="1">
      <c r="A8" s="2631"/>
      <c r="B8" s="2553"/>
      <c r="C8" s="2628"/>
      <c r="D8" s="2623"/>
      <c r="E8" s="216" t="s">
        <v>229</v>
      </c>
      <c r="F8" s="215" t="s">
        <v>230</v>
      </c>
      <c r="G8" s="219" t="s">
        <v>437</v>
      </c>
      <c r="H8" s="217" t="s">
        <v>200</v>
      </c>
      <c r="I8" s="2401"/>
      <c r="J8" s="2618"/>
    </row>
    <row r="9" spans="1:10" ht="25.5">
      <c r="C9" s="184">
        <v>3205021</v>
      </c>
      <c r="D9" s="1177" t="s">
        <v>380</v>
      </c>
      <c r="E9" s="214"/>
      <c r="F9" s="214"/>
      <c r="G9" s="218" t="s">
        <v>214</v>
      </c>
      <c r="H9" s="218">
        <v>100</v>
      </c>
      <c r="I9" s="137"/>
      <c r="J9" s="134"/>
    </row>
    <row r="10" spans="1:10" ht="25.5">
      <c r="B10" s="1434"/>
      <c r="D10" s="1173" t="s">
        <v>614</v>
      </c>
      <c r="E10" s="1174"/>
      <c r="F10" s="1174"/>
      <c r="G10" s="1175"/>
      <c r="H10" s="1175"/>
      <c r="I10" s="1176"/>
      <c r="J10" s="1048"/>
    </row>
    <row r="11" spans="1:10" ht="45.75" thickBot="1">
      <c r="D11" s="135" t="s">
        <v>377</v>
      </c>
      <c r="E11" s="132"/>
      <c r="F11" s="132"/>
      <c r="G11" s="796" t="s">
        <v>379</v>
      </c>
      <c r="H11" s="796">
        <v>1</v>
      </c>
      <c r="I11" s="797"/>
    </row>
    <row r="12" spans="1:10" ht="15.75">
      <c r="C12" s="362"/>
      <c r="D12" s="2619" t="s">
        <v>10</v>
      </c>
      <c r="E12" s="2620"/>
      <c r="F12" s="2620"/>
      <c r="G12" s="2620"/>
      <c r="H12" s="2621"/>
      <c r="I12" s="136">
        <f>+I11</f>
        <v>0</v>
      </c>
    </row>
    <row r="14" spans="1:10" ht="15.75">
      <c r="D14" s="6" t="s">
        <v>381</v>
      </c>
    </row>
  </sheetData>
  <mergeCells count="15">
    <mergeCell ref="C7:C8"/>
    <mergeCell ref="B7:B8"/>
    <mergeCell ref="A7:A8"/>
    <mergeCell ref="D5:I5"/>
    <mergeCell ref="D6:I6"/>
    <mergeCell ref="I7:I8"/>
    <mergeCell ref="J7:J8"/>
    <mergeCell ref="D12:H12"/>
    <mergeCell ref="D7:D8"/>
    <mergeCell ref="E7:H7"/>
    <mergeCell ref="D1:D3"/>
    <mergeCell ref="E1:G3"/>
    <mergeCell ref="H1:I1"/>
    <mergeCell ref="H2:I2"/>
    <mergeCell ref="H3:I3"/>
  </mergeCells>
  <pageMargins left="0.7" right="0.7" top="0.75" bottom="0.75" header="0.3" footer="0.3"/>
  <pageSetup orientation="portrait" verticalDpi="597"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3">
    <tabColor theme="7" tint="0.59999389629810485"/>
  </sheetPr>
  <dimension ref="A1:P50"/>
  <sheetViews>
    <sheetView workbookViewId="0"/>
  </sheetViews>
  <sheetFormatPr baseColWidth="10" defaultRowHeight="15"/>
  <cols>
    <col min="1" max="1" width="5" customWidth="1"/>
    <col min="2" max="2" width="6" customWidth="1"/>
    <col min="3" max="3" width="41.85546875" customWidth="1"/>
    <col min="4" max="4" width="16.42578125" customWidth="1"/>
    <col min="5" max="5" width="12.140625" customWidth="1"/>
    <col min="6" max="6" width="7.140625" style="362" customWidth="1"/>
    <col min="7" max="8" width="12" style="362" customWidth="1"/>
    <col min="9" max="9" width="15.7109375" style="362" customWidth="1"/>
    <col min="10" max="10" width="10.28515625" style="362" customWidth="1"/>
    <col min="11" max="11" width="14.42578125" style="362" customWidth="1"/>
    <col min="12" max="12" width="16.85546875" style="179" customWidth="1"/>
    <col min="13" max="14" width="18.42578125" customWidth="1"/>
    <col min="15" max="15" width="17.7109375" customWidth="1"/>
    <col min="16" max="16" width="17.42578125" customWidth="1"/>
  </cols>
  <sheetData>
    <row r="1" spans="1:16" ht="15" customHeight="1">
      <c r="C1" s="2405"/>
      <c r="D1" s="2430" t="s">
        <v>542</v>
      </c>
      <c r="E1" s="2431"/>
      <c r="F1" s="2431"/>
      <c r="G1" s="2431"/>
      <c r="H1" s="2431"/>
      <c r="I1" s="2431"/>
      <c r="J1" s="2431"/>
      <c r="K1" s="2431"/>
      <c r="L1" s="2431"/>
      <c r="M1" s="2431"/>
      <c r="N1" s="2432"/>
      <c r="O1" s="2495" t="s">
        <v>539</v>
      </c>
      <c r="P1" s="2496"/>
    </row>
    <row r="2" spans="1:16">
      <c r="C2" s="2406"/>
      <c r="D2" s="2433"/>
      <c r="E2" s="2434"/>
      <c r="F2" s="2434"/>
      <c r="G2" s="2434"/>
      <c r="H2" s="2434"/>
      <c r="I2" s="2434"/>
      <c r="J2" s="2434"/>
      <c r="K2" s="2434"/>
      <c r="L2" s="2434"/>
      <c r="M2" s="2434"/>
      <c r="N2" s="2435"/>
      <c r="O2" s="2497" t="s">
        <v>540</v>
      </c>
      <c r="P2" s="2498"/>
    </row>
    <row r="3" spans="1:16" ht="15.75" customHeight="1" thickBot="1">
      <c r="C3" s="2407"/>
      <c r="D3" s="2436"/>
      <c r="E3" s="2437"/>
      <c r="F3" s="2437"/>
      <c r="G3" s="2437"/>
      <c r="H3" s="2437"/>
      <c r="I3" s="2437"/>
      <c r="J3" s="2437"/>
      <c r="K3" s="2437"/>
      <c r="L3" s="2437"/>
      <c r="M3" s="2437"/>
      <c r="N3" s="2438"/>
      <c r="O3" s="2499" t="s">
        <v>541</v>
      </c>
      <c r="P3" s="2500"/>
    </row>
    <row r="4" spans="1:16" ht="7.5" customHeight="1" thickBot="1"/>
    <row r="5" spans="1:16" s="1" customFormat="1" ht="15.75" customHeight="1" thickBot="1">
      <c r="C5" s="2528" t="s">
        <v>188</v>
      </c>
      <c r="D5" s="2529"/>
      <c r="E5" s="2529"/>
      <c r="F5" s="2529"/>
      <c r="G5" s="2529"/>
      <c r="H5" s="2529"/>
      <c r="I5" s="2529"/>
      <c r="J5" s="2529"/>
      <c r="K5" s="2529"/>
      <c r="L5" s="2529"/>
      <c r="M5" s="2529"/>
      <c r="N5" s="2529"/>
      <c r="O5" s="2529"/>
      <c r="P5" s="2530"/>
    </row>
    <row r="6" spans="1:16" ht="15.75" thickBot="1">
      <c r="C6" s="2402" t="s">
        <v>190</v>
      </c>
      <c r="D6" s="2403"/>
      <c r="E6" s="2403"/>
      <c r="F6" s="2403"/>
      <c r="G6" s="2403"/>
      <c r="H6" s="2403"/>
      <c r="I6" s="2403"/>
      <c r="J6" s="2403"/>
      <c r="K6" s="2403"/>
      <c r="L6" s="2403"/>
      <c r="M6" s="2403"/>
      <c r="N6" s="2403"/>
      <c r="O6" s="2403"/>
      <c r="P6" s="2404"/>
    </row>
    <row r="7" spans="1:16" ht="15" customHeight="1" thickBot="1">
      <c r="A7" s="2397" t="s">
        <v>543</v>
      </c>
      <c r="B7" s="2397" t="s">
        <v>544</v>
      </c>
      <c r="C7" s="2397" t="s">
        <v>435</v>
      </c>
      <c r="D7" s="2397" t="s">
        <v>436</v>
      </c>
      <c r="E7" s="2397" t="s">
        <v>497</v>
      </c>
      <c r="F7" s="2397" t="s">
        <v>437</v>
      </c>
      <c r="G7" s="2397" t="s">
        <v>200</v>
      </c>
      <c r="H7" s="2489" t="s">
        <v>576</v>
      </c>
      <c r="I7" s="2398" t="s">
        <v>198</v>
      </c>
      <c r="J7" s="2399"/>
      <c r="K7" s="2400"/>
      <c r="L7" s="2397" t="s">
        <v>1212</v>
      </c>
      <c r="M7" s="2397" t="s">
        <v>1213</v>
      </c>
      <c r="N7" s="2398"/>
      <c r="O7" s="2397" t="s">
        <v>1212</v>
      </c>
      <c r="P7" s="2397" t="s">
        <v>453</v>
      </c>
    </row>
    <row r="8" spans="1:16" ht="15.75" thickBot="1">
      <c r="A8" s="2397"/>
      <c r="B8" s="2397"/>
      <c r="C8" s="2397"/>
      <c r="D8" s="2397"/>
      <c r="E8" s="2397"/>
      <c r="F8" s="2397"/>
      <c r="G8" s="2397"/>
      <c r="H8" s="2423"/>
      <c r="I8" s="2414" t="s">
        <v>231</v>
      </c>
      <c r="J8" s="2441" t="s">
        <v>201</v>
      </c>
      <c r="K8" s="2522" t="s">
        <v>250</v>
      </c>
      <c r="L8" s="2397"/>
      <c r="M8" s="2414" t="s">
        <v>231</v>
      </c>
      <c r="N8" s="2441" t="s">
        <v>201</v>
      </c>
      <c r="O8" s="2397"/>
      <c r="P8" s="2397"/>
    </row>
    <row r="9" spans="1:16" ht="28.5" customHeight="1" thickBot="1">
      <c r="A9" s="2489"/>
      <c r="B9" s="2489"/>
      <c r="C9" s="2489"/>
      <c r="D9" s="2489"/>
      <c r="E9" s="2489"/>
      <c r="F9" s="2489"/>
      <c r="G9" s="2489"/>
      <c r="H9" s="2401"/>
      <c r="I9" s="2522"/>
      <c r="J9" s="2527"/>
      <c r="K9" s="2424"/>
      <c r="L9" s="2489"/>
      <c r="M9" s="2522"/>
      <c r="N9" s="2527"/>
      <c r="O9" s="2489"/>
      <c r="P9" s="2489"/>
    </row>
    <row r="10" spans="1:16" ht="26.25" thickBot="1">
      <c r="A10" s="1052">
        <v>151</v>
      </c>
      <c r="B10" s="1443"/>
      <c r="C10" s="633" t="s">
        <v>4</v>
      </c>
      <c r="D10" s="634"/>
      <c r="E10" s="634"/>
      <c r="F10" s="634" t="s">
        <v>210</v>
      </c>
      <c r="G10" s="634">
        <v>5</v>
      </c>
      <c r="H10" s="634"/>
      <c r="I10" s="711">
        <f>+I11</f>
        <v>300000000.21503997</v>
      </c>
      <c r="J10" s="711">
        <f>J11</f>
        <v>0</v>
      </c>
      <c r="K10" s="2179">
        <f t="shared" ref="K10:P10" si="0">+K11</f>
        <v>30862216</v>
      </c>
      <c r="L10" s="1062">
        <f t="shared" si="0"/>
        <v>330862216.21503997</v>
      </c>
      <c r="M10" s="711">
        <f t="shared" si="0"/>
        <v>150000000.31999999</v>
      </c>
      <c r="N10" s="711">
        <f t="shared" si="0"/>
        <v>50000000</v>
      </c>
      <c r="O10" s="1062">
        <f t="shared" si="0"/>
        <v>200000000.31999999</v>
      </c>
      <c r="P10" s="1062">
        <f t="shared" si="0"/>
        <v>530862216.53504002</v>
      </c>
    </row>
    <row r="11" spans="1:16" ht="25.5">
      <c r="A11" s="1052"/>
      <c r="B11" s="1443" t="s">
        <v>1096</v>
      </c>
      <c r="C11" s="628" t="s">
        <v>318</v>
      </c>
      <c r="D11" s="629"/>
      <c r="E11" s="629"/>
      <c r="F11" s="629" t="s">
        <v>210</v>
      </c>
      <c r="G11" s="629">
        <v>5</v>
      </c>
      <c r="H11" s="629"/>
      <c r="I11" s="729">
        <f>SUM(I12:I23)</f>
        <v>300000000.21503997</v>
      </c>
      <c r="J11" s="729">
        <f>SUM(J12:J23)</f>
        <v>0</v>
      </c>
      <c r="K11" s="729">
        <f>SUM(K12:K23)</f>
        <v>30862216</v>
      </c>
      <c r="L11" s="1063">
        <f>SUM(L12:L23)</f>
        <v>330862216.21503997</v>
      </c>
      <c r="M11" s="729">
        <f t="shared" ref="M11:O11" si="1">SUM(M12:M23)</f>
        <v>150000000.31999999</v>
      </c>
      <c r="N11" s="729">
        <f t="shared" si="1"/>
        <v>50000000</v>
      </c>
      <c r="O11" s="1063">
        <f t="shared" si="1"/>
        <v>200000000.31999999</v>
      </c>
      <c r="P11" s="1063">
        <f>SUM(P12:P23)</f>
        <v>530862216.53504002</v>
      </c>
    </row>
    <row r="12" spans="1:16" s="812" customFormat="1" ht="26.25" customHeight="1">
      <c r="B12" s="1423"/>
      <c r="C12" s="567" t="s">
        <v>1180</v>
      </c>
      <c r="D12" s="911" t="s">
        <v>235</v>
      </c>
      <c r="E12" s="810"/>
      <c r="F12" s="2070" t="s">
        <v>210</v>
      </c>
      <c r="G12" s="2070">
        <v>1</v>
      </c>
      <c r="H12" s="1083"/>
      <c r="I12" s="1061">
        <v>121182800</v>
      </c>
      <c r="J12" s="573"/>
      <c r="K12" s="2180"/>
      <c r="L12" s="1064">
        <f>SUM(I12:K12)</f>
        <v>121182800</v>
      </c>
      <c r="M12" s="1061"/>
      <c r="N12" s="1061"/>
      <c r="O12" s="1064">
        <f t="shared" ref="O12:O23" si="2">SUM(M12:N12)</f>
        <v>0</v>
      </c>
      <c r="P12" s="1064">
        <f>O12+L12</f>
        <v>121182800</v>
      </c>
    </row>
    <row r="13" spans="1:16" s="812" customFormat="1" ht="25.5">
      <c r="B13" s="1423"/>
      <c r="C13" s="567" t="s">
        <v>1342</v>
      </c>
      <c r="D13" s="2073" t="s">
        <v>235</v>
      </c>
      <c r="E13" s="31">
        <v>83990</v>
      </c>
      <c r="F13" s="2070" t="s">
        <v>210</v>
      </c>
      <c r="G13" s="2070">
        <v>1</v>
      </c>
      <c r="H13" s="1061"/>
      <c r="I13" s="1061"/>
      <c r="J13" s="573"/>
      <c r="K13" s="2180"/>
      <c r="L13" s="1064">
        <f t="shared" ref="L13:L23" si="3">SUM(I13:K13)</f>
        <v>0</v>
      </c>
      <c r="M13" s="1061">
        <v>95376988</v>
      </c>
      <c r="N13" s="1061"/>
      <c r="O13" s="1064">
        <f t="shared" si="2"/>
        <v>95376988</v>
      </c>
      <c r="P13" s="1064">
        <f>O13+L13</f>
        <v>95376988</v>
      </c>
    </row>
    <row r="14" spans="1:16" s="812" customFormat="1" ht="26.25" customHeight="1">
      <c r="B14" s="1423"/>
      <c r="C14" s="567" t="s">
        <v>1341</v>
      </c>
      <c r="D14" s="810" t="s">
        <v>235</v>
      </c>
      <c r="E14" s="810"/>
      <c r="F14" s="2070" t="s">
        <v>210</v>
      </c>
      <c r="G14" s="2070">
        <v>1</v>
      </c>
      <c r="H14" s="1083"/>
      <c r="I14" s="1061">
        <v>93678000</v>
      </c>
      <c r="J14" s="573"/>
      <c r="K14" s="2180"/>
      <c r="L14" s="1064">
        <f t="shared" si="3"/>
        <v>93678000</v>
      </c>
      <c r="M14" s="1061">
        <f>150000000-113232706</f>
        <v>36767294</v>
      </c>
      <c r="N14" s="1061">
        <v>50000000</v>
      </c>
      <c r="O14" s="1064">
        <f t="shared" si="2"/>
        <v>86767294</v>
      </c>
      <c r="P14" s="1064">
        <f t="shared" ref="P14:P23" si="4">O14+L14</f>
        <v>180445294</v>
      </c>
    </row>
    <row r="15" spans="1:16" s="1" customFormat="1" ht="15" customHeight="1">
      <c r="C15" s="2574" t="s">
        <v>1339</v>
      </c>
      <c r="D15" s="810" t="s">
        <v>729</v>
      </c>
      <c r="E15" s="810">
        <v>32210</v>
      </c>
      <c r="F15" s="2070" t="s">
        <v>210</v>
      </c>
      <c r="G15" s="2070">
        <v>1</v>
      </c>
      <c r="H15" s="1061"/>
      <c r="I15" s="1061"/>
      <c r="J15" s="573"/>
      <c r="K15" s="2180"/>
      <c r="L15" s="1064">
        <f t="shared" si="3"/>
        <v>0</v>
      </c>
      <c r="M15" s="1061">
        <f>900000*1.004</f>
        <v>903600</v>
      </c>
      <c r="N15" s="1061"/>
      <c r="O15" s="1064">
        <f t="shared" si="2"/>
        <v>903600</v>
      </c>
      <c r="P15" s="1064">
        <f t="shared" si="4"/>
        <v>903600</v>
      </c>
    </row>
    <row r="16" spans="1:16" s="1" customFormat="1" ht="15" customHeight="1">
      <c r="C16" s="2575"/>
      <c r="D16" s="2632" t="s">
        <v>1335</v>
      </c>
      <c r="E16" s="810">
        <v>45272</v>
      </c>
      <c r="F16" s="2070" t="s">
        <v>210</v>
      </c>
      <c r="G16" s="2070">
        <v>1</v>
      </c>
      <c r="H16" s="1061"/>
      <c r="I16" s="1061"/>
      <c r="J16" s="573"/>
      <c r="K16" s="2180"/>
      <c r="L16" s="1064">
        <f t="shared" si="3"/>
        <v>0</v>
      </c>
      <c r="M16" s="1061">
        <f>558000*1.004</f>
        <v>560232</v>
      </c>
      <c r="N16" s="1061"/>
      <c r="O16" s="1064">
        <f t="shared" si="2"/>
        <v>560232</v>
      </c>
      <c r="P16" s="1064">
        <f t="shared" si="4"/>
        <v>560232</v>
      </c>
    </row>
    <row r="17" spans="1:16" s="1" customFormat="1" ht="15" customHeight="1">
      <c r="C17" s="2575"/>
      <c r="D17" s="2633"/>
      <c r="E17" s="810">
        <v>46410</v>
      </c>
      <c r="F17" s="2070" t="s">
        <v>210</v>
      </c>
      <c r="G17" s="2070">
        <v>1</v>
      </c>
      <c r="H17" s="1061"/>
      <c r="I17" s="1061"/>
      <c r="J17" s="573"/>
      <c r="K17" s="2180"/>
      <c r="L17" s="1064">
        <f t="shared" si="3"/>
        <v>0</v>
      </c>
      <c r="M17" s="1061">
        <f>2239680*1.004</f>
        <v>2248638.7200000002</v>
      </c>
      <c r="N17" s="1061"/>
      <c r="O17" s="1064">
        <f t="shared" si="2"/>
        <v>2248638.7200000002</v>
      </c>
      <c r="P17" s="1064">
        <f t="shared" si="4"/>
        <v>2248638.7200000002</v>
      </c>
    </row>
    <row r="18" spans="1:16" s="1" customFormat="1" ht="15" customHeight="1">
      <c r="C18" s="2575"/>
      <c r="D18" s="2633"/>
      <c r="E18" s="810">
        <v>48220</v>
      </c>
      <c r="F18" s="2070" t="s">
        <v>210</v>
      </c>
      <c r="G18" s="2070">
        <v>1</v>
      </c>
      <c r="H18" s="1061"/>
      <c r="I18" s="1061"/>
      <c r="J18" s="573"/>
      <c r="K18" s="2180"/>
      <c r="L18" s="1064">
        <f t="shared" si="3"/>
        <v>0</v>
      </c>
      <c r="M18" s="1061">
        <f>5060000*1.004</f>
        <v>5080240</v>
      </c>
      <c r="N18" s="1061"/>
      <c r="O18" s="1064">
        <f t="shared" si="2"/>
        <v>5080240</v>
      </c>
      <c r="P18" s="1064">
        <f t="shared" si="4"/>
        <v>5080240</v>
      </c>
    </row>
    <row r="19" spans="1:16" s="1" customFormat="1" ht="15" customHeight="1">
      <c r="C19" s="2575"/>
      <c r="D19" s="2633"/>
      <c r="E19" s="810">
        <v>48314</v>
      </c>
      <c r="F19" s="2070" t="s">
        <v>210</v>
      </c>
      <c r="G19" s="2070">
        <v>1</v>
      </c>
      <c r="H19" s="1061"/>
      <c r="I19" s="1061"/>
      <c r="J19" s="573"/>
      <c r="K19" s="2180"/>
      <c r="L19" s="1064">
        <f t="shared" si="3"/>
        <v>0</v>
      </c>
      <c r="M19" s="1061">
        <f>2407000*1.004</f>
        <v>2416628</v>
      </c>
      <c r="N19" s="1061"/>
      <c r="O19" s="1064">
        <f t="shared" si="2"/>
        <v>2416628</v>
      </c>
      <c r="P19" s="1064">
        <f t="shared" si="4"/>
        <v>2416628</v>
      </c>
    </row>
    <row r="20" spans="1:16" s="1" customFormat="1" ht="12.75">
      <c r="C20" s="2576"/>
      <c r="D20" s="2634"/>
      <c r="E20" s="810">
        <v>48322</v>
      </c>
      <c r="F20" s="2070" t="s">
        <v>210</v>
      </c>
      <c r="G20" s="2070">
        <v>1</v>
      </c>
      <c r="H20" s="1061"/>
      <c r="I20" s="1061"/>
      <c r="J20" s="573"/>
      <c r="K20" s="2180"/>
      <c r="L20" s="1064">
        <f t="shared" si="3"/>
        <v>0</v>
      </c>
      <c r="M20" s="1061">
        <f>6619900*1.004</f>
        <v>6646379.5999999996</v>
      </c>
      <c r="N20" s="1061"/>
      <c r="O20" s="1064">
        <f t="shared" si="2"/>
        <v>6646379.5999999996</v>
      </c>
      <c r="P20" s="1064">
        <f t="shared" si="4"/>
        <v>6646379.5999999996</v>
      </c>
    </row>
    <row r="21" spans="1:16" s="812" customFormat="1" ht="26.25" customHeight="1">
      <c r="B21" s="1423"/>
      <c r="C21" s="567" t="s">
        <v>1181</v>
      </c>
      <c r="D21" s="911" t="s">
        <v>235</v>
      </c>
      <c r="E21" s="810"/>
      <c r="F21" s="2213" t="s">
        <v>209</v>
      </c>
      <c r="G21" s="2213">
        <v>1</v>
      </c>
      <c r="H21" s="1083"/>
      <c r="I21" s="1061">
        <v>29919200</v>
      </c>
      <c r="J21" s="573"/>
      <c r="K21" s="2180"/>
      <c r="L21" s="1064">
        <f t="shared" si="3"/>
        <v>29919200</v>
      </c>
      <c r="M21" s="1061"/>
      <c r="N21" s="1061"/>
      <c r="O21" s="1064">
        <f t="shared" si="2"/>
        <v>0</v>
      </c>
      <c r="P21" s="1064">
        <f t="shared" si="4"/>
        <v>29919200</v>
      </c>
    </row>
    <row r="22" spans="1:16" s="812" customFormat="1" ht="26.25" customHeight="1">
      <c r="B22" s="1423"/>
      <c r="C22" s="366" t="s">
        <v>1412</v>
      </c>
      <c r="D22" s="2221" t="s">
        <v>585</v>
      </c>
      <c r="E22" s="2215"/>
      <c r="F22" s="2216"/>
      <c r="G22" s="2216"/>
      <c r="H22" s="2176"/>
      <c r="I22" s="2177"/>
      <c r="J22" s="573"/>
      <c r="K22" s="2222">
        <v>30862216</v>
      </c>
      <c r="L22" s="1064">
        <f>SUM(I22:K22)</f>
        <v>30862216</v>
      </c>
      <c r="M22" s="2177"/>
      <c r="N22" s="2177"/>
      <c r="O22" s="2178"/>
      <c r="P22" s="1064">
        <f>O22+L22</f>
        <v>30862216</v>
      </c>
    </row>
    <row r="23" spans="1:16" s="812" customFormat="1" ht="26.25" customHeight="1" thickBot="1">
      <c r="B23" s="1423"/>
      <c r="C23" s="567" t="s">
        <v>538</v>
      </c>
      <c r="D23" s="911" t="s">
        <v>235</v>
      </c>
      <c r="E23" s="251"/>
      <c r="F23" s="811" t="s">
        <v>210</v>
      </c>
      <c r="G23" s="811">
        <v>11</v>
      </c>
      <c r="H23" s="282"/>
      <c r="I23" s="1061">
        <f>55437480.21504-217480</f>
        <v>55220000.215039998</v>
      </c>
      <c r="J23" s="573"/>
      <c r="K23" s="2180"/>
      <c r="L23" s="1064">
        <f t="shared" si="3"/>
        <v>55220000.215039998</v>
      </c>
      <c r="M23" s="1061"/>
      <c r="N23" s="1061"/>
      <c r="O23" s="1064">
        <f t="shared" si="2"/>
        <v>0</v>
      </c>
      <c r="P23" s="1064">
        <f t="shared" si="4"/>
        <v>55220000.215039998</v>
      </c>
    </row>
    <row r="24" spans="1:16" s="1" customFormat="1" ht="24">
      <c r="A24" s="1053">
        <v>152</v>
      </c>
      <c r="B24" s="1424"/>
      <c r="C24" s="1102" t="s">
        <v>0</v>
      </c>
      <c r="D24" s="1103"/>
      <c r="E24" s="1103"/>
      <c r="F24" s="1104" t="s">
        <v>209</v>
      </c>
      <c r="G24" s="1104">
        <v>1</v>
      </c>
      <c r="H24" s="1104"/>
      <c r="I24" s="1105">
        <f>+I25</f>
        <v>138973148</v>
      </c>
      <c r="J24" s="1105">
        <f>+J25</f>
        <v>0</v>
      </c>
      <c r="K24" s="2181"/>
      <c r="L24" s="1107">
        <f>+L25</f>
        <v>138973148</v>
      </c>
      <c r="M24" s="1105">
        <f>+M25</f>
        <v>0</v>
      </c>
      <c r="N24" s="1106"/>
      <c r="O24" s="1107">
        <f>+O25</f>
        <v>0</v>
      </c>
      <c r="P24" s="1107">
        <f>+P25</f>
        <v>138973148</v>
      </c>
    </row>
    <row r="25" spans="1:16" s="812" customFormat="1" ht="12.75">
      <c r="A25" s="1053"/>
      <c r="B25" s="1424" t="s">
        <v>1097</v>
      </c>
      <c r="C25" s="1091" t="s">
        <v>725</v>
      </c>
      <c r="D25" s="798"/>
      <c r="E25" s="798"/>
      <c r="F25" s="1093"/>
      <c r="G25" s="1093"/>
      <c r="H25" s="1093"/>
      <c r="I25" s="1070">
        <f>SUM(I26)</f>
        <v>138973148</v>
      </c>
      <c r="J25" s="1070">
        <f>SUM(J26)</f>
        <v>0</v>
      </c>
      <c r="K25" s="2182"/>
      <c r="L25" s="1114">
        <f>SUM(L26)</f>
        <v>138973148</v>
      </c>
      <c r="M25" s="1070">
        <f>SUM(M26)</f>
        <v>0</v>
      </c>
      <c r="N25" s="1112"/>
      <c r="O25" s="1114">
        <f>SUM(O26)</f>
        <v>0</v>
      </c>
      <c r="P25" s="1114">
        <f>SUM(P26)</f>
        <v>138973148</v>
      </c>
    </row>
    <row r="26" spans="1:16">
      <c r="A26" s="1052"/>
      <c r="B26" s="1444"/>
      <c r="C26" s="1108" t="s">
        <v>227</v>
      </c>
      <c r="D26" s="1109"/>
      <c r="E26" s="1109"/>
      <c r="F26" s="1110" t="s">
        <v>209</v>
      </c>
      <c r="G26" s="1110">
        <v>1</v>
      </c>
      <c r="H26" s="1110"/>
      <c r="I26" s="1111">
        <v>138973148</v>
      </c>
      <c r="J26" s="1111"/>
      <c r="K26" s="2183"/>
      <c r="L26" s="1115">
        <f>+SUM(I26:J26)</f>
        <v>138973148</v>
      </c>
      <c r="M26" s="1111"/>
      <c r="N26" s="1113"/>
      <c r="O26" s="1115">
        <f>+SUM(M26:N26)</f>
        <v>0</v>
      </c>
      <c r="P26" s="1115">
        <f>O26+L26</f>
        <v>138973148</v>
      </c>
    </row>
    <row r="27" spans="1:16" ht="15.75" thickBot="1">
      <c r="B27" s="1434"/>
      <c r="C27" s="2444" t="s">
        <v>10</v>
      </c>
      <c r="D27" s="2445"/>
      <c r="E27" s="2445"/>
      <c r="F27" s="2445"/>
      <c r="G27" s="2635"/>
      <c r="H27" s="1467"/>
      <c r="I27" s="769">
        <f>I10+I24</f>
        <v>438973148.21503997</v>
      </c>
      <c r="J27" s="769">
        <f>J10+J24</f>
        <v>0</v>
      </c>
      <c r="K27" s="769"/>
      <c r="L27" s="1065">
        <f>+L10+L24</f>
        <v>469835364.21503997</v>
      </c>
      <c r="M27" s="769">
        <f>M10+M24</f>
        <v>150000000.31999999</v>
      </c>
      <c r="N27" s="769">
        <f>N10+N24</f>
        <v>50000000</v>
      </c>
      <c r="O27" s="1065">
        <f>+O10+O24</f>
        <v>200000000.31999999</v>
      </c>
      <c r="P27" s="1065">
        <f>+P10+P24</f>
        <v>669835364.53504002</v>
      </c>
    </row>
    <row r="28" spans="1:16" ht="15.75" thickBot="1">
      <c r="B28" s="1434"/>
      <c r="M28" s="362"/>
      <c r="N28" s="362"/>
      <c r="O28" s="179"/>
      <c r="P28" s="179"/>
    </row>
    <row r="29" spans="1:16" ht="15.75" thickBot="1">
      <c r="B29" s="1434"/>
      <c r="I29" s="1050">
        <v>438973147.88704002</v>
      </c>
      <c r="J29" s="562">
        <v>0</v>
      </c>
      <c r="K29" s="562">
        <v>30862216</v>
      </c>
      <c r="L29" s="1051">
        <f>438973147.88704+30862216</f>
        <v>469835363.88704002</v>
      </c>
      <c r="M29" s="1050">
        <v>150000000</v>
      </c>
      <c r="N29" s="562">
        <v>50000000</v>
      </c>
      <c r="O29" s="1051">
        <v>200000000</v>
      </c>
      <c r="P29" s="1051">
        <f>638973147.88704+30862216</f>
        <v>669835363.88704002</v>
      </c>
    </row>
    <row r="30" spans="1:16">
      <c r="B30" s="1434"/>
      <c r="M30" s="362"/>
      <c r="N30" s="362"/>
    </row>
    <row r="31" spans="1:16">
      <c r="I31" s="279">
        <f>+I29-I27</f>
        <v>-0.32799994945526123</v>
      </c>
      <c r="J31" s="279">
        <f>+J29-J27</f>
        <v>0</v>
      </c>
      <c r="K31" s="279"/>
      <c r="L31" s="279">
        <f>+L29-L27</f>
        <v>-0.32799994945526123</v>
      </c>
      <c r="M31" s="279">
        <f t="shared" ref="M31:P31" si="5">+M29-M27</f>
        <v>-0.31999999284744263</v>
      </c>
      <c r="N31" s="279">
        <f t="shared" si="5"/>
        <v>0</v>
      </c>
      <c r="O31" s="279">
        <f t="shared" si="5"/>
        <v>-0.31999999284744263</v>
      </c>
      <c r="P31" s="279">
        <f t="shared" si="5"/>
        <v>-0.64800000190734863</v>
      </c>
    </row>
    <row r="32" spans="1:16">
      <c r="F32"/>
      <c r="G32"/>
      <c r="H32"/>
      <c r="I32"/>
      <c r="J32"/>
      <c r="K32"/>
      <c r="L32"/>
    </row>
    <row r="33" spans="6:13">
      <c r="F33"/>
      <c r="G33"/>
      <c r="H33"/>
      <c r="I33"/>
      <c r="J33"/>
      <c r="K33"/>
      <c r="L33"/>
    </row>
    <row r="34" spans="6:13">
      <c r="F34"/>
      <c r="G34"/>
      <c r="H34"/>
      <c r="I34"/>
      <c r="J34"/>
      <c r="K34"/>
      <c r="L34"/>
    </row>
    <row r="35" spans="6:13">
      <c r="F35"/>
      <c r="G35"/>
      <c r="H35"/>
      <c r="I35"/>
      <c r="J35"/>
      <c r="K35"/>
      <c r="L35"/>
    </row>
    <row r="36" spans="6:13">
      <c r="F36"/>
      <c r="G36"/>
      <c r="H36"/>
      <c r="I36"/>
      <c r="J36"/>
      <c r="K36"/>
      <c r="L36"/>
    </row>
    <row r="37" spans="6:13">
      <c r="F37"/>
      <c r="G37"/>
      <c r="H37"/>
      <c r="I37"/>
      <c r="J37"/>
      <c r="K37"/>
      <c r="L37"/>
    </row>
    <row r="38" spans="6:13">
      <c r="F38"/>
      <c r="G38"/>
      <c r="H38"/>
      <c r="I38"/>
      <c r="J38"/>
      <c r="K38"/>
      <c r="L38"/>
    </row>
    <row r="39" spans="6:13">
      <c r="F39"/>
      <c r="G39"/>
      <c r="H39"/>
      <c r="I39"/>
      <c r="J39"/>
      <c r="K39"/>
      <c r="L39"/>
      <c r="M39" s="47"/>
    </row>
    <row r="40" spans="6:13">
      <c r="F40"/>
      <c r="G40"/>
      <c r="H40"/>
      <c r="I40"/>
      <c r="J40"/>
      <c r="K40"/>
      <c r="L40"/>
    </row>
    <row r="41" spans="6:13">
      <c r="F41"/>
      <c r="G41"/>
      <c r="H41"/>
      <c r="I41"/>
      <c r="J41"/>
      <c r="K41"/>
      <c r="L41"/>
    </row>
    <row r="42" spans="6:13">
      <c r="F42"/>
      <c r="G42"/>
      <c r="H42"/>
      <c r="I42"/>
      <c r="J42"/>
      <c r="K42"/>
      <c r="L42"/>
    </row>
    <row r="43" spans="6:13">
      <c r="F43"/>
      <c r="G43"/>
      <c r="H43"/>
      <c r="I43"/>
      <c r="J43"/>
      <c r="K43"/>
      <c r="L43"/>
    </row>
    <row r="44" spans="6:13">
      <c r="F44"/>
      <c r="G44"/>
      <c r="H44"/>
      <c r="I44"/>
      <c r="J44"/>
      <c r="K44"/>
      <c r="L44"/>
    </row>
    <row r="45" spans="6:13" ht="14.25" customHeight="1">
      <c r="F45"/>
      <c r="G45"/>
      <c r="H45"/>
      <c r="I45"/>
      <c r="J45"/>
      <c r="K45"/>
      <c r="L45"/>
    </row>
    <row r="46" spans="6:13">
      <c r="F46"/>
      <c r="G46"/>
      <c r="H46"/>
      <c r="I46"/>
      <c r="J46"/>
      <c r="K46"/>
      <c r="L46"/>
    </row>
    <row r="47" spans="6:13">
      <c r="F47"/>
      <c r="G47"/>
      <c r="H47"/>
      <c r="I47"/>
      <c r="J47"/>
      <c r="K47"/>
      <c r="L47"/>
    </row>
    <row r="48" spans="6:13">
      <c r="F48"/>
      <c r="G48"/>
      <c r="H48"/>
      <c r="I48"/>
      <c r="J48"/>
      <c r="K48"/>
      <c r="L48"/>
    </row>
    <row r="49" spans="6:9">
      <c r="F49"/>
      <c r="G49"/>
      <c r="H49"/>
      <c r="I49"/>
    </row>
    <row r="50" spans="6:9">
      <c r="F50"/>
      <c r="G50"/>
      <c r="H50"/>
      <c r="I50"/>
    </row>
  </sheetData>
  <mergeCells count="28">
    <mergeCell ref="H7:H9"/>
    <mergeCell ref="C15:C20"/>
    <mergeCell ref="D16:D20"/>
    <mergeCell ref="C27:G27"/>
    <mergeCell ref="F7:F9"/>
    <mergeCell ref="G7:G9"/>
    <mergeCell ref="C6:P6"/>
    <mergeCell ref="A7:A9"/>
    <mergeCell ref="B7:B9"/>
    <mergeCell ref="C7:C9"/>
    <mergeCell ref="D7:D9"/>
    <mergeCell ref="E7:E9"/>
    <mergeCell ref="L7:L9"/>
    <mergeCell ref="I8:I9"/>
    <mergeCell ref="J8:J9"/>
    <mergeCell ref="M8:M9"/>
    <mergeCell ref="N8:N9"/>
    <mergeCell ref="M7:N7"/>
    <mergeCell ref="O7:O9"/>
    <mergeCell ref="P7:P9"/>
    <mergeCell ref="I7:K7"/>
    <mergeCell ref="K8:K9"/>
    <mergeCell ref="C5:P5"/>
    <mergeCell ref="C1:C3"/>
    <mergeCell ref="O1:P1"/>
    <mergeCell ref="O2:P2"/>
    <mergeCell ref="O3:P3"/>
    <mergeCell ref="D1:N3"/>
  </mergeCells>
  <pageMargins left="0.70866141732283472" right="0.70866141732283472" top="0.74803149606299213" bottom="0.74803149606299213" header="0.31496062992125984" footer="0.31496062992125984"/>
  <pageSetup paperSize="9" scale="75" orientation="landscape" verticalDpi="597"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5">
    <tabColor theme="7" tint="0.59999389629810485"/>
  </sheetPr>
  <dimension ref="A1:I19"/>
  <sheetViews>
    <sheetView workbookViewId="0"/>
  </sheetViews>
  <sheetFormatPr baseColWidth="10" defaultRowHeight="15"/>
  <cols>
    <col min="2" max="2" width="43" customWidth="1"/>
    <col min="3" max="3" width="13.140625" customWidth="1"/>
    <col min="4" max="4" width="14.85546875" customWidth="1"/>
    <col min="5" max="5" width="15.7109375" customWidth="1"/>
    <col min="6" max="6" width="15.28515625" customWidth="1"/>
    <col min="7" max="7" width="19.85546875" customWidth="1"/>
    <col min="8" max="8" width="5.140625" customWidth="1"/>
  </cols>
  <sheetData>
    <row r="1" spans="1:9" s="1" customFormat="1" ht="15" customHeight="1">
      <c r="B1" s="2405"/>
      <c r="C1" s="2430" t="s">
        <v>542</v>
      </c>
      <c r="D1" s="2431"/>
      <c r="E1" s="2432"/>
      <c r="F1" s="2495" t="s">
        <v>539</v>
      </c>
      <c r="G1" s="2496"/>
    </row>
    <row r="2" spans="1:9" s="1" customFormat="1" ht="15" customHeight="1">
      <c r="B2" s="2406"/>
      <c r="C2" s="2433"/>
      <c r="D2" s="2434"/>
      <c r="E2" s="2435"/>
      <c r="F2" s="2497" t="s">
        <v>540</v>
      </c>
      <c r="G2" s="2498"/>
    </row>
    <row r="3" spans="1:9" s="1" customFormat="1" ht="15.75" customHeight="1" thickBot="1">
      <c r="A3" s="1445"/>
      <c r="B3" s="2407"/>
      <c r="C3" s="2436"/>
      <c r="D3" s="2437"/>
      <c r="E3" s="2438"/>
      <c r="F3" s="2499" t="s">
        <v>541</v>
      </c>
      <c r="G3" s="2500"/>
    </row>
    <row r="4" spans="1:9" s="1" customFormat="1" ht="8.25" customHeight="1" thickBot="1">
      <c r="A4" s="1445"/>
      <c r="B4" s="1445"/>
      <c r="C4" s="1445"/>
      <c r="D4" s="1445"/>
      <c r="E4" s="1445"/>
      <c r="F4" s="1445"/>
      <c r="G4" s="1445"/>
    </row>
    <row r="5" spans="1:9" s="1" customFormat="1" ht="13.5" thickBot="1">
      <c r="A5" s="1445"/>
      <c r="B5" s="2528" t="s">
        <v>191</v>
      </c>
      <c r="C5" s="2529"/>
      <c r="D5" s="2529"/>
      <c r="E5" s="2529"/>
      <c r="F5" s="2529"/>
      <c r="G5" s="2530"/>
      <c r="H5" s="384"/>
    </row>
    <row r="6" spans="1:9" ht="15.75" thickBot="1">
      <c r="B6" s="2402" t="s">
        <v>192</v>
      </c>
      <c r="C6" s="2403"/>
      <c r="D6" s="2403"/>
      <c r="E6" s="2403"/>
      <c r="F6" s="2403"/>
      <c r="G6" s="2404"/>
      <c r="H6" s="383"/>
    </row>
    <row r="7" spans="1:9" ht="15" customHeight="1" thickBot="1">
      <c r="A7" s="2397" t="s">
        <v>383</v>
      </c>
      <c r="B7" s="2455" t="s">
        <v>197</v>
      </c>
      <c r="C7" s="2455">
        <v>2023</v>
      </c>
      <c r="D7" s="2455"/>
      <c r="E7" s="2455"/>
      <c r="F7" s="2455"/>
      <c r="G7" s="2455"/>
    </row>
    <row r="8" spans="1:9" ht="15" customHeight="1" thickBot="1">
      <c r="A8" s="2397"/>
      <c r="B8" s="2455"/>
      <c r="C8" s="2414" t="s">
        <v>199</v>
      </c>
      <c r="D8" s="2414" t="s">
        <v>200</v>
      </c>
      <c r="E8" s="2414" t="s">
        <v>198</v>
      </c>
      <c r="F8" s="2414"/>
      <c r="G8" s="2454" t="s">
        <v>204</v>
      </c>
    </row>
    <row r="9" spans="1:9" s="30" customFormat="1" ht="15.75" thickBot="1">
      <c r="A9" s="2397"/>
      <c r="B9" s="2455"/>
      <c r="C9" s="2414"/>
      <c r="D9" s="2414"/>
      <c r="E9" s="622" t="s">
        <v>231</v>
      </c>
      <c r="F9" s="622" t="s">
        <v>201</v>
      </c>
      <c r="G9" s="2454"/>
    </row>
    <row r="10" spans="1:9" s="30" customFormat="1" ht="64.5" thickBot="1">
      <c r="A10" s="193">
        <v>3206016</v>
      </c>
      <c r="B10" s="375" t="s">
        <v>2</v>
      </c>
      <c r="C10" s="364" t="s">
        <v>214</v>
      </c>
      <c r="D10" s="364">
        <v>100</v>
      </c>
      <c r="E10" s="365">
        <f>+E11</f>
        <v>58792017</v>
      </c>
      <c r="F10" s="1625">
        <f>+F11</f>
        <v>0</v>
      </c>
      <c r="G10" s="1869">
        <f>+'ACCIONES 320601'!K10</f>
        <v>58792017</v>
      </c>
      <c r="I10" s="502"/>
    </row>
    <row r="11" spans="1:9" ht="26.25" thickBot="1">
      <c r="A11" s="30"/>
      <c r="B11" s="376" t="s">
        <v>319</v>
      </c>
      <c r="C11" s="367" t="s">
        <v>209</v>
      </c>
      <c r="D11" s="367">
        <v>1</v>
      </c>
      <c r="E11" s="377">
        <f>+'ACCIONES 320601'!I11</f>
        <v>58792017</v>
      </c>
      <c r="F11" s="1924">
        <f>+'ACCIONES 320601'!J11</f>
        <v>0</v>
      </c>
      <c r="G11" s="1870">
        <f>+'ACCIONES 320601'!K11</f>
        <v>58792017</v>
      </c>
      <c r="I11" s="502"/>
    </row>
    <row r="12" spans="1:9" ht="51.75" thickBot="1">
      <c r="A12" s="194">
        <v>3206003</v>
      </c>
      <c r="B12" s="378" t="s">
        <v>12</v>
      </c>
      <c r="C12" s="379" t="s">
        <v>214</v>
      </c>
      <c r="D12" s="379">
        <v>100</v>
      </c>
      <c r="E12" s="380">
        <f>+E13+E14</f>
        <v>1260150564</v>
      </c>
      <c r="F12" s="1925">
        <f>SUM(F13:F14)</f>
        <v>827924322</v>
      </c>
      <c r="G12" s="1921">
        <f>+'ACCIONES 320601'!K13</f>
        <v>2088074886</v>
      </c>
      <c r="I12" s="502"/>
    </row>
    <row r="13" spans="1:9" ht="25.5">
      <c r="B13" s="48" t="s">
        <v>245</v>
      </c>
      <c r="C13" s="122" t="s">
        <v>209</v>
      </c>
      <c r="D13" s="122">
        <v>1</v>
      </c>
      <c r="E13" s="381">
        <f>+'ACCIONES 320601'!I14</f>
        <v>1213147300</v>
      </c>
      <c r="F13" s="1926">
        <f>+'ACCIONES 320601'!J14</f>
        <v>827924322</v>
      </c>
      <c r="G13" s="1922">
        <f>+'ACCIONES 320601'!K14</f>
        <v>2041071622</v>
      </c>
      <c r="I13" s="502"/>
    </row>
    <row r="14" spans="1:9" ht="15.75" thickBot="1">
      <c r="B14" s="51" t="s">
        <v>246</v>
      </c>
      <c r="C14" s="191" t="s">
        <v>209</v>
      </c>
      <c r="D14" s="191">
        <v>1</v>
      </c>
      <c r="E14" s="192">
        <f>+'ACCIONES 320601'!I26</f>
        <v>47003264</v>
      </c>
      <c r="F14" s="1927">
        <f>+'ACCIONES 320601'!J26</f>
        <v>0</v>
      </c>
      <c r="G14" s="1923">
        <f>+'ACCIONES 320601'!K26</f>
        <v>47003264</v>
      </c>
      <c r="I14" s="502"/>
    </row>
    <row r="15" spans="1:9" ht="15.75" thickBot="1">
      <c r="B15" s="2636" t="s">
        <v>270</v>
      </c>
      <c r="C15" s="2637"/>
      <c r="D15" s="2637"/>
      <c r="E15" s="760">
        <f>+E12+E10</f>
        <v>1318942581</v>
      </c>
      <c r="F15" s="761">
        <f>+F12+F10</f>
        <v>827924322</v>
      </c>
      <c r="G15" s="1874">
        <f>+G12+G10</f>
        <v>2146866903</v>
      </c>
      <c r="I15" s="502"/>
    </row>
    <row r="16" spans="1:9" ht="15.75" thickBot="1"/>
    <row r="17" spans="5:7" ht="15.75" thickBot="1">
      <c r="E17" s="555">
        <f>2011945025-97504966-595497478</f>
        <v>1318942581</v>
      </c>
      <c r="F17" s="555">
        <f>521533577+97504966+208885779</f>
        <v>827924322</v>
      </c>
      <c r="G17" s="555">
        <f>2533478602-595497478+208885779</f>
        <v>2146866903</v>
      </c>
    </row>
    <row r="18" spans="5:7">
      <c r="F18" s="184"/>
      <c r="G18" s="184"/>
    </row>
    <row r="19" spans="5:7">
      <c r="E19" s="130">
        <f>+E17-E15</f>
        <v>0</v>
      </c>
      <c r="F19" s="130">
        <f>+F17-F15</f>
        <v>0</v>
      </c>
      <c r="G19" s="130">
        <f>+G17-G15</f>
        <v>0</v>
      </c>
    </row>
  </sheetData>
  <mergeCells count="15">
    <mergeCell ref="B1:B3"/>
    <mergeCell ref="F1:G1"/>
    <mergeCell ref="F2:G2"/>
    <mergeCell ref="F3:G3"/>
    <mergeCell ref="C1:E3"/>
    <mergeCell ref="A7:A9"/>
    <mergeCell ref="B5:G5"/>
    <mergeCell ref="B6:G6"/>
    <mergeCell ref="B15:D15"/>
    <mergeCell ref="B7:B9"/>
    <mergeCell ref="C7:G7"/>
    <mergeCell ref="C8:C9"/>
    <mergeCell ref="D8:D9"/>
    <mergeCell ref="G8:G9"/>
    <mergeCell ref="E8:F8"/>
  </mergeCells>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6">
    <tabColor theme="7" tint="0.59999389629810485"/>
    <pageSetUpPr fitToPage="1"/>
  </sheetPr>
  <dimension ref="A1:S67"/>
  <sheetViews>
    <sheetView workbookViewId="0"/>
  </sheetViews>
  <sheetFormatPr baseColWidth="10" defaultRowHeight="15"/>
  <cols>
    <col min="1" max="1" width="6.85546875" customWidth="1"/>
    <col min="2" max="2" width="8.140625" customWidth="1"/>
    <col min="3" max="3" width="43" customWidth="1"/>
    <col min="4" max="4" width="41" customWidth="1"/>
    <col min="5" max="5" width="14.28515625" customWidth="1"/>
    <col min="6" max="6" width="19" style="335" customWidth="1"/>
    <col min="7" max="7" width="14.85546875" style="335" customWidth="1"/>
    <col min="8" max="8" width="21.140625" style="179" customWidth="1"/>
    <col min="9" max="9" width="20.85546875" style="179" customWidth="1"/>
    <col min="10" max="10" width="16.85546875" style="179" customWidth="1"/>
    <col min="11" max="11" width="20.28515625" customWidth="1"/>
    <col min="12" max="12" width="3" customWidth="1"/>
    <col min="13" max="14" width="19.7109375" customWidth="1"/>
    <col min="15" max="15" width="19.5703125" bestFit="1" customWidth="1"/>
    <col min="17" max="17" width="17" customWidth="1"/>
    <col min="18" max="18" width="24" customWidth="1"/>
    <col min="19" max="19" width="15.85546875" bestFit="1" customWidth="1"/>
  </cols>
  <sheetData>
    <row r="1" spans="1:19">
      <c r="C1" s="2405"/>
      <c r="D1" s="2430" t="s">
        <v>542</v>
      </c>
      <c r="E1" s="2431"/>
      <c r="F1" s="2431"/>
      <c r="G1" s="2431"/>
      <c r="H1" s="2431"/>
      <c r="I1" s="2432"/>
      <c r="J1" s="2495" t="s">
        <v>539</v>
      </c>
      <c r="K1" s="2496"/>
    </row>
    <row r="2" spans="1:19">
      <c r="C2" s="2406"/>
      <c r="D2" s="2433"/>
      <c r="E2" s="2434"/>
      <c r="F2" s="2434"/>
      <c r="G2" s="2434"/>
      <c r="H2" s="2434"/>
      <c r="I2" s="2435"/>
      <c r="J2" s="2497" t="s">
        <v>540</v>
      </c>
      <c r="K2" s="2498"/>
    </row>
    <row r="3" spans="1:19" ht="15.75" thickBot="1">
      <c r="C3" s="2407"/>
      <c r="D3" s="2436"/>
      <c r="E3" s="2437"/>
      <c r="F3" s="2437"/>
      <c r="G3" s="2437"/>
      <c r="H3" s="2437"/>
      <c r="I3" s="2438"/>
      <c r="J3" s="2499" t="s">
        <v>541</v>
      </c>
      <c r="K3" s="2500"/>
    </row>
    <row r="4" spans="1:19" ht="3.75" customHeight="1" thickBot="1">
      <c r="F4" s="362"/>
      <c r="G4" s="362"/>
    </row>
    <row r="5" spans="1:19" s="1" customFormat="1" ht="13.5" thickBot="1">
      <c r="C5" s="2528" t="s">
        <v>191</v>
      </c>
      <c r="D5" s="2529"/>
      <c r="E5" s="2529"/>
      <c r="F5" s="2529"/>
      <c r="G5" s="2529"/>
      <c r="H5" s="2529"/>
      <c r="I5" s="2529"/>
      <c r="J5" s="2529"/>
      <c r="K5" s="2530"/>
    </row>
    <row r="6" spans="1:19" ht="15.75" thickBot="1">
      <c r="C6" s="2402" t="s">
        <v>192</v>
      </c>
      <c r="D6" s="2403"/>
      <c r="E6" s="2403"/>
      <c r="F6" s="2403"/>
      <c r="G6" s="2403"/>
      <c r="H6" s="2403"/>
      <c r="I6" s="2403"/>
      <c r="J6" s="2403"/>
      <c r="K6" s="2404"/>
    </row>
    <row r="7" spans="1:19" ht="15" customHeight="1" thickBot="1">
      <c r="A7" s="2397" t="s">
        <v>543</v>
      </c>
      <c r="B7" s="2397" t="s">
        <v>544</v>
      </c>
      <c r="C7" s="2397" t="s">
        <v>435</v>
      </c>
      <c r="D7" s="2397" t="s">
        <v>436</v>
      </c>
      <c r="E7" s="2397" t="s">
        <v>497</v>
      </c>
      <c r="F7" s="2397" t="s">
        <v>437</v>
      </c>
      <c r="G7" s="2397" t="s">
        <v>200</v>
      </c>
      <c r="H7" s="2397" t="s">
        <v>576</v>
      </c>
      <c r="I7" s="2397" t="s">
        <v>198</v>
      </c>
      <c r="J7" s="2397"/>
      <c r="K7" s="2640" t="s">
        <v>341</v>
      </c>
      <c r="M7" s="2640" t="s">
        <v>1375</v>
      </c>
      <c r="N7" s="2640"/>
    </row>
    <row r="8" spans="1:19" ht="15" customHeight="1" thickBot="1">
      <c r="A8" s="2397"/>
      <c r="B8" s="2397"/>
      <c r="C8" s="2397"/>
      <c r="D8" s="2397"/>
      <c r="E8" s="2397"/>
      <c r="F8" s="2397"/>
      <c r="G8" s="2397"/>
      <c r="H8" s="2397"/>
      <c r="I8" s="2397" t="s">
        <v>231</v>
      </c>
      <c r="J8" s="2397" t="s">
        <v>201</v>
      </c>
      <c r="K8" s="2640"/>
      <c r="M8" s="2640"/>
      <c r="N8" s="2640"/>
    </row>
    <row r="9" spans="1:19" ht="15.75" thickBot="1">
      <c r="A9" s="2489"/>
      <c r="B9" s="2489"/>
      <c r="C9" s="2489"/>
      <c r="D9" s="2489"/>
      <c r="E9" s="2489"/>
      <c r="F9" s="2489"/>
      <c r="G9" s="2489"/>
      <c r="H9" s="2489"/>
      <c r="I9" s="2489"/>
      <c r="J9" s="2489"/>
      <c r="K9" s="2641"/>
      <c r="M9" s="2641"/>
      <c r="N9" s="2641"/>
    </row>
    <row r="10" spans="1:19" ht="81" customHeight="1" thickBot="1">
      <c r="A10" s="1052">
        <v>153</v>
      </c>
      <c r="B10" s="1443"/>
      <c r="C10" s="375" t="s">
        <v>2</v>
      </c>
      <c r="D10" s="731"/>
      <c r="E10" s="731"/>
      <c r="F10" s="451" t="s">
        <v>214</v>
      </c>
      <c r="G10" s="451">
        <v>100</v>
      </c>
      <c r="H10" s="732"/>
      <c r="I10" s="733">
        <f>+I11</f>
        <v>58792017</v>
      </c>
      <c r="J10" s="733">
        <f>+J11</f>
        <v>0</v>
      </c>
      <c r="K10" s="1159">
        <f>+K11</f>
        <v>58792017</v>
      </c>
      <c r="M10" s="1159"/>
      <c r="N10" s="1159"/>
      <c r="S10" t="s">
        <v>1354</v>
      </c>
    </row>
    <row r="11" spans="1:19" ht="25.5">
      <c r="A11" s="1052"/>
      <c r="B11" s="1443" t="s">
        <v>1098</v>
      </c>
      <c r="C11" s="627" t="s">
        <v>319</v>
      </c>
      <c r="D11" s="623"/>
      <c r="E11" s="623"/>
      <c r="F11" s="629" t="s">
        <v>209</v>
      </c>
      <c r="G11" s="629">
        <v>1</v>
      </c>
      <c r="H11" s="730"/>
      <c r="I11" s="730">
        <f>+I12</f>
        <v>58792017</v>
      </c>
      <c r="J11" s="730">
        <f>+J12</f>
        <v>0</v>
      </c>
      <c r="K11" s="1155">
        <f>SUM(K12:K12)</f>
        <v>58792017</v>
      </c>
      <c r="M11" s="1155"/>
      <c r="N11" s="1155"/>
      <c r="O11" t="s">
        <v>1352</v>
      </c>
      <c r="R11" s="2062">
        <v>51328311</v>
      </c>
      <c r="S11">
        <v>51328320</v>
      </c>
    </row>
    <row r="12" spans="1:19" ht="15.75" thickBot="1">
      <c r="B12" s="1434"/>
      <c r="C12" s="1517" t="s">
        <v>605</v>
      </c>
      <c r="D12" s="19" t="s">
        <v>235</v>
      </c>
      <c r="E12" s="19">
        <v>83990</v>
      </c>
      <c r="F12" s="18" t="s">
        <v>606</v>
      </c>
      <c r="G12" s="18">
        <v>11</v>
      </c>
      <c r="H12" s="268">
        <v>6412846</v>
      </c>
      <c r="I12" s="1161">
        <f>+H12*G12-11749289</f>
        <v>58792017</v>
      </c>
      <c r="J12" s="1161"/>
      <c r="K12" s="1162">
        <f>+SUM(I12:J12)</f>
        <v>58792017</v>
      </c>
      <c r="M12" s="1162"/>
      <c r="N12" s="1162"/>
      <c r="O12" t="s">
        <v>1353</v>
      </c>
      <c r="R12" s="2063">
        <f>39421337*1.004</f>
        <v>39579022.347999997</v>
      </c>
    </row>
    <row r="13" spans="1:19" s="1" customFormat="1" ht="51.75" thickBot="1">
      <c r="A13" s="1052">
        <v>154</v>
      </c>
      <c r="B13" s="1443"/>
      <c r="C13" s="378" t="s">
        <v>12</v>
      </c>
      <c r="D13" s="734"/>
      <c r="E13" s="734"/>
      <c r="F13" s="423" t="s">
        <v>214</v>
      </c>
      <c r="G13" s="423">
        <v>100</v>
      </c>
      <c r="H13" s="735"/>
      <c r="I13" s="1163">
        <f>+I14++I26</f>
        <v>1260150564</v>
      </c>
      <c r="J13" s="1163">
        <f>+J14+J26</f>
        <v>827924322</v>
      </c>
      <c r="K13" s="1164">
        <f>+K14+K26</f>
        <v>2088074886</v>
      </c>
      <c r="M13" s="1164">
        <f>+M14+M26</f>
        <v>3179498075</v>
      </c>
      <c r="N13" s="1164"/>
      <c r="Q13" s="1" t="s">
        <v>1365</v>
      </c>
      <c r="R13" s="2066">
        <f>+R11-R12</f>
        <v>11749288.652000003</v>
      </c>
      <c r="S13" s="1478"/>
    </row>
    <row r="14" spans="1:19" s="1" customFormat="1" ht="25.5">
      <c r="A14" s="1052"/>
      <c r="B14" s="1443" t="s">
        <v>1099</v>
      </c>
      <c r="C14" s="627" t="s">
        <v>245</v>
      </c>
      <c r="D14" s="623"/>
      <c r="E14" s="623"/>
      <c r="F14" s="629" t="s">
        <v>209</v>
      </c>
      <c r="G14" s="629">
        <v>1</v>
      </c>
      <c r="H14" s="702"/>
      <c r="I14" s="1165">
        <f>+SUM(I15:I25)</f>
        <v>1213147300</v>
      </c>
      <c r="J14" s="1165">
        <f>SUM(J15:J24)</f>
        <v>827924322</v>
      </c>
      <c r="K14" s="1166">
        <f>SUM(K15:K25)</f>
        <v>2041071622</v>
      </c>
      <c r="M14" s="1166">
        <f>SUM(M15:M25)</f>
        <v>3179498075</v>
      </c>
      <c r="N14" s="1166"/>
    </row>
    <row r="15" spans="1:19" s="812" customFormat="1" ht="12.75">
      <c r="B15" s="1423"/>
      <c r="C15" s="567" t="s">
        <v>607</v>
      </c>
      <c r="D15" s="810" t="s">
        <v>610</v>
      </c>
      <c r="E15" s="810">
        <v>43410</v>
      </c>
      <c r="F15" s="811" t="s">
        <v>611</v>
      </c>
      <c r="G15" s="811">
        <v>1</v>
      </c>
      <c r="H15" s="282"/>
      <c r="I15" s="1167"/>
      <c r="J15" s="1168">
        <v>474118401</v>
      </c>
      <c r="K15" s="1169">
        <f t="shared" ref="K15:K18" si="0">+SUM(I15:J15)</f>
        <v>474118401</v>
      </c>
      <c r="M15" s="1169"/>
      <c r="N15" s="1169"/>
    </row>
    <row r="16" spans="1:19" s="813" customFormat="1">
      <c r="B16" s="1433"/>
      <c r="C16" s="567" t="s">
        <v>608</v>
      </c>
      <c r="D16" s="810" t="s">
        <v>235</v>
      </c>
      <c r="E16" s="810">
        <v>83990</v>
      </c>
      <c r="F16" s="2107"/>
      <c r="G16" s="2107">
        <v>1</v>
      </c>
      <c r="H16" s="282"/>
      <c r="I16" s="1167"/>
      <c r="J16" s="1168">
        <v>47415176</v>
      </c>
      <c r="K16" s="1169">
        <f t="shared" si="0"/>
        <v>47415176</v>
      </c>
      <c r="M16" s="1169"/>
      <c r="N16" s="1169"/>
    </row>
    <row r="17" spans="1:17" s="813" customFormat="1">
      <c r="B17" s="1433"/>
      <c r="C17" s="567" t="s">
        <v>1256</v>
      </c>
      <c r="D17" s="810" t="s">
        <v>568</v>
      </c>
      <c r="E17" s="2107">
        <v>62199</v>
      </c>
      <c r="F17" s="2107" t="s">
        <v>209</v>
      </c>
      <c r="G17" s="282">
        <v>1</v>
      </c>
      <c r="H17" s="282"/>
      <c r="I17" s="1168">
        <v>51106612</v>
      </c>
      <c r="J17" s="1168"/>
      <c r="K17" s="1169">
        <f t="shared" si="0"/>
        <v>51106612</v>
      </c>
      <c r="M17" s="1169"/>
      <c r="N17" s="1169"/>
    </row>
    <row r="18" spans="1:17" s="813" customFormat="1">
      <c r="B18" s="1433"/>
      <c r="C18" s="567" t="s">
        <v>1364</v>
      </c>
      <c r="D18" s="810" t="s">
        <v>235</v>
      </c>
      <c r="E18" s="2107">
        <v>83990</v>
      </c>
      <c r="F18" s="2107" t="s">
        <v>209</v>
      </c>
      <c r="G18" s="282">
        <v>1</v>
      </c>
      <c r="H18" s="282"/>
      <c r="I18" s="1168">
        <v>150600000</v>
      </c>
      <c r="J18" s="1168"/>
      <c r="K18" s="1169">
        <f t="shared" si="0"/>
        <v>150600000</v>
      </c>
      <c r="M18" s="1169"/>
      <c r="N18" s="1169"/>
    </row>
    <row r="19" spans="1:17" s="813" customFormat="1">
      <c r="A19" s="886"/>
      <c r="B19" s="1508"/>
      <c r="C19" s="567" t="s">
        <v>1163</v>
      </c>
      <c r="D19" s="810" t="s">
        <v>610</v>
      </c>
      <c r="E19" s="2107">
        <v>43410</v>
      </c>
      <c r="F19" s="2107" t="s">
        <v>611</v>
      </c>
      <c r="G19" s="282">
        <v>1</v>
      </c>
      <c r="H19" s="282"/>
      <c r="I19" s="1168">
        <v>44203018</v>
      </c>
      <c r="J19" s="1168"/>
      <c r="K19" s="1169">
        <f t="shared" ref="K19" si="1">+SUM(I19:J19)</f>
        <v>44203018</v>
      </c>
      <c r="M19" s="1169"/>
      <c r="N19" s="1169"/>
      <c r="O19" s="1509"/>
    </row>
    <row r="20" spans="1:17" s="813" customFormat="1">
      <c r="A20" s="886"/>
      <c r="B20" s="1508"/>
      <c r="C20" s="567" t="s">
        <v>1164</v>
      </c>
      <c r="D20" s="810" t="s">
        <v>235</v>
      </c>
      <c r="E20" s="2107">
        <v>83990</v>
      </c>
      <c r="F20" s="2107" t="s">
        <v>611</v>
      </c>
      <c r="G20" s="282">
        <v>1</v>
      </c>
      <c r="H20" s="282"/>
      <c r="I20" s="1168">
        <f>21600000*1.004+921120</f>
        <v>22607520</v>
      </c>
      <c r="J20" s="1168"/>
      <c r="K20" s="1169">
        <f>+SUM(I20:J20)</f>
        <v>22607520</v>
      </c>
      <c r="M20" s="1169"/>
      <c r="N20" s="1169"/>
      <c r="O20" s="1509"/>
    </row>
    <row r="21" spans="1:17" s="813" customFormat="1">
      <c r="A21" s="886"/>
      <c r="B21" s="1508"/>
      <c r="C21" s="567"/>
      <c r="D21" s="810"/>
      <c r="E21" s="2129"/>
      <c r="F21" s="2129"/>
      <c r="G21" s="282"/>
      <c r="H21" s="282"/>
      <c r="I21" s="1168"/>
      <c r="J21" s="1168"/>
      <c r="K21" s="1169"/>
      <c r="M21" s="1169"/>
      <c r="N21" s="1169"/>
      <c r="O21" s="1509"/>
    </row>
    <row r="22" spans="1:17" s="813" customFormat="1">
      <c r="A22" s="886"/>
      <c r="B22" s="1508"/>
      <c r="C22" s="567" t="s">
        <v>609</v>
      </c>
      <c r="D22" s="810" t="s">
        <v>610</v>
      </c>
      <c r="E22" s="2114">
        <v>43410</v>
      </c>
      <c r="F22" s="2114" t="s">
        <v>611</v>
      </c>
      <c r="G22" s="282">
        <v>1</v>
      </c>
      <c r="H22" s="282"/>
      <c r="I22" s="2165">
        <f>1686204750-11741306-97504966-10000000-44203018-595497478-51106612-34432555-30326280-8622021-30326280</f>
        <v>772444234</v>
      </c>
      <c r="J22" s="1168">
        <f>97504966+208885779</f>
        <v>306390745</v>
      </c>
      <c r="K22" s="1169">
        <f>+SUM(I22:J22)</f>
        <v>1078834979</v>
      </c>
      <c r="M22" s="1169">
        <f>2831674565-29148704</f>
        <v>2802525861</v>
      </c>
      <c r="N22" s="1169"/>
      <c r="O22" s="1509"/>
    </row>
    <row r="23" spans="1:17" s="813" customFormat="1">
      <c r="A23" s="886"/>
      <c r="B23" s="1508"/>
      <c r="C23" s="567" t="s">
        <v>1113</v>
      </c>
      <c r="D23" s="810" t="s">
        <v>235</v>
      </c>
      <c r="E23" s="2107">
        <v>83990</v>
      </c>
      <c r="F23" s="2107" t="s">
        <v>611</v>
      </c>
      <c r="G23" s="282">
        <v>1</v>
      </c>
      <c r="H23" s="282"/>
      <c r="I23" s="1168">
        <f>229937011-21686400-921120-150600000+46181844</f>
        <v>102911335</v>
      </c>
      <c r="J23" s="1168"/>
      <c r="K23" s="1169">
        <f>+SUM(I23:J23)</f>
        <v>102911335</v>
      </c>
      <c r="M23" s="1169">
        <v>347823510</v>
      </c>
      <c r="N23" s="1169"/>
      <c r="O23" s="1509"/>
    </row>
    <row r="24" spans="1:17" s="813" customFormat="1">
      <c r="A24" s="886"/>
      <c r="B24" s="1508"/>
      <c r="C24" s="567" t="s">
        <v>1376</v>
      </c>
      <c r="D24" s="810" t="s">
        <v>235</v>
      </c>
      <c r="E24" s="2129">
        <v>83990</v>
      </c>
      <c r="F24" s="2130" t="s">
        <v>606</v>
      </c>
      <c r="G24" s="282">
        <v>10</v>
      </c>
      <c r="H24" s="282"/>
      <c r="I24" s="1168">
        <v>30326280</v>
      </c>
      <c r="J24" s="1168"/>
      <c r="K24" s="1169">
        <f t="shared" ref="K24:K25" si="2">+SUM(I24:J24)</f>
        <v>30326280</v>
      </c>
      <c r="M24" s="1169">
        <v>29148704</v>
      </c>
      <c r="N24" s="1169"/>
      <c r="O24" s="1509"/>
      <c r="Q24" s="2139"/>
    </row>
    <row r="25" spans="1:17">
      <c r="C25" s="567" t="s">
        <v>445</v>
      </c>
      <c r="D25" s="810" t="s">
        <v>568</v>
      </c>
      <c r="E25" s="2129">
        <v>65119</v>
      </c>
      <c r="F25" s="2129"/>
      <c r="G25" s="282"/>
      <c r="H25" s="282"/>
      <c r="I25" s="1168">
        <f>8622021+30326280</f>
        <v>38948301</v>
      </c>
      <c r="J25" s="1168"/>
      <c r="K25" s="1169">
        <f t="shared" si="2"/>
        <v>38948301</v>
      </c>
      <c r="L25" s="813"/>
      <c r="M25" s="1169"/>
      <c r="N25" s="1169"/>
    </row>
    <row r="26" spans="1:17" s="1" customFormat="1">
      <c r="A26" s="1052"/>
      <c r="B26" s="1443" t="s">
        <v>1100</v>
      </c>
      <c r="C26" s="169" t="s">
        <v>246</v>
      </c>
      <c r="D26" s="171"/>
      <c r="E26" s="171"/>
      <c r="F26" s="174" t="s">
        <v>209</v>
      </c>
      <c r="G26" s="174">
        <v>1</v>
      </c>
      <c r="H26" s="272"/>
      <c r="I26" s="1170">
        <f>+I27</f>
        <v>47003264</v>
      </c>
      <c r="J26" s="1170">
        <f>+J27</f>
        <v>0</v>
      </c>
      <c r="K26" s="1171">
        <f>SUM(K27:K27)</f>
        <v>47003264</v>
      </c>
      <c r="M26" s="1171"/>
      <c r="N26" s="1171"/>
    </row>
    <row r="27" spans="1:17" s="62" customFormat="1" ht="13.5" thickBot="1">
      <c r="A27" s="812"/>
      <c r="B27" s="812"/>
      <c r="C27" s="51" t="s">
        <v>612</v>
      </c>
      <c r="D27" s="191" t="s">
        <v>235</v>
      </c>
      <c r="E27" s="191">
        <v>83990</v>
      </c>
      <c r="F27" s="127" t="s">
        <v>606</v>
      </c>
      <c r="G27" s="127">
        <v>11</v>
      </c>
      <c r="H27" s="563">
        <v>4273024</v>
      </c>
      <c r="I27" s="1489">
        <f>37003264+10000000</f>
        <v>47003264</v>
      </c>
      <c r="J27" s="1168"/>
      <c r="K27" s="1172">
        <f>+SUM(I27:J27)</f>
        <v>47003264</v>
      </c>
      <c r="M27" s="1172"/>
      <c r="N27" s="1172"/>
      <c r="Q27" s="2140"/>
    </row>
    <row r="28" spans="1:17" s="255" customFormat="1" ht="15.75" thickBot="1">
      <c r="C28" s="2539" t="s">
        <v>10</v>
      </c>
      <c r="D28" s="2540"/>
      <c r="E28" s="2540"/>
      <c r="F28" s="2540"/>
      <c r="G28" s="2540"/>
      <c r="H28" s="2600"/>
      <c r="I28" s="770">
        <f>+I13+I10</f>
        <v>1318942581</v>
      </c>
      <c r="J28" s="1158">
        <f>+J13+J10</f>
        <v>827924322</v>
      </c>
      <c r="K28" s="1160">
        <f>+K13+K10</f>
        <v>2146866903</v>
      </c>
      <c r="M28" s="1160">
        <f>+M13</f>
        <v>3179498075</v>
      </c>
      <c r="N28" s="1160"/>
    </row>
    <row r="29" spans="1:17" ht="15.75" thickBot="1">
      <c r="O29" s="1550"/>
    </row>
    <row r="30" spans="1:17" ht="15.75" thickBot="1">
      <c r="I30" s="555">
        <f>2011945025-97504966-595497478</f>
        <v>1318942581</v>
      </c>
      <c r="J30" s="555">
        <f>521533577+97504966+208885779</f>
        <v>827924322</v>
      </c>
      <c r="K30" s="555">
        <f>2533478602-595497478+208885779</f>
        <v>2146866903</v>
      </c>
      <c r="M30" s="555">
        <v>3179498075</v>
      </c>
      <c r="N30" s="555"/>
    </row>
    <row r="32" spans="1:17">
      <c r="I32" s="526">
        <f>+I30-I28</f>
        <v>0</v>
      </c>
      <c r="J32" s="526">
        <f>+J30-J28</f>
        <v>0</v>
      </c>
      <c r="K32" s="526">
        <f>+K30-K28</f>
        <v>0</v>
      </c>
      <c r="L32" s="526"/>
      <c r="M32" s="526">
        <f t="shared" ref="M32" si="3">+M30-M28</f>
        <v>0</v>
      </c>
      <c r="N32" s="526"/>
    </row>
    <row r="34" spans="4:17">
      <c r="J34" s="526"/>
    </row>
    <row r="35" spans="4:17">
      <c r="I35" s="1978"/>
    </row>
    <row r="36" spans="4:17">
      <c r="I36" s="1978"/>
      <c r="K36" s="2065"/>
      <c r="O36" s="1550"/>
    </row>
    <row r="37" spans="4:17" ht="21.75" thickBot="1">
      <c r="F37" s="362"/>
      <c r="G37" s="1487"/>
      <c r="K37" s="2065"/>
      <c r="O37" s="2065"/>
    </row>
    <row r="38" spans="4:17">
      <c r="D38" s="2141" t="s">
        <v>1383</v>
      </c>
      <c r="E38" s="2638" t="s">
        <v>1384</v>
      </c>
      <c r="J38" s="1978"/>
    </row>
    <row r="39" spans="4:17" ht="15.75" thickBot="1">
      <c r="D39" s="2142">
        <v>119</v>
      </c>
      <c r="E39" s="2639"/>
      <c r="I39" s="1978"/>
    </row>
    <row r="40" spans="4:17">
      <c r="K40" s="2065"/>
    </row>
    <row r="41" spans="4:17">
      <c r="O41" s="2064"/>
    </row>
    <row r="43" spans="4:17">
      <c r="I43" s="1978"/>
      <c r="Q43" s="517"/>
    </row>
    <row r="44" spans="4:17">
      <c r="D44" s="2067"/>
    </row>
    <row r="46" spans="4:17">
      <c r="H46" s="335"/>
    </row>
    <row r="59" spans="3:5" ht="15.75" thickBot="1"/>
    <row r="60" spans="3:5">
      <c r="C60" s="2093"/>
      <c r="D60" s="2094"/>
      <c r="E60" s="2095"/>
    </row>
    <row r="61" spans="3:5" ht="21">
      <c r="C61" s="1623"/>
      <c r="D61" s="2096" t="s">
        <v>1356</v>
      </c>
      <c r="E61" s="2097" t="s">
        <v>1357</v>
      </c>
    </row>
    <row r="62" spans="3:5">
      <c r="C62" s="1623" t="s">
        <v>1355</v>
      </c>
      <c r="D62" s="2098">
        <v>999190055</v>
      </c>
      <c r="E62" s="2099">
        <v>3387551640</v>
      </c>
    </row>
    <row r="63" spans="3:5">
      <c r="C63" s="1623" t="s">
        <v>1358</v>
      </c>
      <c r="D63" s="2098">
        <v>1207243620</v>
      </c>
      <c r="E63" s="2099">
        <v>3179498075</v>
      </c>
    </row>
    <row r="64" spans="3:5">
      <c r="C64" s="1623"/>
      <c r="D64" s="2100">
        <f>+D63-D62</f>
        <v>208053565</v>
      </c>
      <c r="E64" s="2101">
        <f>+E63-E62</f>
        <v>-208053565</v>
      </c>
    </row>
    <row r="65" spans="3:5">
      <c r="C65" s="1623"/>
      <c r="D65" s="184"/>
      <c r="E65" s="2102"/>
    </row>
    <row r="66" spans="3:5">
      <c r="C66" s="1623"/>
      <c r="D66" s="184"/>
      <c r="E66" s="2102"/>
    </row>
    <row r="67" spans="3:5" ht="15.75" thickBot="1">
      <c r="C67" s="2103" t="s">
        <v>1359</v>
      </c>
      <c r="D67" s="2104">
        <f>+D64*1.004</f>
        <v>208885779.25999999</v>
      </c>
      <c r="E67" s="2105"/>
    </row>
  </sheetData>
  <mergeCells count="23">
    <mergeCell ref="N7:N9"/>
    <mergeCell ref="A7:A9"/>
    <mergeCell ref="B7:B9"/>
    <mergeCell ref="C1:C3"/>
    <mergeCell ref="D1:I3"/>
    <mergeCell ref="J1:K1"/>
    <mergeCell ref="J2:K2"/>
    <mergeCell ref="J3:K3"/>
    <mergeCell ref="C5:K5"/>
    <mergeCell ref="C6:K6"/>
    <mergeCell ref="M7:M9"/>
    <mergeCell ref="E38:E39"/>
    <mergeCell ref="C28:H28"/>
    <mergeCell ref="H7:H9"/>
    <mergeCell ref="K7:K9"/>
    <mergeCell ref="C7:C9"/>
    <mergeCell ref="D7:D9"/>
    <mergeCell ref="E7:E9"/>
    <mergeCell ref="F7:F9"/>
    <mergeCell ref="G7:G9"/>
    <mergeCell ref="I7:J7"/>
    <mergeCell ref="I8:I9"/>
    <mergeCell ref="J8:J9"/>
  </mergeCells>
  <pageMargins left="0.70866141732283461" right="0.70866141732283461" top="0.74803149606299213" bottom="0.74803149606299213" header="0.31496062992125984" footer="0.31496062992125984"/>
  <pageSetup paperSize="9" scale="77" orientation="landscape" verticalDpi="597" r:id="rId1"/>
  <ignoredErrors>
    <ignoredError sqref="K12" formulaRange="1"/>
  </ignoredErrors>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7">
    <tabColor theme="7" tint="0.59999389629810485"/>
  </sheetPr>
  <dimension ref="A1:W24"/>
  <sheetViews>
    <sheetView workbookViewId="0"/>
  </sheetViews>
  <sheetFormatPr baseColWidth="10" defaultRowHeight="15"/>
  <cols>
    <col min="1" max="1" width="8.7109375" customWidth="1"/>
    <col min="2" max="2" width="30" customWidth="1"/>
    <col min="3" max="3" width="9.140625" customWidth="1"/>
    <col min="4" max="4" width="6.85546875" customWidth="1"/>
    <col min="5" max="8" width="15.42578125" customWidth="1"/>
    <col min="9" max="9" width="22" customWidth="1"/>
    <col min="10" max="10" width="19.5703125" customWidth="1"/>
    <col min="11" max="11" width="21.7109375" customWidth="1"/>
    <col min="12" max="12" width="20.7109375" customWidth="1"/>
    <col min="14" max="14" width="14.140625" bestFit="1" customWidth="1"/>
    <col min="15" max="15" width="26.7109375" customWidth="1"/>
  </cols>
  <sheetData>
    <row r="1" spans="1:23" ht="15" customHeight="1">
      <c r="B1" s="2405"/>
      <c r="C1" s="2408" t="s">
        <v>542</v>
      </c>
      <c r="D1" s="2603"/>
      <c r="E1" s="2603"/>
      <c r="F1" s="2603"/>
      <c r="G1" s="2603"/>
      <c r="H1" s="2603"/>
      <c r="I1" s="2603"/>
      <c r="J1" s="2409"/>
      <c r="K1" s="2495" t="s">
        <v>539</v>
      </c>
      <c r="L1" s="2496"/>
    </row>
    <row r="2" spans="1:23">
      <c r="B2" s="2406"/>
      <c r="C2" s="2410"/>
      <c r="D2" s="2604"/>
      <c r="E2" s="2604"/>
      <c r="F2" s="2604"/>
      <c r="G2" s="2604"/>
      <c r="H2" s="2604"/>
      <c r="I2" s="2604"/>
      <c r="J2" s="2411"/>
      <c r="K2" s="2497" t="s">
        <v>540</v>
      </c>
      <c r="L2" s="2498"/>
    </row>
    <row r="3" spans="1:23" ht="15.75" thickBot="1">
      <c r="B3" s="2407"/>
      <c r="C3" s="2412"/>
      <c r="D3" s="2605"/>
      <c r="E3" s="2605"/>
      <c r="F3" s="2605"/>
      <c r="G3" s="2605"/>
      <c r="H3" s="2605"/>
      <c r="I3" s="2605"/>
      <c r="J3" s="2413"/>
      <c r="K3" s="2499" t="s">
        <v>541</v>
      </c>
      <c r="L3" s="2500"/>
    </row>
    <row r="4" spans="1:23" s="1" customFormat="1" ht="6" customHeight="1" thickBot="1">
      <c r="A4"/>
      <c r="B4"/>
      <c r="C4"/>
      <c r="D4" s="362"/>
      <c r="E4" s="362"/>
      <c r="F4"/>
      <c r="G4"/>
      <c r="H4"/>
      <c r="I4"/>
      <c r="J4"/>
      <c r="K4"/>
      <c r="L4"/>
      <c r="N4"/>
      <c r="O4"/>
      <c r="P4"/>
      <c r="Q4"/>
      <c r="R4"/>
      <c r="S4"/>
      <c r="T4"/>
      <c r="U4"/>
      <c r="V4"/>
      <c r="W4"/>
    </row>
    <row r="5" spans="1:23" s="1" customFormat="1" ht="15.75" thickBot="1">
      <c r="B5" s="2402" t="s">
        <v>193</v>
      </c>
      <c r="C5" s="2403"/>
      <c r="D5" s="2403"/>
      <c r="E5" s="2403"/>
      <c r="F5" s="2403"/>
      <c r="G5" s="2403"/>
      <c r="H5" s="2403"/>
      <c r="I5" s="2403"/>
      <c r="J5" s="2403"/>
      <c r="K5" s="2403"/>
      <c r="L5" s="2404"/>
      <c r="N5"/>
      <c r="O5"/>
      <c r="P5"/>
      <c r="Q5"/>
      <c r="R5"/>
      <c r="S5"/>
      <c r="T5"/>
      <c r="U5"/>
      <c r="V5"/>
      <c r="W5"/>
    </row>
    <row r="6" spans="1:23" ht="15.75" thickBot="1">
      <c r="B6" s="2609" t="s">
        <v>194</v>
      </c>
      <c r="C6" s="2610"/>
      <c r="D6" s="2610"/>
      <c r="E6" s="2610"/>
      <c r="F6" s="2610"/>
      <c r="G6" s="2610"/>
      <c r="H6" s="2610"/>
      <c r="I6" s="2610"/>
      <c r="J6" s="2610"/>
      <c r="K6" s="2610"/>
      <c r="L6" s="2611"/>
    </row>
    <row r="7" spans="1:23" ht="15" customHeight="1" thickBot="1">
      <c r="A7" s="2397" t="s">
        <v>383</v>
      </c>
      <c r="B7" s="2455" t="s">
        <v>197</v>
      </c>
      <c r="C7" s="2455">
        <v>2023</v>
      </c>
      <c r="D7" s="2455"/>
      <c r="E7" s="2455"/>
      <c r="F7" s="2455"/>
      <c r="G7" s="2455">
        <v>2023</v>
      </c>
      <c r="H7" s="2455"/>
      <c r="I7" s="2455"/>
      <c r="J7" s="2522" t="s">
        <v>1422</v>
      </c>
      <c r="K7" s="2643" t="s">
        <v>1177</v>
      </c>
      <c r="L7" s="2449" t="s">
        <v>453</v>
      </c>
    </row>
    <row r="8" spans="1:23" ht="18.75" customHeight="1" thickBot="1">
      <c r="A8" s="2397"/>
      <c r="B8" s="2455"/>
      <c r="C8" s="2414" t="s">
        <v>199</v>
      </c>
      <c r="D8" s="2414" t="s">
        <v>200</v>
      </c>
      <c r="E8" s="622" t="s">
        <v>248</v>
      </c>
      <c r="F8" s="2454" t="s">
        <v>204</v>
      </c>
      <c r="G8" s="2398" t="s">
        <v>1213</v>
      </c>
      <c r="H8" s="2400"/>
      <c r="I8" s="2449" t="s">
        <v>341</v>
      </c>
      <c r="J8" s="2427"/>
      <c r="K8" s="2644"/>
      <c r="L8" s="2642"/>
    </row>
    <row r="9" spans="1:23" ht="15.75" thickBot="1">
      <c r="A9" s="2397"/>
      <c r="B9" s="2455"/>
      <c r="C9" s="2414"/>
      <c r="D9" s="2414"/>
      <c r="E9" s="622" t="s">
        <v>231</v>
      </c>
      <c r="F9" s="2454"/>
      <c r="G9" s="1587" t="s">
        <v>502</v>
      </c>
      <c r="H9" s="1587" t="s">
        <v>201</v>
      </c>
      <c r="I9" s="2447"/>
      <c r="J9" s="2424"/>
      <c r="K9" s="2645"/>
      <c r="L9" s="2447"/>
    </row>
    <row r="10" spans="1:23" ht="26.25" thickBot="1">
      <c r="A10" s="189">
        <v>3208006</v>
      </c>
      <c r="B10" s="803" t="s">
        <v>320</v>
      </c>
      <c r="C10" s="804" t="s">
        <v>214</v>
      </c>
      <c r="D10" s="804">
        <v>100</v>
      </c>
      <c r="E10" s="1524">
        <f>+E11+E12+E13+E14</f>
        <v>866462897.70047998</v>
      </c>
      <c r="F10" s="1532">
        <f>+SUM(F11:F15)</f>
        <v>866462897.70047998</v>
      </c>
      <c r="G10" s="1524">
        <f t="shared" ref="G10:H10" si="0">+G11+G12+G13+G14</f>
        <v>387034077.60000002</v>
      </c>
      <c r="H10" s="1932">
        <f t="shared" si="0"/>
        <v>0</v>
      </c>
      <c r="I10" s="2236">
        <f>+SUM(I11:I15)</f>
        <v>1253496975.3004801</v>
      </c>
      <c r="J10" s="1531">
        <f>+SUM(J11:J15)</f>
        <v>1984180805</v>
      </c>
      <c r="K10" s="1531">
        <f>+SUM(K11:K16)</f>
        <v>2772482634.6999998</v>
      </c>
      <c r="L10" s="1532">
        <f>+SUM(L11:L15)</f>
        <v>4457357941.7009602</v>
      </c>
    </row>
    <row r="11" spans="1:23" ht="24">
      <c r="B11" s="805" t="s">
        <v>321</v>
      </c>
      <c r="C11" s="537" t="s">
        <v>209</v>
      </c>
      <c r="D11" s="537">
        <v>1</v>
      </c>
      <c r="E11" s="1525">
        <f>+'ACCIONES 320801 '!I11</f>
        <v>457330276.57120001</v>
      </c>
      <c r="F11" s="1533">
        <f>+'ACCIONES 320801 '!J11</f>
        <v>457330276.57120001</v>
      </c>
      <c r="G11" s="1525">
        <f>+'ACCIONES 320801 '!K11</f>
        <v>0</v>
      </c>
      <c r="H11" s="1931">
        <f>+'ACCIONES 320801 '!L11</f>
        <v>0</v>
      </c>
      <c r="I11" s="1533">
        <f>+F11</f>
        <v>457330276.57120001</v>
      </c>
      <c r="J11" s="1935">
        <f>+'ACCIONES 320801 '!O11</f>
        <v>0</v>
      </c>
      <c r="K11" s="2210">
        <f>+'ACCIONES 320801 '!K11</f>
        <v>0</v>
      </c>
      <c r="L11" s="1533">
        <f t="shared" ref="L11:L16" si="1">+K11+F11+I11</f>
        <v>914660553.14240003</v>
      </c>
    </row>
    <row r="12" spans="1:23" ht="30.75" customHeight="1">
      <c r="B12" s="220" t="s">
        <v>322</v>
      </c>
      <c r="C12" s="8" t="s">
        <v>209</v>
      </c>
      <c r="D12" s="8">
        <v>1</v>
      </c>
      <c r="E12" s="1526">
        <f>+'ACCIONES 320801 '!I26</f>
        <v>157395656.75999999</v>
      </c>
      <c r="F12" s="1534">
        <f>+'ACCIONES 320801 '!J26</f>
        <v>157395656.75999999</v>
      </c>
      <c r="G12" s="1526">
        <f>+'ACCIONES 320801 '!K26</f>
        <v>384457788.60000002</v>
      </c>
      <c r="H12" s="1930">
        <f>+'ACCIONES 320801 '!L26</f>
        <v>0</v>
      </c>
      <c r="I12" s="1534">
        <f>+SUM(G12:H12)+F12</f>
        <v>541853445.36000001</v>
      </c>
      <c r="J12" s="1933">
        <f>+'ACCIONES 320801 '!O26</f>
        <v>1984180805</v>
      </c>
      <c r="K12" s="2211"/>
      <c r="L12" s="1534">
        <f t="shared" si="1"/>
        <v>699249102.12</v>
      </c>
    </row>
    <row r="13" spans="1:23" ht="48">
      <c r="B13" s="221" t="s">
        <v>323</v>
      </c>
      <c r="C13" s="8" t="s">
        <v>209</v>
      </c>
      <c r="D13" s="8">
        <v>1</v>
      </c>
      <c r="E13" s="1526">
        <f>+'ACCIONES 320801 '!I49</f>
        <v>88919900</v>
      </c>
      <c r="F13" s="1534">
        <f>+'ACCIONES 320801 '!J49</f>
        <v>88919900</v>
      </c>
      <c r="G13" s="1526">
        <f>+'ACCIONES 320801 '!K49</f>
        <v>0</v>
      </c>
      <c r="H13" s="1930">
        <f>+'ACCIONES 320801 '!L49</f>
        <v>0</v>
      </c>
      <c r="I13" s="1534">
        <f>+F13+SUM(G13:H13)</f>
        <v>88919900</v>
      </c>
      <c r="J13" s="1933"/>
      <c r="K13" s="2211">
        <f>+'ACCIONES 320801 '!K49</f>
        <v>0</v>
      </c>
      <c r="L13" s="1534">
        <f t="shared" si="1"/>
        <v>177839800</v>
      </c>
    </row>
    <row r="14" spans="1:23" ht="44.25" customHeight="1">
      <c r="B14" s="1307" t="s">
        <v>324</v>
      </c>
      <c r="C14" s="19" t="s">
        <v>209</v>
      </c>
      <c r="D14" s="19">
        <v>1</v>
      </c>
      <c r="E14" s="1527">
        <f>+'ACCIONES 320801 '!I52</f>
        <v>162817064.36928001</v>
      </c>
      <c r="F14" s="1535">
        <f>+'ACCIONES 320801 '!J52</f>
        <v>162817064.36928001</v>
      </c>
      <c r="G14" s="1527">
        <f>+'ACCIONES 320801 '!K52</f>
        <v>2576289</v>
      </c>
      <c r="H14" s="1930">
        <f>+'ACCIONES 320801 '!L52</f>
        <v>0</v>
      </c>
      <c r="I14" s="1535">
        <f>+SUM(G14:H14)+F14</f>
        <v>165393353.36928001</v>
      </c>
      <c r="J14" s="1933"/>
      <c r="K14" s="2211"/>
      <c r="L14" s="1534">
        <f t="shared" si="1"/>
        <v>328210417.73856002</v>
      </c>
    </row>
    <row r="15" spans="1:23" ht="48" customHeight="1">
      <c r="B15" s="1523" t="s">
        <v>1153</v>
      </c>
      <c r="C15" s="810" t="s">
        <v>209</v>
      </c>
      <c r="D15" s="810">
        <v>1</v>
      </c>
      <c r="E15" s="1526"/>
      <c r="F15" s="1534"/>
      <c r="G15" s="1930"/>
      <c r="H15" s="1930"/>
      <c r="I15" s="1534">
        <f t="shared" ref="I15:I19" si="2">+SUM(G15:H15)</f>
        <v>0</v>
      </c>
      <c r="J15" s="1933"/>
      <c r="K15" s="2211">
        <f>+'ACCIONES 320801 '!P57</f>
        <v>2337398068.6999998</v>
      </c>
      <c r="L15" s="1534">
        <f t="shared" si="1"/>
        <v>2337398068.6999998</v>
      </c>
    </row>
    <row r="16" spans="1:23" ht="36.75" thickBot="1">
      <c r="B16" s="1523" t="s">
        <v>1405</v>
      </c>
      <c r="C16" s="810" t="s">
        <v>209</v>
      </c>
      <c r="D16" s="810">
        <v>1</v>
      </c>
      <c r="E16" s="2208"/>
      <c r="F16" s="2209"/>
      <c r="G16" s="1930"/>
      <c r="H16" s="1930"/>
      <c r="I16" s="2209"/>
      <c r="J16" s="1933"/>
      <c r="K16" s="2211">
        <f>+'ACCIONES 320801 '!P71</f>
        <v>435084566</v>
      </c>
      <c r="L16" s="1929">
        <f t="shared" si="1"/>
        <v>435084566</v>
      </c>
    </row>
    <row r="17" spans="1:12" ht="36.75" thickBot="1">
      <c r="A17" s="190">
        <v>3208007</v>
      </c>
      <c r="B17" s="1308" t="s">
        <v>0</v>
      </c>
      <c r="C17" s="1309" t="s">
        <v>209</v>
      </c>
      <c r="D17" s="1309">
        <v>1</v>
      </c>
      <c r="E17" s="1528">
        <f>+SUM(E18:E19)</f>
        <v>121794263</v>
      </c>
      <c r="F17" s="1536">
        <f>+SUM(F18:F19)</f>
        <v>121794263</v>
      </c>
      <c r="G17" s="1528">
        <f t="shared" ref="G17:H17" si="3">+SUM(G18:G19)</f>
        <v>0</v>
      </c>
      <c r="H17" s="1940">
        <f t="shared" si="3"/>
        <v>0</v>
      </c>
      <c r="I17" s="1536">
        <f>+SUM(G17:H17)+F17</f>
        <v>121794263</v>
      </c>
      <c r="J17" s="1941"/>
      <c r="K17" s="1928">
        <f>+SUM(K18:K19)</f>
        <v>0</v>
      </c>
      <c r="L17" s="2212">
        <f>+SUM(L18:L19)</f>
        <v>121794263</v>
      </c>
    </row>
    <row r="18" spans="1:12" s="68" customFormat="1" ht="36">
      <c r="A18"/>
      <c r="B18" s="1310" t="s">
        <v>587</v>
      </c>
      <c r="C18" s="537" t="s">
        <v>209</v>
      </c>
      <c r="D18" s="537">
        <v>1</v>
      </c>
      <c r="E18" s="1529">
        <f>+'ACCIONES 320801 '!I76</f>
        <v>23000000</v>
      </c>
      <c r="F18" s="1537">
        <f>+'ACCIONES 320801 '!J76</f>
        <v>23000000</v>
      </c>
      <c r="G18" s="1529">
        <f>+'ACCIONES 320801 '!K76</f>
        <v>0</v>
      </c>
      <c r="H18" s="1937">
        <f>+'ACCIONES 320801 '!L76</f>
        <v>0</v>
      </c>
      <c r="I18" s="1537">
        <f t="shared" si="2"/>
        <v>0</v>
      </c>
      <c r="J18" s="1939"/>
      <c r="K18" s="1938">
        <f>+'ACCIONES 320801 '!K76</f>
        <v>0</v>
      </c>
      <c r="L18" s="1939">
        <f t="shared" ref="L18:L19" si="4">+K18+F18+I18</f>
        <v>23000000</v>
      </c>
    </row>
    <row r="19" spans="1:12" s="813" customFormat="1" ht="15.75" thickBot="1">
      <c r="A19"/>
      <c r="B19" s="1311" t="s">
        <v>660</v>
      </c>
      <c r="C19" s="191" t="s">
        <v>209</v>
      </c>
      <c r="D19" s="191">
        <v>1</v>
      </c>
      <c r="E19" s="1530">
        <f>+'ACCIONES 320801 '!I79</f>
        <v>98794263</v>
      </c>
      <c r="F19" s="1538">
        <f>+'ACCIONES 320801 '!J79</f>
        <v>98794263</v>
      </c>
      <c r="G19" s="1530">
        <f>+'ACCIONES 320801 '!K79</f>
        <v>0</v>
      </c>
      <c r="H19" s="1942">
        <f>+'ACCIONES 320801 '!L79</f>
        <v>0</v>
      </c>
      <c r="I19" s="1538">
        <f t="shared" si="2"/>
        <v>0</v>
      </c>
      <c r="J19" s="1936"/>
      <c r="K19" s="1538">
        <f>+'ACCIONES 320801 '!K79</f>
        <v>0</v>
      </c>
      <c r="L19" s="1936">
        <f t="shared" si="4"/>
        <v>98794263</v>
      </c>
    </row>
    <row r="20" spans="1:12" ht="15.75" thickBot="1">
      <c r="B20" s="2456" t="s">
        <v>228</v>
      </c>
      <c r="C20" s="2457"/>
      <c r="D20" s="2458"/>
      <c r="E20" s="737">
        <f>+E17+E10</f>
        <v>988257160.70047998</v>
      </c>
      <c r="F20" s="737">
        <f>+F17+F10</f>
        <v>988257160.70047998</v>
      </c>
      <c r="G20" s="737">
        <f t="shared" ref="G20:L20" si="5">+G17+G10</f>
        <v>387034077.60000002</v>
      </c>
      <c r="H20" s="755">
        <f t="shared" si="5"/>
        <v>0</v>
      </c>
      <c r="I20" s="737">
        <f t="shared" si="5"/>
        <v>1375291238.3004801</v>
      </c>
      <c r="J20" s="1934">
        <f>+J17+J10</f>
        <v>1984180805</v>
      </c>
      <c r="K20" s="1846">
        <f t="shared" si="5"/>
        <v>2772482634.6999998</v>
      </c>
      <c r="L20" s="1934">
        <f t="shared" si="5"/>
        <v>4579152204.7009602</v>
      </c>
    </row>
    <row r="21" spans="1:12" ht="15.75" thickBot="1"/>
    <row r="22" spans="1:12" ht="15.75" thickBot="1">
      <c r="E22" s="1050">
        <f>1000295638.32192-12038478</f>
        <v>988257160.32192004</v>
      </c>
      <c r="F22" s="1051">
        <f>1000295638.32192-12038478</f>
        <v>988257160.32192004</v>
      </c>
      <c r="G22" s="1569">
        <f>388406180-1372102</f>
        <v>387034078</v>
      </c>
      <c r="H22" s="1569">
        <f>115208624-115208624</f>
        <v>0</v>
      </c>
      <c r="I22" s="1570">
        <f>503614804+1000295638.32192-12038478-1372102-115208624</f>
        <v>1375291238.3219199</v>
      </c>
      <c r="J22" s="1570">
        <v>1984180805</v>
      </c>
      <c r="K22" s="1570">
        <f>2337398068.7+435084566</f>
        <v>2772482634.6999998</v>
      </c>
      <c r="L22" s="1570">
        <f>503614804+1000295638.32192+435084566+1984180805+2337398068.7-12038478-1372102-115208624</f>
        <v>6131954678.0219193</v>
      </c>
    </row>
    <row r="24" spans="1:12">
      <c r="E24" s="29">
        <f>+E22-E20</f>
        <v>-0.37855994701385498</v>
      </c>
      <c r="F24" s="29">
        <f>+F22-F20</f>
        <v>-0.37855994701385498</v>
      </c>
      <c r="G24" s="29">
        <f t="shared" ref="G24:J24" si="6">+G22-G20</f>
        <v>0.39999997615814209</v>
      </c>
      <c r="H24" s="29">
        <f t="shared" si="6"/>
        <v>0</v>
      </c>
      <c r="I24" s="29">
        <f t="shared" si="6"/>
        <v>2.1439790725708008E-2</v>
      </c>
      <c r="J24" s="29">
        <f t="shared" si="6"/>
        <v>0</v>
      </c>
      <c r="K24" s="29">
        <f>+K22-K20</f>
        <v>0</v>
      </c>
    </row>
  </sheetData>
  <mergeCells count="20">
    <mergeCell ref="L7:L9"/>
    <mergeCell ref="K7:K9"/>
    <mergeCell ref="B5:L5"/>
    <mergeCell ref="B6:L6"/>
    <mergeCell ref="B1:B3"/>
    <mergeCell ref="K1:L1"/>
    <mergeCell ref="K2:L2"/>
    <mergeCell ref="K3:L3"/>
    <mergeCell ref="J7:J9"/>
    <mergeCell ref="C1:J3"/>
    <mergeCell ref="A7:A9"/>
    <mergeCell ref="G8:H8"/>
    <mergeCell ref="I8:I9"/>
    <mergeCell ref="G7:I7"/>
    <mergeCell ref="B20:D20"/>
    <mergeCell ref="B7:B9"/>
    <mergeCell ref="C7:F7"/>
    <mergeCell ref="C8:C9"/>
    <mergeCell ref="D8:D9"/>
    <mergeCell ref="F8:F9"/>
  </mergeCell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8">
    <tabColor theme="7" tint="0.59999389629810485"/>
  </sheetPr>
  <dimension ref="A1:AS108"/>
  <sheetViews>
    <sheetView topLeftCell="A78" zoomScale="64" zoomScaleNormal="64" workbookViewId="0">
      <selection activeCell="K55" sqref="K55:K56"/>
    </sheetView>
  </sheetViews>
  <sheetFormatPr baseColWidth="10" defaultRowHeight="15"/>
  <cols>
    <col min="1" max="1" width="4.7109375" customWidth="1"/>
    <col min="2" max="2" width="5" customWidth="1"/>
    <col min="3" max="3" width="22.85546875" customWidth="1"/>
    <col min="4" max="4" width="10.5703125" customWidth="1"/>
    <col min="5" max="5" width="11" customWidth="1"/>
    <col min="6" max="6" width="10.7109375" style="362" customWidth="1"/>
    <col min="7" max="7" width="8.42578125" style="362" customWidth="1"/>
    <col min="8" max="8" width="13.42578125" style="362" customWidth="1"/>
    <col min="9" max="9" width="19.140625" style="362" customWidth="1"/>
    <col min="10" max="10" width="21.42578125" customWidth="1"/>
    <col min="11" max="12" width="17.7109375" style="813" customWidth="1"/>
    <col min="13" max="13" width="20.42578125" style="813" customWidth="1"/>
    <col min="14" max="14" width="3.42578125" customWidth="1"/>
    <col min="15" max="15" width="19.85546875" style="813" customWidth="1"/>
    <col min="16" max="16" width="24.7109375" style="813" customWidth="1"/>
    <col min="17" max="17" width="19.140625" customWidth="1"/>
    <col min="20" max="20" width="20" customWidth="1"/>
    <col min="21" max="21" width="27.85546875" customWidth="1"/>
    <col min="23" max="23" width="17.42578125" bestFit="1" customWidth="1"/>
  </cols>
  <sheetData>
    <row r="1" spans="1:25" ht="15" customHeight="1">
      <c r="C1" s="2405"/>
      <c r="D1" s="2430" t="s">
        <v>542</v>
      </c>
      <c r="E1" s="2431"/>
      <c r="F1" s="2431"/>
      <c r="G1" s="2431"/>
      <c r="H1" s="2431"/>
      <c r="I1" s="2431"/>
      <c r="J1" s="2431"/>
      <c r="K1" s="2432"/>
      <c r="L1" s="2495" t="s">
        <v>539</v>
      </c>
      <c r="M1" s="2496"/>
      <c r="O1"/>
      <c r="P1"/>
    </row>
    <row r="2" spans="1:25">
      <c r="C2" s="2406"/>
      <c r="D2" s="2433"/>
      <c r="E2" s="2434"/>
      <c r="F2" s="2434"/>
      <c r="G2" s="2434"/>
      <c r="H2" s="2434"/>
      <c r="I2" s="2434"/>
      <c r="J2" s="2434"/>
      <c r="K2" s="2435"/>
      <c r="L2" s="2497" t="s">
        <v>540</v>
      </c>
      <c r="M2" s="2498"/>
      <c r="O2"/>
      <c r="P2"/>
    </row>
    <row r="3" spans="1:25" ht="15.75" customHeight="1" thickBot="1">
      <c r="C3" s="2407"/>
      <c r="D3" s="2436"/>
      <c r="E3" s="2437"/>
      <c r="F3" s="2437"/>
      <c r="G3" s="2437"/>
      <c r="H3" s="2437"/>
      <c r="I3" s="2437"/>
      <c r="J3" s="2437"/>
      <c r="K3" s="2438"/>
      <c r="L3" s="2499" t="s">
        <v>541</v>
      </c>
      <c r="M3" s="2500"/>
      <c r="O3"/>
      <c r="P3"/>
    </row>
    <row r="4" spans="1:25" ht="5.25" customHeight="1" thickBot="1"/>
    <row r="5" spans="1:25" s="1" customFormat="1" ht="15.75" thickBot="1">
      <c r="C5" s="2402" t="s">
        <v>193</v>
      </c>
      <c r="D5" s="2403"/>
      <c r="E5" s="2403"/>
      <c r="F5" s="2403"/>
      <c r="G5" s="2403"/>
      <c r="H5" s="2403"/>
      <c r="I5" s="2403"/>
      <c r="J5" s="2403"/>
      <c r="K5" s="2403"/>
      <c r="L5" s="2403"/>
      <c r="M5" s="2404"/>
      <c r="N5"/>
      <c r="O5" s="1464"/>
      <c r="P5" s="1464"/>
    </row>
    <row r="6" spans="1:25" ht="15.75" thickBot="1">
      <c r="C6" s="2609" t="s">
        <v>194</v>
      </c>
      <c r="D6" s="2610"/>
      <c r="E6" s="2610"/>
      <c r="F6" s="2610"/>
      <c r="G6" s="2610"/>
      <c r="H6" s="2610"/>
      <c r="I6" s="2610"/>
      <c r="J6" s="2610"/>
      <c r="K6" s="2610"/>
      <c r="L6" s="2610"/>
      <c r="M6" s="2611"/>
    </row>
    <row r="7" spans="1:25" ht="15" customHeight="1" thickBot="1">
      <c r="A7" s="2397" t="s">
        <v>543</v>
      </c>
      <c r="B7" s="2397" t="s">
        <v>544</v>
      </c>
      <c r="C7" s="2397" t="s">
        <v>435</v>
      </c>
      <c r="D7" s="2397" t="s">
        <v>436</v>
      </c>
      <c r="E7" s="2397" t="s">
        <v>501</v>
      </c>
      <c r="F7" s="2397" t="s">
        <v>437</v>
      </c>
      <c r="G7" s="2397" t="s">
        <v>200</v>
      </c>
      <c r="H7" s="2489" t="s">
        <v>576</v>
      </c>
      <c r="I7" s="1466" t="s">
        <v>198</v>
      </c>
      <c r="J7" s="2448" t="s">
        <v>341</v>
      </c>
      <c r="K7" s="2398" t="s">
        <v>1213</v>
      </c>
      <c r="L7" s="2400"/>
      <c r="M7" s="2448" t="s">
        <v>453</v>
      </c>
      <c r="O7" s="2448" t="s">
        <v>1404</v>
      </c>
      <c r="P7" s="2448" t="s">
        <v>505</v>
      </c>
      <c r="Q7" s="2448" t="s">
        <v>453</v>
      </c>
    </row>
    <row r="8" spans="1:25" ht="15.75" thickBot="1">
      <c r="A8" s="2397"/>
      <c r="B8" s="2397"/>
      <c r="C8" s="2397"/>
      <c r="D8" s="2397"/>
      <c r="E8" s="2397"/>
      <c r="F8" s="2397"/>
      <c r="G8" s="2397"/>
      <c r="H8" s="2423"/>
      <c r="I8" s="2397" t="s">
        <v>502</v>
      </c>
      <c r="J8" s="2448"/>
      <c r="K8" s="2397" t="s">
        <v>502</v>
      </c>
      <c r="L8" s="2397" t="s">
        <v>201</v>
      </c>
      <c r="M8" s="2448"/>
      <c r="O8" s="2448"/>
      <c r="P8" s="2448"/>
      <c r="Q8" s="2448"/>
    </row>
    <row r="9" spans="1:25" ht="15.75" thickBot="1">
      <c r="A9" s="2489"/>
      <c r="B9" s="2489"/>
      <c r="C9" s="2489"/>
      <c r="D9" s="2489"/>
      <c r="E9" s="2489"/>
      <c r="F9" s="2489"/>
      <c r="G9" s="2489"/>
      <c r="H9" s="2401"/>
      <c r="I9" s="2489"/>
      <c r="J9" s="2449"/>
      <c r="K9" s="2489"/>
      <c r="L9" s="2489"/>
      <c r="M9" s="2449"/>
      <c r="O9" s="2449"/>
      <c r="P9" s="2449"/>
      <c r="Q9" s="2449"/>
    </row>
    <row r="10" spans="1:25" ht="39" thickBot="1">
      <c r="A10" s="1052">
        <v>155</v>
      </c>
      <c r="B10" s="1052"/>
      <c r="C10" s="363" t="s">
        <v>320</v>
      </c>
      <c r="D10" s="625"/>
      <c r="E10" s="625"/>
      <c r="F10" s="634" t="s">
        <v>214</v>
      </c>
      <c r="G10" s="634">
        <v>100</v>
      </c>
      <c r="H10" s="1074"/>
      <c r="I10" s="736">
        <f>I11+I26+I49+I52</f>
        <v>866462897.70047998</v>
      </c>
      <c r="J10" s="1062">
        <f>+J11+J26+J49+J52</f>
        <v>866462897.70047998</v>
      </c>
      <c r="K10" s="736">
        <f>K11+K26+K49+K52</f>
        <v>387034077.60000002</v>
      </c>
      <c r="L10" s="736">
        <f>L11+L26+L49+L52</f>
        <v>0</v>
      </c>
      <c r="M10" s="1062">
        <f>+M11+M26+M49+M52</f>
        <v>1253496975.3004801</v>
      </c>
      <c r="O10" s="1062">
        <f>+O11+O26+O49+O52+O71+O75</f>
        <v>1984180805</v>
      </c>
      <c r="P10" s="1062">
        <f>+P57+P71</f>
        <v>2772482634.6999998</v>
      </c>
      <c r="Q10" s="1062">
        <f>+P10+M10+O10</f>
        <v>6010160415.0004797</v>
      </c>
    </row>
    <row r="11" spans="1:25" ht="38.25">
      <c r="A11" s="1052"/>
      <c r="B11" s="1443" t="s">
        <v>1101</v>
      </c>
      <c r="C11" s="800" t="s">
        <v>458</v>
      </c>
      <c r="D11" s="801"/>
      <c r="E11" s="801"/>
      <c r="F11" s="801" t="s">
        <v>209</v>
      </c>
      <c r="G11" s="801">
        <v>1</v>
      </c>
      <c r="H11" s="1075"/>
      <c r="I11" s="802">
        <f>SUM(I12:I25)</f>
        <v>457330276.57120001</v>
      </c>
      <c r="J11" s="1066">
        <f>SUM(J12:J25)</f>
        <v>457330276.57120001</v>
      </c>
      <c r="K11" s="802">
        <f>SUM(K12:K25)</f>
        <v>0</v>
      </c>
      <c r="L11" s="802">
        <f>SUM(L12:L25)</f>
        <v>0</v>
      </c>
      <c r="M11" s="1066">
        <f>SUM(M12:M25)</f>
        <v>457330276.57120001</v>
      </c>
      <c r="O11" s="1066"/>
      <c r="P11" s="1066"/>
      <c r="Q11" s="1066">
        <f>SUM(Q12:Q25)</f>
        <v>457330276.57120001</v>
      </c>
    </row>
    <row r="12" spans="1:25" s="1" customFormat="1" ht="25.5" customHeight="1">
      <c r="A12" s="812"/>
      <c r="B12" s="1423"/>
      <c r="C12" s="1057" t="s">
        <v>546</v>
      </c>
      <c r="D12" s="1058" t="s">
        <v>235</v>
      </c>
      <c r="E12" s="251"/>
      <c r="F12" s="1058" t="s">
        <v>547</v>
      </c>
      <c r="G12" s="811">
        <v>11</v>
      </c>
      <c r="H12" s="282"/>
      <c r="I12" s="1475">
        <f>(((4300000*12%)+(4300000))*(11))*1.004</f>
        <v>53187904</v>
      </c>
      <c r="J12" s="1067">
        <f>+SUM(I12)</f>
        <v>53187904</v>
      </c>
      <c r="K12" s="1059"/>
      <c r="L12" s="1059"/>
      <c r="M12" s="1067">
        <f>+SUM(L12)+J12</f>
        <v>53187904</v>
      </c>
      <c r="N12"/>
      <c r="O12" s="1067"/>
      <c r="P12" s="1067"/>
      <c r="Q12" s="1067">
        <f>+P12+M12+O12</f>
        <v>53187904</v>
      </c>
    </row>
    <row r="13" spans="1:25" s="1" customFormat="1" ht="25.5" customHeight="1">
      <c r="A13" s="812"/>
      <c r="B13" s="1423"/>
      <c r="C13" s="567" t="s">
        <v>548</v>
      </c>
      <c r="D13" s="1058" t="s">
        <v>235</v>
      </c>
      <c r="E13" s="251"/>
      <c r="F13" s="1058" t="s">
        <v>547</v>
      </c>
      <c r="G13" s="811">
        <v>11</v>
      </c>
      <c r="H13" s="282"/>
      <c r="I13" s="1475">
        <f>(((4300000*12%)+(4300000))*(11))*1.004</f>
        <v>53187904</v>
      </c>
      <c r="J13" s="1067">
        <f t="shared" ref="J13:J25" si="0">+SUM(I13)</f>
        <v>53187904</v>
      </c>
      <c r="K13" s="1059"/>
      <c r="L13" s="1059"/>
      <c r="M13" s="1067">
        <f t="shared" ref="M13:M25" si="1">+SUM(L13)+J13</f>
        <v>53187904</v>
      </c>
      <c r="N13"/>
      <c r="O13" s="1067"/>
      <c r="P13" s="1067"/>
      <c r="Q13" s="1067">
        <f t="shared" ref="Q13:Q74" si="2">+P13+M13+O13</f>
        <v>53187904</v>
      </c>
    </row>
    <row r="14" spans="1:25" s="1" customFormat="1" ht="25.5" customHeight="1">
      <c r="A14" s="812"/>
      <c r="B14" s="1423"/>
      <c r="C14" s="567" t="s">
        <v>549</v>
      </c>
      <c r="D14" s="1058" t="s">
        <v>235</v>
      </c>
      <c r="E14" s="251"/>
      <c r="F14" s="1058" t="s">
        <v>547</v>
      </c>
      <c r="G14" s="811">
        <v>11</v>
      </c>
      <c r="H14" s="282"/>
      <c r="I14" s="1475">
        <f>((((4083600*12%)+(4083600))*(11))*1.004)-4591926.528-9183853</f>
        <v>36735412.280000001</v>
      </c>
      <c r="J14" s="1067">
        <f t="shared" si="0"/>
        <v>36735412.280000001</v>
      </c>
      <c r="K14" s="1475"/>
      <c r="L14" s="1475"/>
      <c r="M14" s="1067">
        <f t="shared" si="1"/>
        <v>36735412.280000001</v>
      </c>
      <c r="N14"/>
      <c r="O14" s="1067"/>
      <c r="P14" s="1067"/>
      <c r="Q14" s="1067">
        <f t="shared" si="2"/>
        <v>36735412.280000001</v>
      </c>
    </row>
    <row r="15" spans="1:25" s="1" customFormat="1" ht="25.5" customHeight="1">
      <c r="A15" s="812"/>
      <c r="B15" s="1423"/>
      <c r="C15" s="567" t="s">
        <v>550</v>
      </c>
      <c r="D15" s="1058" t="s">
        <v>235</v>
      </c>
      <c r="E15" s="251"/>
      <c r="F15" s="1058" t="s">
        <v>547</v>
      </c>
      <c r="G15" s="811">
        <v>11</v>
      </c>
      <c r="H15" s="282"/>
      <c r="I15" s="1475">
        <f>((((3600000*12%)+(3600000))*(11))*1.004)-4048128</f>
        <v>40481280</v>
      </c>
      <c r="J15" s="1067">
        <f t="shared" si="0"/>
        <v>40481280</v>
      </c>
      <c r="K15" s="1475"/>
      <c r="L15" s="1475"/>
      <c r="M15" s="1067">
        <f t="shared" si="1"/>
        <v>40481280</v>
      </c>
      <c r="N15"/>
      <c r="O15" s="1067"/>
      <c r="P15" s="1067"/>
      <c r="Q15" s="1067">
        <f t="shared" si="2"/>
        <v>40481280</v>
      </c>
    </row>
    <row r="16" spans="1:25" s="1" customFormat="1" ht="25.5" customHeight="1">
      <c r="A16" s="812"/>
      <c r="B16" s="1423"/>
      <c r="C16" s="567" t="s">
        <v>551</v>
      </c>
      <c r="D16" s="1474" t="s">
        <v>235</v>
      </c>
      <c r="E16" s="810"/>
      <c r="F16" s="1474" t="s">
        <v>547</v>
      </c>
      <c r="G16" s="811">
        <v>11</v>
      </c>
      <c r="H16" s="282"/>
      <c r="I16" s="1475">
        <f>(((4300000*12%)+(4300000))*(11))*1.004</f>
        <v>53187904</v>
      </c>
      <c r="J16" s="1067">
        <f t="shared" si="0"/>
        <v>53187904</v>
      </c>
      <c r="K16" s="1475"/>
      <c r="L16" s="1475"/>
      <c r="M16" s="1067">
        <f t="shared" si="1"/>
        <v>53187904</v>
      </c>
      <c r="N16"/>
      <c r="O16" s="1067"/>
      <c r="P16" s="1067"/>
      <c r="Q16" s="1067">
        <f t="shared" si="2"/>
        <v>53187904</v>
      </c>
      <c r="T16"/>
      <c r="U16"/>
      <c r="V16"/>
      <c r="W16"/>
      <c r="X16"/>
      <c r="Y16"/>
    </row>
    <row r="17" spans="1:25" s="1" customFormat="1" ht="48" customHeight="1">
      <c r="A17" s="812"/>
      <c r="B17" s="1423"/>
      <c r="C17" s="567" t="s">
        <v>726</v>
      </c>
      <c r="D17" s="1474" t="s">
        <v>235</v>
      </c>
      <c r="E17" s="810"/>
      <c r="F17" s="1474" t="s">
        <v>547</v>
      </c>
      <c r="G17" s="811">
        <v>10</v>
      </c>
      <c r="H17" s="282"/>
      <c r="I17" s="1475">
        <f>19799994+2376000</f>
        <v>22175994</v>
      </c>
      <c r="J17" s="1064">
        <f t="shared" si="0"/>
        <v>22175994</v>
      </c>
      <c r="K17" s="1475"/>
      <c r="L17" s="1475"/>
      <c r="M17" s="1067">
        <f t="shared" si="1"/>
        <v>22175994</v>
      </c>
      <c r="N17"/>
      <c r="O17" s="1067"/>
      <c r="P17" s="1067"/>
      <c r="Q17" s="1067">
        <f t="shared" si="2"/>
        <v>22175994</v>
      </c>
      <c r="T17"/>
      <c r="U17"/>
      <c r="V17"/>
      <c r="W17"/>
      <c r="X17"/>
      <c r="Y17"/>
    </row>
    <row r="18" spans="1:25" s="1" customFormat="1" ht="38.25">
      <c r="A18" s="812"/>
      <c r="B18" s="1423"/>
      <c r="C18" s="567" t="s">
        <v>552</v>
      </c>
      <c r="D18" s="1474" t="s">
        <v>235</v>
      </c>
      <c r="E18" s="810"/>
      <c r="F18" s="1474" t="s">
        <v>547</v>
      </c>
      <c r="G18" s="811">
        <v>10</v>
      </c>
      <c r="H18" s="282"/>
      <c r="I18" s="1475">
        <f>(((3020778*12%)+(3020778))*(11))*1.004-3396804.44544</f>
        <v>33968044.454400003</v>
      </c>
      <c r="J18" s="1064">
        <f t="shared" si="0"/>
        <v>33968044.454400003</v>
      </c>
      <c r="K18" s="1475"/>
      <c r="L18" s="1475"/>
      <c r="M18" s="1067">
        <f t="shared" si="1"/>
        <v>33968044.454400003</v>
      </c>
      <c r="N18"/>
      <c r="O18" s="1067"/>
      <c r="P18" s="1067"/>
      <c r="Q18" s="1067">
        <f t="shared" si="2"/>
        <v>33968044.454400003</v>
      </c>
      <c r="T18"/>
      <c r="U18"/>
      <c r="V18"/>
      <c r="W18"/>
      <c r="X18"/>
      <c r="Y18"/>
    </row>
    <row r="19" spans="1:25" s="1" customFormat="1" ht="38.25">
      <c r="A19" s="812"/>
      <c r="B19" s="1423"/>
      <c r="C19" s="567" t="s">
        <v>727</v>
      </c>
      <c r="D19" s="1474" t="s">
        <v>235</v>
      </c>
      <c r="E19" s="810"/>
      <c r="F19" s="1474" t="s">
        <v>547</v>
      </c>
      <c r="G19" s="811">
        <v>3</v>
      </c>
      <c r="H19" s="282"/>
      <c r="I19" s="1475">
        <f>31700350-4341976-21207401-6150973</f>
        <v>0</v>
      </c>
      <c r="J19" s="1064">
        <f t="shared" si="0"/>
        <v>0</v>
      </c>
      <c r="K19" s="1475"/>
      <c r="L19" s="1475"/>
      <c r="M19" s="1067">
        <f t="shared" si="1"/>
        <v>0</v>
      </c>
      <c r="N19"/>
      <c r="O19" s="1067"/>
      <c r="P19" s="1067"/>
      <c r="Q19" s="1067">
        <f t="shared" si="2"/>
        <v>0</v>
      </c>
      <c r="T19"/>
      <c r="U19"/>
      <c r="V19"/>
      <c r="W19"/>
      <c r="X19"/>
      <c r="Y19"/>
    </row>
    <row r="20" spans="1:25" s="1" customFormat="1" ht="39" customHeight="1">
      <c r="A20" s="812"/>
      <c r="B20" s="1423"/>
      <c r="C20" s="567" t="s">
        <v>1133</v>
      </c>
      <c r="D20" s="1474" t="s">
        <v>235</v>
      </c>
      <c r="E20" s="812"/>
      <c r="F20" s="810" t="s">
        <v>547</v>
      </c>
      <c r="G20" s="1474">
        <v>3</v>
      </c>
      <c r="H20" s="812"/>
      <c r="I20" s="1462">
        <v>16908543</v>
      </c>
      <c r="J20" s="1064">
        <f t="shared" si="0"/>
        <v>16908543</v>
      </c>
      <c r="K20" s="1462"/>
      <c r="L20" s="1462"/>
      <c r="M20" s="1067">
        <f t="shared" si="1"/>
        <v>16908543</v>
      </c>
      <c r="N20"/>
      <c r="O20" s="1067"/>
      <c r="P20" s="1067"/>
      <c r="Q20" s="1067">
        <f t="shared" si="2"/>
        <v>16908543</v>
      </c>
      <c r="T20"/>
      <c r="U20"/>
      <c r="V20"/>
      <c r="W20"/>
      <c r="X20"/>
      <c r="Y20"/>
    </row>
    <row r="21" spans="1:25" s="1" customFormat="1" ht="38.25">
      <c r="A21" s="812"/>
      <c r="B21" s="1423"/>
      <c r="C21" s="567" t="s">
        <v>553</v>
      </c>
      <c r="D21" s="1474" t="s">
        <v>235</v>
      </c>
      <c r="E21" s="810"/>
      <c r="F21" s="1474" t="s">
        <v>547</v>
      </c>
      <c r="G21" s="811">
        <v>4</v>
      </c>
      <c r="H21" s="812"/>
      <c r="I21" s="1462">
        <f>56976349-19284543-16760220</f>
        <v>20931586</v>
      </c>
      <c r="J21" s="1067">
        <f t="shared" si="0"/>
        <v>20931586</v>
      </c>
      <c r="K21" s="1462"/>
      <c r="L21" s="1462"/>
      <c r="M21" s="1067">
        <f t="shared" si="1"/>
        <v>20931586</v>
      </c>
      <c r="N21"/>
      <c r="O21" s="1067"/>
      <c r="P21" s="1067"/>
      <c r="Q21" s="1067">
        <f t="shared" si="2"/>
        <v>20931586</v>
      </c>
      <c r="T21"/>
      <c r="U21"/>
      <c r="V21"/>
      <c r="W21"/>
      <c r="X21"/>
      <c r="Y21"/>
    </row>
    <row r="22" spans="1:25" s="1" customFormat="1" ht="49.5" customHeight="1">
      <c r="A22" s="812"/>
      <c r="B22" s="1423"/>
      <c r="C22" s="567" t="s">
        <v>554</v>
      </c>
      <c r="D22" s="1474" t="s">
        <v>235</v>
      </c>
      <c r="E22" s="810"/>
      <c r="F22" s="1474" t="s">
        <v>547</v>
      </c>
      <c r="G22" s="2153">
        <v>11</v>
      </c>
      <c r="H22" s="282"/>
      <c r="I22" s="1475">
        <f>(((4621422*12%)+(4621422))*(11))*1.004</f>
        <v>57163662.716159999</v>
      </c>
      <c r="J22" s="1067">
        <f t="shared" si="0"/>
        <v>57163662.716159999</v>
      </c>
      <c r="K22" s="1475"/>
      <c r="L22" s="1475"/>
      <c r="M22" s="1067">
        <f t="shared" si="1"/>
        <v>57163662.716159999</v>
      </c>
      <c r="N22"/>
      <c r="O22" s="1067"/>
      <c r="P22" s="1067"/>
      <c r="Q22" s="1067">
        <f t="shared" si="2"/>
        <v>57163662.716159999</v>
      </c>
      <c r="T22"/>
      <c r="U22"/>
      <c r="V22"/>
      <c r="W22"/>
      <c r="X22"/>
      <c r="Y22"/>
    </row>
    <row r="23" spans="1:25" s="1" customFormat="1" ht="49.5" customHeight="1">
      <c r="A23" s="812"/>
      <c r="B23" s="1423"/>
      <c r="C23" s="567" t="s">
        <v>728</v>
      </c>
      <c r="D23" s="1474" t="s">
        <v>235</v>
      </c>
      <c r="E23" s="810"/>
      <c r="F23" s="1474" t="s">
        <v>547</v>
      </c>
      <c r="G23" s="2153">
        <v>11</v>
      </c>
      <c r="H23" s="282"/>
      <c r="I23" s="1475">
        <f>((((2870368*12%)+(2870368))*(11))*1.004)-22593700</f>
        <v>12910685.495040007</v>
      </c>
      <c r="J23" s="1067">
        <f>+SUM(I23)</f>
        <v>12910685.495040007</v>
      </c>
      <c r="K23" s="1475"/>
      <c r="L23" s="1475"/>
      <c r="M23" s="1067">
        <f t="shared" si="1"/>
        <v>12910685.495040007</v>
      </c>
      <c r="N23"/>
      <c r="O23" s="1067"/>
      <c r="P23" s="1067"/>
      <c r="Q23" s="1067">
        <f t="shared" si="2"/>
        <v>12910685.495040007</v>
      </c>
      <c r="T23"/>
      <c r="U23"/>
      <c r="V23"/>
      <c r="W23"/>
      <c r="X23"/>
      <c r="Y23"/>
    </row>
    <row r="24" spans="1:25" s="1" customFormat="1" ht="49.5" customHeight="1">
      <c r="A24" s="812"/>
      <c r="B24" s="1423"/>
      <c r="C24" s="567" t="s">
        <v>1370</v>
      </c>
      <c r="D24" s="1474" t="s">
        <v>235</v>
      </c>
      <c r="E24" s="810"/>
      <c r="F24" s="1474" t="s">
        <v>547</v>
      </c>
      <c r="G24" s="2153">
        <v>5</v>
      </c>
      <c r="H24" s="282"/>
      <c r="I24" s="1475">
        <v>20408795</v>
      </c>
      <c r="J24" s="1067">
        <f>+SUM(I24)</f>
        <v>20408795</v>
      </c>
      <c r="K24" s="1475"/>
      <c r="L24" s="1475"/>
      <c r="M24" s="1067">
        <f t="shared" si="1"/>
        <v>20408795</v>
      </c>
      <c r="N24"/>
      <c r="O24" s="1067"/>
      <c r="P24" s="1067"/>
      <c r="Q24" s="1067">
        <f t="shared" si="2"/>
        <v>20408795</v>
      </c>
      <c r="T24"/>
      <c r="U24"/>
      <c r="V24"/>
      <c r="W24"/>
      <c r="X24"/>
      <c r="Y24"/>
    </row>
    <row r="25" spans="1:25" s="1" customFormat="1" ht="49.5" customHeight="1">
      <c r="A25" s="812"/>
      <c r="B25" s="1423"/>
      <c r="C25" s="567" t="s">
        <v>555</v>
      </c>
      <c r="D25" s="1058" t="s">
        <v>235</v>
      </c>
      <c r="E25" s="251"/>
      <c r="F25" s="1058" t="s">
        <v>547</v>
      </c>
      <c r="G25" s="811">
        <v>10</v>
      </c>
      <c r="H25" s="282"/>
      <c r="I25" s="1059">
        <f>(((3208822*12%)+(3208822))*(10))*1.004</f>
        <v>36082561.625599995</v>
      </c>
      <c r="J25" s="1067">
        <f t="shared" si="0"/>
        <v>36082561.625599995</v>
      </c>
      <c r="K25" s="1059"/>
      <c r="L25" s="1059"/>
      <c r="M25" s="1067">
        <f t="shared" si="1"/>
        <v>36082561.625599995</v>
      </c>
      <c r="N25"/>
      <c r="O25" s="1067"/>
      <c r="P25" s="1067"/>
      <c r="Q25" s="1067">
        <f t="shared" si="2"/>
        <v>36082561.625599995</v>
      </c>
      <c r="T25"/>
      <c r="U25"/>
      <c r="V25"/>
      <c r="W25"/>
      <c r="X25"/>
      <c r="Y25"/>
    </row>
    <row r="26" spans="1:25" s="1" customFormat="1" ht="40.5" customHeight="1">
      <c r="A26" s="1053"/>
      <c r="B26" s="1419" t="s">
        <v>1108</v>
      </c>
      <c r="C26" s="169" t="s">
        <v>459</v>
      </c>
      <c r="D26" s="171"/>
      <c r="E26" s="171"/>
      <c r="F26" s="174" t="s">
        <v>209</v>
      </c>
      <c r="G26" s="174">
        <v>1</v>
      </c>
      <c r="H26" s="272"/>
      <c r="I26" s="572">
        <f>SUM(I27:I48)</f>
        <v>157395656.75999999</v>
      </c>
      <c r="J26" s="1068">
        <f>SUM(J27:J48)</f>
        <v>157395656.75999999</v>
      </c>
      <c r="K26" s="572">
        <f>SUM(K27:K48)</f>
        <v>384457788.60000002</v>
      </c>
      <c r="L26" s="572">
        <f>SUM(L27:L48)</f>
        <v>0</v>
      </c>
      <c r="M26" s="1068">
        <f>SUM(M27:M48)</f>
        <v>541853445.36000001</v>
      </c>
      <c r="N26"/>
      <c r="O26" s="1068">
        <f>SUM(O27:O48)</f>
        <v>1984180805</v>
      </c>
      <c r="P26" s="1068"/>
      <c r="Q26" s="1943">
        <f>SUM(Q27:Q48)</f>
        <v>2526034250.3600001</v>
      </c>
      <c r="T26"/>
      <c r="U26"/>
      <c r="V26"/>
      <c r="W26"/>
      <c r="X26"/>
      <c r="Y26"/>
    </row>
    <row r="27" spans="1:25" s="812" customFormat="1" ht="38.25">
      <c r="B27" s="1423"/>
      <c r="C27" s="567" t="s">
        <v>556</v>
      </c>
      <c r="D27" s="251" t="s">
        <v>557</v>
      </c>
      <c r="E27" s="810"/>
      <c r="F27" s="811" t="s">
        <v>209</v>
      </c>
      <c r="G27" s="811">
        <v>1</v>
      </c>
      <c r="H27" s="282"/>
      <c r="I27" s="1483">
        <f>30000000-1500456</f>
        <v>28499544</v>
      </c>
      <c r="J27" s="1064">
        <f>+SUM(I27)</f>
        <v>28499544</v>
      </c>
      <c r="K27" s="2112"/>
      <c r="L27" s="1483"/>
      <c r="M27" s="1067">
        <f>+SUM(K27:L27)+J27</f>
        <v>28499544</v>
      </c>
      <c r="N27"/>
      <c r="O27" s="1064"/>
      <c r="P27" s="1064"/>
      <c r="Q27" s="1067">
        <f t="shared" si="2"/>
        <v>28499544</v>
      </c>
      <c r="T27"/>
      <c r="U27"/>
      <c r="V27"/>
      <c r="W27"/>
      <c r="X27"/>
      <c r="Y27"/>
    </row>
    <row r="28" spans="1:25" s="812" customFormat="1" ht="89.25">
      <c r="B28" s="1423"/>
      <c r="C28" s="567" t="s">
        <v>558</v>
      </c>
      <c r="D28" s="2057" t="s">
        <v>1198</v>
      </c>
      <c r="E28" s="2057" t="s">
        <v>1328</v>
      </c>
      <c r="F28" s="2057" t="s">
        <v>209</v>
      </c>
      <c r="G28" s="2057">
        <v>1</v>
      </c>
      <c r="H28" s="273"/>
      <c r="I28" s="1483">
        <f>54805256-3177213+28987957-1816717</f>
        <v>78799283</v>
      </c>
      <c r="J28" s="1064">
        <f>+SUM(I28)</f>
        <v>78799283</v>
      </c>
      <c r="K28" s="1483">
        <f>148965445-3948391</f>
        <v>145017054</v>
      </c>
      <c r="L28" s="1483">
        <f>115208624-115208624</f>
        <v>0</v>
      </c>
      <c r="M28" s="1067">
        <f t="shared" ref="M28:M74" si="3">+SUM(K28:L28)+J28</f>
        <v>223816337</v>
      </c>
      <c r="N28"/>
      <c r="O28" s="1064"/>
      <c r="P28" s="1064"/>
      <c r="Q28" s="1067">
        <f t="shared" si="2"/>
        <v>223816337</v>
      </c>
      <c r="T28"/>
      <c r="U28"/>
      <c r="V28"/>
      <c r="W28"/>
      <c r="X28"/>
      <c r="Y28"/>
    </row>
    <row r="29" spans="1:25" s="812" customFormat="1">
      <c r="B29" s="1423"/>
      <c r="C29" s="2574" t="s">
        <v>559</v>
      </c>
      <c r="D29" s="2577" t="s">
        <v>1335</v>
      </c>
      <c r="E29" s="2057">
        <v>45221</v>
      </c>
      <c r="F29" s="2057" t="s">
        <v>209</v>
      </c>
      <c r="G29" s="2057">
        <v>1</v>
      </c>
      <c r="H29" s="282"/>
      <c r="I29" s="1483">
        <v>4686716</v>
      </c>
      <c r="J29" s="1064">
        <f t="shared" ref="J29:J35" si="4">+SUM(I29)</f>
        <v>4686716</v>
      </c>
      <c r="K29" s="2112">
        <v>11750013</v>
      </c>
      <c r="L29" s="1483"/>
      <c r="M29" s="1067">
        <f t="shared" si="3"/>
        <v>16436729</v>
      </c>
      <c r="N29"/>
      <c r="O29" s="1064"/>
      <c r="P29" s="1064"/>
      <c r="Q29" s="1067">
        <f t="shared" si="2"/>
        <v>16436729</v>
      </c>
      <c r="T29"/>
      <c r="U29"/>
      <c r="V29"/>
      <c r="W29"/>
      <c r="X29"/>
      <c r="Y29"/>
    </row>
    <row r="30" spans="1:25" s="812" customFormat="1">
      <c r="B30" s="1423"/>
      <c r="C30" s="2575"/>
      <c r="D30" s="2652"/>
      <c r="E30" s="2057">
        <v>47330</v>
      </c>
      <c r="F30" s="2057" t="s">
        <v>611</v>
      </c>
      <c r="G30" s="2057">
        <v>1</v>
      </c>
      <c r="H30" s="282"/>
      <c r="I30" s="1483"/>
      <c r="J30" s="1064">
        <f t="shared" si="4"/>
        <v>0</v>
      </c>
      <c r="K30" s="2112">
        <v>27690721.600000001</v>
      </c>
      <c r="L30" s="1483"/>
      <c r="M30" s="1067">
        <f t="shared" si="3"/>
        <v>27690721.600000001</v>
      </c>
      <c r="N30"/>
      <c r="O30" s="1064"/>
      <c r="P30" s="1064"/>
      <c r="Q30" s="1067">
        <f t="shared" si="2"/>
        <v>27690721.600000001</v>
      </c>
      <c r="T30"/>
      <c r="U30"/>
      <c r="V30"/>
      <c r="W30"/>
      <c r="X30"/>
      <c r="Y30"/>
    </row>
    <row r="31" spans="1:25" s="812" customFormat="1">
      <c r="B31" s="1423"/>
      <c r="C31" s="2575"/>
      <c r="D31" s="2652"/>
      <c r="E31" s="2057">
        <v>42999</v>
      </c>
      <c r="F31" s="2057" t="s">
        <v>611</v>
      </c>
      <c r="G31" s="2057">
        <v>1</v>
      </c>
      <c r="H31" s="282"/>
      <c r="I31" s="1483">
        <v>386740.8</v>
      </c>
      <c r="J31" s="1064">
        <f t="shared" si="4"/>
        <v>386740.8</v>
      </c>
      <c r="K31" s="2112"/>
      <c r="L31" s="1483"/>
      <c r="M31" s="1067">
        <f t="shared" si="3"/>
        <v>386740.8</v>
      </c>
      <c r="N31"/>
      <c r="O31" s="1064"/>
      <c r="P31" s="1064"/>
      <c r="Q31" s="1067">
        <f t="shared" si="2"/>
        <v>386740.8</v>
      </c>
      <c r="T31"/>
      <c r="U31"/>
      <c r="V31"/>
      <c r="W31"/>
      <c r="X31"/>
      <c r="Y31"/>
    </row>
    <row r="32" spans="1:25" s="812" customFormat="1">
      <c r="B32" s="1423"/>
      <c r="C32" s="2575"/>
      <c r="D32" s="2652"/>
      <c r="E32" s="2057">
        <v>46212</v>
      </c>
      <c r="F32" s="2057" t="s">
        <v>611</v>
      </c>
      <c r="G32" s="2057">
        <v>1</v>
      </c>
      <c r="H32" s="282"/>
      <c r="I32" s="1483">
        <v>169575.6</v>
      </c>
      <c r="J32" s="1064">
        <f t="shared" si="4"/>
        <v>169575.6</v>
      </c>
      <c r="K32" s="2112"/>
      <c r="L32" s="1483"/>
      <c r="M32" s="1067">
        <f t="shared" si="3"/>
        <v>169575.6</v>
      </c>
      <c r="N32"/>
      <c r="O32" s="1064"/>
      <c r="P32" s="1064"/>
      <c r="Q32" s="1067">
        <f t="shared" si="2"/>
        <v>169575.6</v>
      </c>
      <c r="T32"/>
      <c r="U32"/>
      <c r="V32"/>
      <c r="W32"/>
      <c r="X32"/>
      <c r="Y32"/>
    </row>
    <row r="33" spans="2:25" s="812" customFormat="1">
      <c r="B33" s="1423"/>
      <c r="C33" s="2575"/>
      <c r="D33" s="2652"/>
      <c r="E33" s="2057">
        <v>46310</v>
      </c>
      <c r="F33" s="2057" t="s">
        <v>611</v>
      </c>
      <c r="G33" s="2057">
        <v>1</v>
      </c>
      <c r="H33" s="282"/>
      <c r="I33" s="1483">
        <v>608524.4</v>
      </c>
      <c r="J33" s="1064">
        <f t="shared" si="4"/>
        <v>608524.4</v>
      </c>
      <c r="K33" s="2112"/>
      <c r="L33" s="1483"/>
      <c r="M33" s="1067">
        <f t="shared" si="3"/>
        <v>608524.4</v>
      </c>
      <c r="N33"/>
      <c r="O33" s="1064"/>
      <c r="P33" s="1064"/>
      <c r="Q33" s="1067">
        <f t="shared" si="2"/>
        <v>608524.4</v>
      </c>
      <c r="T33"/>
      <c r="U33"/>
      <c r="V33"/>
      <c r="W33"/>
      <c r="X33"/>
      <c r="Y33"/>
    </row>
    <row r="34" spans="2:25" s="812" customFormat="1">
      <c r="B34" s="1423"/>
      <c r="C34" s="2575"/>
      <c r="D34" s="2652"/>
      <c r="E34" s="2057">
        <v>48322</v>
      </c>
      <c r="F34" s="2057" t="s">
        <v>611</v>
      </c>
      <c r="G34" s="2057">
        <v>1</v>
      </c>
      <c r="H34" s="282"/>
      <c r="I34" s="1483">
        <v>9437198.4000000004</v>
      </c>
      <c r="J34" s="1064">
        <f t="shared" si="4"/>
        <v>9437198.4000000004</v>
      </c>
      <c r="K34" s="2112"/>
      <c r="L34" s="1483"/>
      <c r="M34" s="1067">
        <f t="shared" si="3"/>
        <v>9437198.4000000004</v>
      </c>
      <c r="N34"/>
      <c r="O34" s="1064"/>
      <c r="P34" s="1064"/>
      <c r="Q34" s="1067">
        <f t="shared" si="2"/>
        <v>9437198.4000000004</v>
      </c>
      <c r="T34"/>
      <c r="U34"/>
      <c r="V34"/>
      <c r="W34"/>
      <c r="X34"/>
      <c r="Y34"/>
    </row>
    <row r="35" spans="2:25" s="812" customFormat="1">
      <c r="B35" s="1423"/>
      <c r="C35" s="2576"/>
      <c r="D35" s="2578"/>
      <c r="E35" s="2057">
        <v>4621215</v>
      </c>
      <c r="F35" s="2057" t="s">
        <v>611</v>
      </c>
      <c r="G35" s="2057">
        <v>1</v>
      </c>
      <c r="H35" s="282"/>
      <c r="I35" s="1483">
        <v>351299.6</v>
      </c>
      <c r="J35" s="1064">
        <f t="shared" si="4"/>
        <v>351299.6</v>
      </c>
      <c r="K35" s="2112"/>
      <c r="L35" s="1483"/>
      <c r="M35" s="1067">
        <f t="shared" si="3"/>
        <v>351299.6</v>
      </c>
      <c r="N35"/>
      <c r="O35" s="1064"/>
      <c r="P35" s="1064"/>
      <c r="Q35" s="1067">
        <f t="shared" si="2"/>
        <v>351299.6</v>
      </c>
      <c r="T35"/>
      <c r="U35"/>
      <c r="V35"/>
      <c r="W35"/>
      <c r="X35"/>
      <c r="Y35"/>
    </row>
    <row r="36" spans="2:25" s="812" customFormat="1" ht="25.5" customHeight="1">
      <c r="B36" s="1423"/>
      <c r="C36" s="2574" t="s">
        <v>560</v>
      </c>
      <c r="D36" s="2060" t="s">
        <v>729</v>
      </c>
      <c r="E36" s="2057">
        <v>35299</v>
      </c>
      <c r="F36" s="2057" t="s">
        <v>611</v>
      </c>
      <c r="G36" s="2057">
        <v>1</v>
      </c>
      <c r="H36" s="282"/>
      <c r="I36" s="259"/>
      <c r="J36" s="1064">
        <f>+SUM(I36)</f>
        <v>0</v>
      </c>
      <c r="K36" s="2112">
        <v>5490876</v>
      </c>
      <c r="L36" s="1483"/>
      <c r="M36" s="1067">
        <f t="shared" si="3"/>
        <v>5490876</v>
      </c>
      <c r="N36"/>
      <c r="O36" s="1064"/>
      <c r="P36" s="1064"/>
      <c r="Q36" s="1067">
        <f t="shared" si="2"/>
        <v>5490876</v>
      </c>
      <c r="T36"/>
      <c r="U36"/>
      <c r="V36"/>
      <c r="W36"/>
      <c r="X36"/>
      <c r="Y36"/>
    </row>
    <row r="37" spans="2:25" s="812" customFormat="1">
      <c r="B37" s="1423"/>
      <c r="C37" s="2575"/>
      <c r="D37" s="2577" t="s">
        <v>1335</v>
      </c>
      <c r="E37" s="2213">
        <v>46410</v>
      </c>
      <c r="F37" s="2057" t="s">
        <v>611</v>
      </c>
      <c r="G37" s="2057">
        <v>1</v>
      </c>
      <c r="H37" s="282"/>
      <c r="I37" s="259">
        <f>1300000*1.004</f>
        <v>1305200</v>
      </c>
      <c r="J37" s="1064">
        <f t="shared" ref="J37:J48" si="5">+SUM(I37)</f>
        <v>1305200</v>
      </c>
      <c r="K37" s="2112"/>
      <c r="L37" s="1483"/>
      <c r="M37" s="1067">
        <f t="shared" si="3"/>
        <v>1305200</v>
      </c>
      <c r="N37"/>
      <c r="O37" s="1064"/>
      <c r="P37" s="1064"/>
      <c r="Q37" s="1067">
        <f t="shared" si="2"/>
        <v>1305200</v>
      </c>
      <c r="T37"/>
      <c r="U37"/>
      <c r="V37"/>
      <c r="W37"/>
      <c r="X37"/>
      <c r="Y37"/>
    </row>
    <row r="38" spans="2:25" s="812" customFormat="1">
      <c r="B38" s="1423"/>
      <c r="C38" s="2575"/>
      <c r="D38" s="2652"/>
      <c r="E38" s="2213">
        <v>47311</v>
      </c>
      <c r="F38" s="2057" t="s">
        <v>611</v>
      </c>
      <c r="G38" s="2057">
        <v>1</v>
      </c>
      <c r="H38" s="282"/>
      <c r="I38" s="259"/>
      <c r="J38" s="1064">
        <f t="shared" si="5"/>
        <v>0</v>
      </c>
      <c r="K38" s="2112">
        <v>6239860</v>
      </c>
      <c r="L38" s="1483"/>
      <c r="M38" s="1067">
        <f t="shared" si="3"/>
        <v>6239860</v>
      </c>
      <c r="N38"/>
      <c r="O38" s="1064"/>
      <c r="P38" s="1064"/>
      <c r="Q38" s="1067">
        <f t="shared" si="2"/>
        <v>6239860</v>
      </c>
      <c r="T38"/>
      <c r="U38"/>
      <c r="V38"/>
      <c r="W38"/>
      <c r="X38"/>
      <c r="Y38"/>
    </row>
    <row r="39" spans="2:25" s="812" customFormat="1">
      <c r="B39" s="1423"/>
      <c r="C39" s="2575"/>
      <c r="D39" s="2652"/>
      <c r="E39" s="2213">
        <v>47330</v>
      </c>
      <c r="F39" s="2057" t="s">
        <v>611</v>
      </c>
      <c r="G39" s="2057">
        <v>1</v>
      </c>
      <c r="H39" s="282"/>
      <c r="I39" s="259">
        <v>926178</v>
      </c>
      <c r="J39" s="1064">
        <f t="shared" si="5"/>
        <v>926178</v>
      </c>
      <c r="K39" s="2112">
        <v>631108</v>
      </c>
      <c r="L39" s="1483"/>
      <c r="M39" s="1067">
        <f t="shared" si="3"/>
        <v>1557286</v>
      </c>
      <c r="N39"/>
      <c r="O39" s="1064"/>
      <c r="P39" s="1064"/>
      <c r="Q39" s="1067">
        <f t="shared" si="2"/>
        <v>1557286</v>
      </c>
      <c r="T39"/>
      <c r="U39"/>
      <c r="V39"/>
      <c r="W39"/>
      <c r="X39"/>
      <c r="Y39"/>
    </row>
    <row r="40" spans="2:25" s="812" customFormat="1">
      <c r="B40" s="1423"/>
      <c r="C40" s="2575"/>
      <c r="D40" s="2652"/>
      <c r="E40" s="2213">
        <v>48220</v>
      </c>
      <c r="F40" s="2057" t="s">
        <v>611</v>
      </c>
      <c r="G40" s="2057">
        <v>1</v>
      </c>
      <c r="H40" s="282"/>
      <c r="I40" s="259"/>
      <c r="J40" s="1064">
        <f t="shared" si="5"/>
        <v>0</v>
      </c>
      <c r="K40" s="2112">
        <v>25401200</v>
      </c>
      <c r="L40" s="1483"/>
      <c r="M40" s="1067">
        <f t="shared" si="3"/>
        <v>25401200</v>
      </c>
      <c r="N40"/>
      <c r="O40" s="1064"/>
      <c r="P40" s="1064"/>
      <c r="Q40" s="1067">
        <f t="shared" si="2"/>
        <v>25401200</v>
      </c>
      <c r="T40"/>
      <c r="U40"/>
      <c r="V40"/>
      <c r="W40"/>
      <c r="X40"/>
      <c r="Y40"/>
    </row>
    <row r="41" spans="2:25" s="812" customFormat="1">
      <c r="B41" s="1423"/>
      <c r="C41" s="2575"/>
      <c r="D41" s="2652"/>
      <c r="E41" s="2213">
        <v>48322</v>
      </c>
      <c r="F41" s="2057" t="s">
        <v>611</v>
      </c>
      <c r="G41" s="2057">
        <v>1</v>
      </c>
      <c r="H41" s="282"/>
      <c r="I41" s="259"/>
      <c r="J41" s="1064">
        <f t="shared" si="5"/>
        <v>0</v>
      </c>
      <c r="K41" s="2112">
        <v>45680996</v>
      </c>
      <c r="L41" s="1483"/>
      <c r="M41" s="1067">
        <f t="shared" si="3"/>
        <v>45680996</v>
      </c>
      <c r="N41"/>
      <c r="O41" s="1064"/>
      <c r="P41" s="1064"/>
      <c r="Q41" s="1067">
        <f t="shared" si="2"/>
        <v>45680996</v>
      </c>
      <c r="T41"/>
      <c r="U41"/>
      <c r="V41"/>
      <c r="W41"/>
      <c r="X41"/>
      <c r="Y41"/>
    </row>
    <row r="42" spans="2:25" s="812" customFormat="1">
      <c r="B42" s="1423"/>
      <c r="C42" s="2575"/>
      <c r="D42" s="2652"/>
      <c r="E42" s="810">
        <v>45221</v>
      </c>
      <c r="F42" s="2057" t="s">
        <v>611</v>
      </c>
      <c r="G42" s="2057">
        <v>1</v>
      </c>
      <c r="H42" s="282"/>
      <c r="I42" s="259"/>
      <c r="J42" s="1064">
        <f t="shared" si="5"/>
        <v>0</v>
      </c>
      <c r="K42" s="2112">
        <v>16555960</v>
      </c>
      <c r="L42" s="1483"/>
      <c r="M42" s="1067">
        <f t="shared" si="3"/>
        <v>16555960</v>
      </c>
      <c r="N42"/>
      <c r="O42" s="1064"/>
      <c r="P42" s="1064"/>
      <c r="Q42" s="1067">
        <f t="shared" si="2"/>
        <v>16555960</v>
      </c>
      <c r="T42"/>
      <c r="U42"/>
      <c r="V42"/>
      <c r="W42"/>
      <c r="X42"/>
      <c r="Y42"/>
    </row>
    <row r="43" spans="2:25" s="812" customFormat="1">
      <c r="B43" s="1423"/>
      <c r="C43" s="2576"/>
      <c r="D43" s="2652"/>
      <c r="E43" s="2213">
        <v>47314</v>
      </c>
      <c r="F43" s="2057" t="s">
        <v>611</v>
      </c>
      <c r="G43" s="2057">
        <v>1</v>
      </c>
      <c r="H43" s="282"/>
      <c r="I43" s="259">
        <f>27657990*1.004</f>
        <v>27768621.960000001</v>
      </c>
      <c r="J43" s="1064">
        <f t="shared" si="5"/>
        <v>27768621.960000001</v>
      </c>
      <c r="K43" s="2112"/>
      <c r="L43" s="1483"/>
      <c r="M43" s="1067">
        <f t="shared" si="3"/>
        <v>27768621.960000001</v>
      </c>
      <c r="N43"/>
      <c r="O43" s="1064"/>
      <c r="P43" s="1064"/>
      <c r="Q43" s="1067">
        <f t="shared" si="2"/>
        <v>27768621.960000001</v>
      </c>
      <c r="T43"/>
      <c r="U43"/>
      <c r="V43"/>
      <c r="W43"/>
      <c r="X43"/>
      <c r="Y43"/>
    </row>
    <row r="44" spans="2:25" s="812" customFormat="1" ht="32.25" customHeight="1">
      <c r="B44" s="1423"/>
      <c r="C44" s="2574" t="s">
        <v>1257</v>
      </c>
      <c r="D44" s="2213" t="s">
        <v>235</v>
      </c>
      <c r="E44" s="810">
        <v>83990</v>
      </c>
      <c r="F44" s="2161" t="s">
        <v>209</v>
      </c>
      <c r="G44" s="2161">
        <v>1</v>
      </c>
      <c r="H44" s="282"/>
      <c r="I44" s="1483"/>
      <c r="J44" s="1064"/>
      <c r="K44" s="2112"/>
      <c r="L44" s="1483"/>
      <c r="M44" s="1067">
        <f t="shared" si="3"/>
        <v>0</v>
      </c>
      <c r="N44"/>
      <c r="O44" s="1064">
        <v>107989345</v>
      </c>
      <c r="P44" s="1064"/>
      <c r="Q44" s="1067">
        <f t="shared" si="2"/>
        <v>107989345</v>
      </c>
      <c r="T44"/>
      <c r="U44"/>
      <c r="V44"/>
      <c r="W44"/>
      <c r="X44"/>
      <c r="Y44"/>
    </row>
    <row r="45" spans="2:25" s="812" customFormat="1" ht="41.25" customHeight="1">
      <c r="B45" s="1423"/>
      <c r="C45" s="2575"/>
      <c r="D45" s="2213" t="s">
        <v>729</v>
      </c>
      <c r="E45" s="810">
        <v>3229903</v>
      </c>
      <c r="F45" s="2161" t="s">
        <v>209</v>
      </c>
      <c r="G45" s="2161">
        <v>1</v>
      </c>
      <c r="H45" s="282"/>
      <c r="I45" s="1483"/>
      <c r="J45" s="1064"/>
      <c r="K45" s="2112"/>
      <c r="L45" s="1483"/>
      <c r="M45" s="1067">
        <f t="shared" si="3"/>
        <v>0</v>
      </c>
      <c r="N45"/>
      <c r="O45" s="1064">
        <v>1700171460</v>
      </c>
      <c r="P45" s="1064"/>
      <c r="Q45" s="1067">
        <f t="shared" si="2"/>
        <v>1700171460</v>
      </c>
      <c r="T45"/>
      <c r="U45"/>
      <c r="V45"/>
      <c r="W45"/>
      <c r="X45"/>
      <c r="Y45"/>
    </row>
    <row r="46" spans="2:25" s="812" customFormat="1" ht="37.5" customHeight="1">
      <c r="B46" s="1423"/>
      <c r="C46" s="2576"/>
      <c r="D46" s="2213" t="s">
        <v>235</v>
      </c>
      <c r="E46" s="810">
        <v>85999</v>
      </c>
      <c r="F46" s="2057" t="s">
        <v>209</v>
      </c>
      <c r="G46" s="2057">
        <v>1</v>
      </c>
      <c r="H46" s="282"/>
      <c r="I46" s="1483">
        <v>400000</v>
      </c>
      <c r="J46" s="1064">
        <f>+SUM(I46)</f>
        <v>400000</v>
      </c>
      <c r="K46" s="2112">
        <v>100000000</v>
      </c>
      <c r="L46" s="1483"/>
      <c r="M46" s="1067">
        <f t="shared" si="3"/>
        <v>100400000</v>
      </c>
      <c r="N46"/>
      <c r="O46" s="1064">
        <v>176020000</v>
      </c>
      <c r="P46" s="1064"/>
      <c r="Q46" s="1067">
        <f t="shared" si="2"/>
        <v>276420000</v>
      </c>
      <c r="T46"/>
      <c r="U46"/>
      <c r="V46"/>
      <c r="W46"/>
      <c r="X46"/>
      <c r="Y46"/>
    </row>
    <row r="47" spans="2:25" s="812" customFormat="1" ht="38.25">
      <c r="B47" s="1423"/>
      <c r="C47" s="567" t="s">
        <v>561</v>
      </c>
      <c r="D47" s="2057" t="s">
        <v>729</v>
      </c>
      <c r="E47" s="810">
        <v>3899</v>
      </c>
      <c r="F47" s="2057" t="s">
        <v>209</v>
      </c>
      <c r="G47" s="2057">
        <v>1</v>
      </c>
      <c r="H47" s="282"/>
      <c r="I47" s="1483">
        <f>6378746-3000000+ 3000000+3396804-5000000+6150974-4015124-2854625</f>
        <v>4056775</v>
      </c>
      <c r="J47" s="1064">
        <f t="shared" si="5"/>
        <v>4056775</v>
      </c>
      <c r="K47" s="2112"/>
      <c r="L47" s="1483"/>
      <c r="M47" s="1067">
        <f t="shared" si="3"/>
        <v>4056775</v>
      </c>
      <c r="N47"/>
      <c r="O47" s="1064"/>
      <c r="P47" s="1064"/>
      <c r="Q47" s="1067">
        <f t="shared" si="2"/>
        <v>4056775</v>
      </c>
      <c r="T47" s="813"/>
      <c r="U47" s="813"/>
      <c r="V47" s="813"/>
      <c r="W47" s="813"/>
      <c r="X47" s="813"/>
      <c r="Y47" s="813"/>
    </row>
    <row r="48" spans="2:25" s="812" customFormat="1">
      <c r="B48" s="1423"/>
      <c r="C48" s="565"/>
      <c r="D48" s="811"/>
      <c r="E48" s="810"/>
      <c r="F48" s="811"/>
      <c r="G48" s="811"/>
      <c r="H48" s="282"/>
      <c r="I48" s="1061"/>
      <c r="J48" s="1064">
        <f t="shared" si="5"/>
        <v>0</v>
      </c>
      <c r="K48" s="2113"/>
      <c r="L48" s="1061"/>
      <c r="M48" s="1067">
        <f t="shared" si="3"/>
        <v>0</v>
      </c>
      <c r="N48"/>
      <c r="O48" s="1064"/>
      <c r="P48" s="1064"/>
      <c r="Q48" s="1067">
        <f t="shared" si="2"/>
        <v>0</v>
      </c>
      <c r="T48"/>
      <c r="U48"/>
      <c r="V48"/>
      <c r="W48"/>
      <c r="X48"/>
      <c r="Y48"/>
    </row>
    <row r="49" spans="1:45" ht="63.75">
      <c r="A49" s="1053"/>
      <c r="B49" s="1419" t="s">
        <v>1109</v>
      </c>
      <c r="C49" s="169" t="s">
        <v>460</v>
      </c>
      <c r="D49" s="171"/>
      <c r="E49" s="171"/>
      <c r="F49" s="174" t="s">
        <v>209</v>
      </c>
      <c r="G49" s="174">
        <v>1</v>
      </c>
      <c r="H49" s="272"/>
      <c r="I49" s="572">
        <f>SUM(I50:I51)</f>
        <v>88919900</v>
      </c>
      <c r="J49" s="1068">
        <f>SUM(J50:J51)</f>
        <v>88919900</v>
      </c>
      <c r="K49" s="572">
        <f>SUM(K50:K51)</f>
        <v>0</v>
      </c>
      <c r="L49" s="572">
        <f>SUM(L50:L51)</f>
        <v>0</v>
      </c>
      <c r="M49" s="1068">
        <f>SUM(M50:M51)</f>
        <v>88919900</v>
      </c>
      <c r="O49" s="1068"/>
      <c r="P49" s="1068"/>
      <c r="Q49" s="1943">
        <f>SUM(Q50:Q51)</f>
        <v>88919900</v>
      </c>
      <c r="R49" s="813"/>
      <c r="S49" s="813"/>
      <c r="Z49" s="813"/>
      <c r="AA49" s="813"/>
      <c r="AB49" s="813"/>
      <c r="AC49" s="813"/>
      <c r="AD49" s="813"/>
      <c r="AE49" s="813"/>
      <c r="AF49" s="813"/>
      <c r="AG49" s="813"/>
      <c r="AH49" s="813"/>
      <c r="AI49" s="813"/>
      <c r="AJ49" s="813"/>
      <c r="AK49" s="813"/>
      <c r="AL49" s="813"/>
      <c r="AM49" s="813"/>
      <c r="AN49" s="813"/>
      <c r="AO49" s="813"/>
      <c r="AP49" s="813"/>
      <c r="AQ49" s="813"/>
      <c r="AR49" s="813"/>
      <c r="AS49" s="813"/>
    </row>
    <row r="50" spans="1:45" s="880" customFormat="1" ht="51">
      <c r="A50"/>
      <c r="B50" s="1434"/>
      <c r="C50" s="567" t="s">
        <v>562</v>
      </c>
      <c r="D50" s="1058" t="s">
        <v>235</v>
      </c>
      <c r="E50" s="810"/>
      <c r="F50" s="811" t="s">
        <v>209</v>
      </c>
      <c r="G50" s="811">
        <v>1</v>
      </c>
      <c r="H50" s="282"/>
      <c r="I50" s="258">
        <v>40000000</v>
      </c>
      <c r="J50" s="1064">
        <f>+SUM(I50)</f>
        <v>40000000</v>
      </c>
      <c r="K50" s="1483"/>
      <c r="L50" s="1483"/>
      <c r="M50" s="1067">
        <f t="shared" si="3"/>
        <v>40000000</v>
      </c>
      <c r="N50"/>
      <c r="O50" s="1064"/>
      <c r="P50" s="1064"/>
      <c r="Q50" s="1067">
        <f t="shared" si="2"/>
        <v>40000000</v>
      </c>
      <c r="R50" s="812"/>
      <c r="S50" s="812"/>
      <c r="T50"/>
      <c r="U50"/>
      <c r="V50"/>
      <c r="W50"/>
      <c r="X50"/>
      <c r="Y50"/>
      <c r="Z50" s="812"/>
      <c r="AA50" s="812"/>
      <c r="AB50" s="812"/>
      <c r="AC50" s="812"/>
      <c r="AD50" s="812"/>
      <c r="AE50" s="812"/>
      <c r="AF50" s="812"/>
      <c r="AG50" s="812"/>
      <c r="AH50" s="812"/>
      <c r="AI50" s="812"/>
      <c r="AJ50" s="812"/>
      <c r="AK50" s="812"/>
      <c r="AL50" s="812"/>
      <c r="AM50" s="812"/>
      <c r="AN50" s="812"/>
      <c r="AO50" s="812"/>
      <c r="AP50" s="812"/>
      <c r="AQ50" s="812"/>
      <c r="AR50" s="812"/>
      <c r="AS50" s="812"/>
    </row>
    <row r="51" spans="1:45" s="1" customFormat="1" ht="63.75">
      <c r="B51" s="1420"/>
      <c r="C51" s="565" t="s">
        <v>1138</v>
      </c>
      <c r="D51" s="810" t="s">
        <v>235</v>
      </c>
      <c r="E51" s="812"/>
      <c r="F51" s="810" t="s">
        <v>209</v>
      </c>
      <c r="G51" s="811">
        <v>1</v>
      </c>
      <c r="H51" s="282"/>
      <c r="I51" s="1061">
        <f>50200000-1280100</f>
        <v>48919900</v>
      </c>
      <c r="J51" s="1064">
        <f>+SUM(I51)</f>
        <v>48919900</v>
      </c>
      <c r="K51" s="1483"/>
      <c r="L51" s="1483"/>
      <c r="M51" s="1067">
        <f t="shared" si="3"/>
        <v>48919900</v>
      </c>
      <c r="N51"/>
      <c r="O51" s="1064"/>
      <c r="P51" s="1064"/>
      <c r="Q51" s="1067">
        <f t="shared" si="2"/>
        <v>48919900</v>
      </c>
      <c r="R51" s="812"/>
      <c r="S51" s="812"/>
      <c r="T51"/>
      <c r="U51"/>
      <c r="V51"/>
      <c r="W51"/>
      <c r="X51"/>
      <c r="Y51"/>
      <c r="Z51" s="812"/>
      <c r="AA51" s="812"/>
      <c r="AB51" s="812"/>
      <c r="AC51" s="812"/>
      <c r="AD51" s="812"/>
      <c r="AE51" s="812"/>
      <c r="AF51" s="812"/>
      <c r="AG51" s="812"/>
      <c r="AH51" s="812"/>
      <c r="AI51" s="812"/>
      <c r="AJ51" s="812"/>
      <c r="AK51" s="812"/>
      <c r="AL51" s="812"/>
      <c r="AM51" s="812"/>
      <c r="AN51" s="812"/>
      <c r="AO51" s="812"/>
      <c r="AP51" s="812"/>
      <c r="AQ51" s="812"/>
      <c r="AR51" s="812"/>
      <c r="AS51" s="812"/>
    </row>
    <row r="52" spans="1:45" s="1" customFormat="1" ht="33.75" customHeight="1">
      <c r="A52" s="1052"/>
      <c r="B52" s="1443" t="s">
        <v>1110</v>
      </c>
      <c r="C52" s="169" t="s">
        <v>461</v>
      </c>
      <c r="D52" s="171"/>
      <c r="E52" s="171"/>
      <c r="F52" s="174" t="s">
        <v>209</v>
      </c>
      <c r="G52" s="174">
        <v>1</v>
      </c>
      <c r="H52" s="272"/>
      <c r="I52" s="572">
        <f>SUM(I53:I56)</f>
        <v>162817064.36928001</v>
      </c>
      <c r="J52" s="1068">
        <f>SUM(J53:J56)</f>
        <v>162817064.36928001</v>
      </c>
      <c r="K52" s="572">
        <f>SUM(K53:K56)</f>
        <v>2576289</v>
      </c>
      <c r="L52" s="572">
        <f>SUM(L53:L56)</f>
        <v>0</v>
      </c>
      <c r="M52" s="1068">
        <f>SUM(M53:M56)</f>
        <v>165393353.36928001</v>
      </c>
      <c r="N52"/>
      <c r="O52" s="1068"/>
      <c r="P52" s="1068"/>
      <c r="Q52" s="1943">
        <f>SUM(Q53:Q56)</f>
        <v>165393353.36928001</v>
      </c>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row>
    <row r="53" spans="1:45" s="813" customFormat="1">
      <c r="B53" s="1433"/>
      <c r="C53" s="1057" t="s">
        <v>563</v>
      </c>
      <c r="D53" s="1058" t="s">
        <v>235</v>
      </c>
      <c r="E53" s="810"/>
      <c r="F53" s="1071" t="s">
        <v>547</v>
      </c>
      <c r="G53" s="1071">
        <v>11</v>
      </c>
      <c r="H53" s="1076"/>
      <c r="I53" s="1072">
        <v>37107840</v>
      </c>
      <c r="J53" s="1064">
        <f>+SUM(I53)</f>
        <v>37107840</v>
      </c>
      <c r="K53" s="1061"/>
      <c r="L53" s="1061"/>
      <c r="M53" s="1067">
        <f t="shared" si="3"/>
        <v>37107840</v>
      </c>
      <c r="N53"/>
      <c r="O53" s="1064"/>
      <c r="P53" s="1064"/>
      <c r="Q53" s="1067">
        <f t="shared" si="2"/>
        <v>37107840</v>
      </c>
    </row>
    <row r="54" spans="1:45" s="813" customFormat="1">
      <c r="B54" s="1433"/>
      <c r="C54" s="1057" t="s">
        <v>564</v>
      </c>
      <c r="D54" s="1058" t="s">
        <v>235</v>
      </c>
      <c r="E54" s="810"/>
      <c r="F54" s="1071" t="s">
        <v>547</v>
      </c>
      <c r="G54" s="1071">
        <v>11</v>
      </c>
      <c r="H54" s="1076"/>
      <c r="I54" s="2157">
        <v>37107840</v>
      </c>
      <c r="J54" s="1064">
        <f>+SUM(I54)</f>
        <v>37107840</v>
      </c>
      <c r="K54" s="1061"/>
      <c r="L54" s="1061"/>
      <c r="M54" s="1067">
        <f t="shared" si="3"/>
        <v>37107840</v>
      </c>
      <c r="N54"/>
      <c r="O54" s="1064"/>
      <c r="P54" s="1064"/>
      <c r="Q54" s="1067">
        <f t="shared" si="2"/>
        <v>37107840</v>
      </c>
    </row>
    <row r="55" spans="1:45" s="813" customFormat="1" ht="25.5">
      <c r="B55" s="1433"/>
      <c r="C55" s="1057" t="s">
        <v>565</v>
      </c>
      <c r="D55" s="1058" t="s">
        <v>235</v>
      </c>
      <c r="E55" s="810"/>
      <c r="F55" s="1071" t="s">
        <v>547</v>
      </c>
      <c r="G55" s="1071">
        <v>11</v>
      </c>
      <c r="H55" s="1076"/>
      <c r="I55" s="2157">
        <v>50984638.369280003</v>
      </c>
      <c r="J55" s="1064">
        <f>+SUM(I55)</f>
        <v>50984638.369280003</v>
      </c>
      <c r="K55" s="1061"/>
      <c r="L55" s="1061"/>
      <c r="M55" s="1067">
        <f t="shared" si="3"/>
        <v>50984638.369280003</v>
      </c>
      <c r="N55"/>
      <c r="O55" s="1064"/>
      <c r="P55" s="1064"/>
      <c r="Q55" s="1067">
        <f t="shared" si="2"/>
        <v>50984638.369280003</v>
      </c>
    </row>
    <row r="56" spans="1:45" s="813" customFormat="1" ht="25.5">
      <c r="B56" s="1433"/>
      <c r="C56" s="1060" t="s">
        <v>566</v>
      </c>
      <c r="D56" s="1071" t="s">
        <v>235</v>
      </c>
      <c r="E56" s="19"/>
      <c r="F56" s="1071" t="s">
        <v>209</v>
      </c>
      <c r="G56" s="1071">
        <v>1</v>
      </c>
      <c r="H56" s="2125"/>
      <c r="I56" s="2157">
        <f>30000000+3615124+4001622</f>
        <v>37616746</v>
      </c>
      <c r="J56" s="1064">
        <f>+SUM(I56)</f>
        <v>37616746</v>
      </c>
      <c r="K56" s="1061">
        <f>3948391-1372102</f>
        <v>2576289</v>
      </c>
      <c r="L56" s="1061"/>
      <c r="M56" s="1067">
        <f t="shared" si="3"/>
        <v>40193035</v>
      </c>
      <c r="N56"/>
      <c r="O56" s="1064"/>
      <c r="P56" s="1064"/>
      <c r="Q56" s="1067">
        <f t="shared" si="2"/>
        <v>40193035</v>
      </c>
    </row>
    <row r="57" spans="1:45" s="813" customFormat="1" ht="51">
      <c r="A57" s="1052"/>
      <c r="B57" s="1443" t="s">
        <v>1162</v>
      </c>
      <c r="C57" s="171" t="s">
        <v>1153</v>
      </c>
      <c r="D57" s="171"/>
      <c r="E57" s="171"/>
      <c r="F57" s="174" t="s">
        <v>209</v>
      </c>
      <c r="G57" s="174">
        <v>1</v>
      </c>
      <c r="H57" s="272"/>
      <c r="I57" s="572"/>
      <c r="J57" s="1068">
        <f>+SUM(J58:J68)</f>
        <v>0</v>
      </c>
      <c r="K57" s="572"/>
      <c r="L57" s="572"/>
      <c r="M57" s="1068">
        <f>+SUM(M58:M70)</f>
        <v>0</v>
      </c>
      <c r="N57"/>
      <c r="O57" s="1068"/>
      <c r="P57" s="1068">
        <f>+SUM(P58:P70)</f>
        <v>2337398068.6999998</v>
      </c>
      <c r="Q57" s="1068">
        <f>+SUM(Q58:Q70)</f>
        <v>2337398068.6999998</v>
      </c>
    </row>
    <row r="58" spans="1:45" s="813" customFormat="1" ht="51">
      <c r="B58" s="1433"/>
      <c r="C58" s="1540" t="s">
        <v>1154</v>
      </c>
      <c r="D58" s="810" t="s">
        <v>598</v>
      </c>
      <c r="E58" s="811" t="s">
        <v>611</v>
      </c>
      <c r="F58" s="811">
        <v>10</v>
      </c>
      <c r="G58" s="870"/>
      <c r="H58" s="870"/>
      <c r="I58" s="1506">
        <v>0</v>
      </c>
      <c r="J58" s="1064">
        <f>+I58</f>
        <v>0</v>
      </c>
      <c r="K58" s="1506">
        <v>0</v>
      </c>
      <c r="L58" s="1506">
        <v>0</v>
      </c>
      <c r="M58" s="1067">
        <f t="shared" si="3"/>
        <v>0</v>
      </c>
      <c r="N58"/>
      <c r="O58" s="1064"/>
      <c r="P58" s="1064">
        <v>1121123765</v>
      </c>
      <c r="Q58" s="1067">
        <f t="shared" si="2"/>
        <v>1121123765</v>
      </c>
      <c r="S58"/>
      <c r="T58"/>
      <c r="U58"/>
    </row>
    <row r="59" spans="1:45" s="813" customFormat="1" ht="51">
      <c r="B59" s="1433"/>
      <c r="C59" s="1540" t="s">
        <v>1155</v>
      </c>
      <c r="D59" s="810" t="s">
        <v>598</v>
      </c>
      <c r="E59" s="811" t="s">
        <v>611</v>
      </c>
      <c r="F59" s="811">
        <v>2</v>
      </c>
      <c r="G59" s="870"/>
      <c r="H59" s="870"/>
      <c r="I59" s="1506">
        <v>0</v>
      </c>
      <c r="J59" s="1064">
        <f t="shared" ref="J59:J74" si="6">+I59</f>
        <v>0</v>
      </c>
      <c r="K59" s="1506">
        <v>0</v>
      </c>
      <c r="L59" s="1506">
        <v>0</v>
      </c>
      <c r="M59" s="1067">
        <f t="shared" si="3"/>
        <v>0</v>
      </c>
      <c r="N59"/>
      <c r="O59" s="1064"/>
      <c r="P59" s="1064">
        <v>285509036.69999999</v>
      </c>
      <c r="Q59" s="1067">
        <f t="shared" si="2"/>
        <v>285509036.69999999</v>
      </c>
      <c r="S59"/>
      <c r="T59"/>
      <c r="U59"/>
    </row>
    <row r="60" spans="1:45" s="813" customFormat="1" ht="25.5">
      <c r="B60" s="1433"/>
      <c r="C60" s="1540" t="s">
        <v>1156</v>
      </c>
      <c r="D60" s="810" t="s">
        <v>235</v>
      </c>
      <c r="E60" s="811" t="s">
        <v>611</v>
      </c>
      <c r="F60" s="811">
        <v>1</v>
      </c>
      <c r="G60" s="870"/>
      <c r="H60" s="870"/>
      <c r="I60" s="1506">
        <v>0</v>
      </c>
      <c r="J60" s="1064">
        <f t="shared" si="6"/>
        <v>0</v>
      </c>
      <c r="K60" s="1506">
        <v>0</v>
      </c>
      <c r="L60" s="1506">
        <v>0</v>
      </c>
      <c r="M60" s="1067">
        <f t="shared" si="3"/>
        <v>0</v>
      </c>
      <c r="N60"/>
      <c r="O60" s="1064"/>
      <c r="P60" s="1064">
        <v>114737377</v>
      </c>
      <c r="Q60" s="1067">
        <f t="shared" si="2"/>
        <v>114737377</v>
      </c>
      <c r="S60"/>
      <c r="T60"/>
      <c r="U60"/>
    </row>
    <row r="61" spans="1:45" s="813" customFormat="1" ht="191.25">
      <c r="B61" s="1433"/>
      <c r="C61" s="1540" t="s">
        <v>1157</v>
      </c>
      <c r="D61" s="19" t="s">
        <v>729</v>
      </c>
      <c r="E61" s="2057" t="s">
        <v>611</v>
      </c>
      <c r="F61" s="2057">
        <v>8</v>
      </c>
      <c r="G61" s="870"/>
      <c r="H61" s="870"/>
      <c r="I61" s="1506">
        <v>0</v>
      </c>
      <c r="J61" s="1064">
        <f t="shared" si="6"/>
        <v>0</v>
      </c>
      <c r="K61" s="1506">
        <v>0</v>
      </c>
      <c r="L61" s="1506">
        <v>0</v>
      </c>
      <c r="M61" s="1067">
        <f t="shared" si="3"/>
        <v>0</v>
      </c>
      <c r="N61"/>
      <c r="O61" s="1064"/>
      <c r="P61" s="1064">
        <v>79731700</v>
      </c>
      <c r="Q61" s="1067">
        <f t="shared" si="2"/>
        <v>79731700</v>
      </c>
      <c r="S61"/>
      <c r="T61"/>
      <c r="U61"/>
    </row>
    <row r="62" spans="1:45" s="813" customFormat="1" ht="33" customHeight="1">
      <c r="B62" s="1433"/>
      <c r="C62" s="2653" t="s">
        <v>1158</v>
      </c>
      <c r="D62" s="2428" t="s">
        <v>698</v>
      </c>
      <c r="E62" s="19">
        <v>47314</v>
      </c>
      <c r="F62" s="2059" t="s">
        <v>611</v>
      </c>
      <c r="G62" s="870"/>
      <c r="H62" s="870"/>
      <c r="I62" s="1506"/>
      <c r="J62" s="1064">
        <f t="shared" si="6"/>
        <v>0</v>
      </c>
      <c r="K62" s="1506"/>
      <c r="L62" s="1506"/>
      <c r="M62" s="1067">
        <f t="shared" si="3"/>
        <v>0</v>
      </c>
      <c r="N62"/>
      <c r="O62" s="1064"/>
      <c r="P62" s="1064">
        <v>44698500</v>
      </c>
      <c r="Q62" s="1067">
        <f t="shared" si="2"/>
        <v>44698500</v>
      </c>
      <c r="S62"/>
      <c r="T62"/>
      <c r="U62"/>
    </row>
    <row r="63" spans="1:45" s="813" customFormat="1" ht="33" customHeight="1">
      <c r="B63" s="1433"/>
      <c r="C63" s="2650"/>
      <c r="D63" s="2428"/>
      <c r="E63" s="19">
        <v>47314</v>
      </c>
      <c r="F63" s="2059" t="s">
        <v>611</v>
      </c>
      <c r="G63" s="870"/>
      <c r="H63" s="870"/>
      <c r="I63" s="1506"/>
      <c r="J63" s="1064">
        <f t="shared" si="6"/>
        <v>0</v>
      </c>
      <c r="K63" s="1506"/>
      <c r="L63" s="1506"/>
      <c r="M63" s="1067">
        <f t="shared" si="3"/>
        <v>0</v>
      </c>
      <c r="N63"/>
      <c r="O63" s="1064"/>
      <c r="P63" s="1064">
        <v>74271986</v>
      </c>
      <c r="Q63" s="1067">
        <f t="shared" si="2"/>
        <v>74271986</v>
      </c>
      <c r="S63"/>
      <c r="T63"/>
      <c r="U63"/>
    </row>
    <row r="64" spans="1:45" s="813" customFormat="1" ht="33" customHeight="1">
      <c r="B64" s="1433"/>
      <c r="C64" s="2650"/>
      <c r="D64" s="2428"/>
      <c r="E64" s="19">
        <v>45221</v>
      </c>
      <c r="F64" s="2059" t="s">
        <v>611</v>
      </c>
      <c r="G64" s="870"/>
      <c r="H64" s="870"/>
      <c r="I64" s="1506"/>
      <c r="J64" s="1064">
        <f t="shared" si="6"/>
        <v>0</v>
      </c>
      <c r="K64" s="1506"/>
      <c r="L64" s="1506"/>
      <c r="M64" s="1067">
        <f t="shared" si="3"/>
        <v>0</v>
      </c>
      <c r="N64"/>
      <c r="O64" s="1064"/>
      <c r="P64" s="1064">
        <v>44985000</v>
      </c>
      <c r="Q64" s="1067">
        <f t="shared" si="2"/>
        <v>44985000</v>
      </c>
      <c r="S64"/>
      <c r="T64"/>
      <c r="U64"/>
    </row>
    <row r="65" spans="1:21" s="813" customFormat="1" ht="33" customHeight="1">
      <c r="B65" s="1433"/>
      <c r="C65" s="2651"/>
      <c r="D65" s="810" t="s">
        <v>1115</v>
      </c>
      <c r="E65" s="2058">
        <v>88744</v>
      </c>
      <c r="F65" s="2058" t="s">
        <v>611</v>
      </c>
      <c r="G65" s="870"/>
      <c r="H65" s="870"/>
      <c r="I65" s="1506">
        <v>0</v>
      </c>
      <c r="J65" s="1064">
        <f t="shared" si="6"/>
        <v>0</v>
      </c>
      <c r="K65" s="1506">
        <v>0</v>
      </c>
      <c r="L65" s="1506">
        <v>0</v>
      </c>
      <c r="M65" s="1067">
        <f t="shared" si="3"/>
        <v>0</v>
      </c>
      <c r="N65"/>
      <c r="O65" s="1064"/>
      <c r="P65" s="1064">
        <v>11754514</v>
      </c>
      <c r="Q65" s="1067">
        <f t="shared" si="2"/>
        <v>11754514</v>
      </c>
      <c r="S65"/>
      <c r="T65"/>
      <c r="U65"/>
    </row>
    <row r="66" spans="1:21" s="813" customFormat="1" ht="33" customHeight="1">
      <c r="B66" s="1433"/>
      <c r="C66" s="1540" t="s">
        <v>1159</v>
      </c>
      <c r="D66" s="2058" t="s">
        <v>235</v>
      </c>
      <c r="E66" s="2058" t="s">
        <v>611</v>
      </c>
      <c r="F66" s="2058">
        <v>1</v>
      </c>
      <c r="G66" s="870"/>
      <c r="H66" s="870"/>
      <c r="I66" s="1506">
        <v>0</v>
      </c>
      <c r="J66" s="1064">
        <f t="shared" si="6"/>
        <v>0</v>
      </c>
      <c r="K66" s="1506">
        <v>0</v>
      </c>
      <c r="L66" s="1506">
        <v>0</v>
      </c>
      <c r="M66" s="1067">
        <f t="shared" si="3"/>
        <v>0</v>
      </c>
      <c r="N66"/>
      <c r="O66" s="1064"/>
      <c r="P66" s="1064">
        <v>6000000</v>
      </c>
      <c r="Q66" s="1067">
        <f t="shared" si="2"/>
        <v>6000000</v>
      </c>
    </row>
    <row r="67" spans="1:21" s="813" customFormat="1" ht="33" customHeight="1">
      <c r="B67" s="1433"/>
      <c r="C67" s="1540" t="s">
        <v>1160</v>
      </c>
      <c r="D67" s="2058" t="s">
        <v>235</v>
      </c>
      <c r="E67" s="2058" t="s">
        <v>611</v>
      </c>
      <c r="F67" s="2058">
        <v>1</v>
      </c>
      <c r="G67" s="870"/>
      <c r="H67" s="870"/>
      <c r="I67" s="1506">
        <v>0</v>
      </c>
      <c r="J67" s="1064">
        <f t="shared" si="6"/>
        <v>0</v>
      </c>
      <c r="K67" s="1506">
        <v>0</v>
      </c>
      <c r="L67" s="1506">
        <v>0</v>
      </c>
      <c r="M67" s="1067">
        <f t="shared" si="3"/>
        <v>0</v>
      </c>
      <c r="N67"/>
      <c r="O67" s="1064"/>
      <c r="P67" s="1064">
        <v>12000000</v>
      </c>
      <c r="Q67" s="1067">
        <f t="shared" si="2"/>
        <v>12000000</v>
      </c>
    </row>
    <row r="68" spans="1:21" s="813" customFormat="1" ht="33" customHeight="1">
      <c r="B68" s="1433"/>
      <c r="C68" s="1540" t="s">
        <v>1161</v>
      </c>
      <c r="D68" s="2058" t="s">
        <v>235</v>
      </c>
      <c r="E68" s="2058" t="s">
        <v>611</v>
      </c>
      <c r="F68" s="2058">
        <v>2</v>
      </c>
      <c r="G68" s="870"/>
      <c r="H68" s="870"/>
      <c r="I68" s="1506">
        <v>0</v>
      </c>
      <c r="J68" s="1064">
        <f t="shared" si="6"/>
        <v>0</v>
      </c>
      <c r="K68" s="1506">
        <v>0</v>
      </c>
      <c r="L68" s="1506">
        <v>0</v>
      </c>
      <c r="M68" s="1067">
        <f t="shared" si="3"/>
        <v>0</v>
      </c>
      <c r="N68"/>
      <c r="O68" s="1064"/>
      <c r="P68" s="1064">
        <v>263461422</v>
      </c>
      <c r="Q68" s="1067">
        <f t="shared" si="2"/>
        <v>263461422</v>
      </c>
    </row>
    <row r="69" spans="1:21" s="813" customFormat="1" ht="33" customHeight="1">
      <c r="B69" s="1433"/>
      <c r="C69" s="1540" t="s">
        <v>1178</v>
      </c>
      <c r="D69" s="810" t="s">
        <v>235</v>
      </c>
      <c r="E69" s="27" t="s">
        <v>611</v>
      </c>
      <c r="F69" s="27">
        <v>1</v>
      </c>
      <c r="G69" s="1539"/>
      <c r="H69" s="1539"/>
      <c r="I69" s="1539"/>
      <c r="J69" s="1064">
        <f t="shared" si="6"/>
        <v>0</v>
      </c>
      <c r="K69" s="1539"/>
      <c r="L69" s="1539"/>
      <c r="M69" s="1067">
        <f t="shared" si="3"/>
        <v>0</v>
      </c>
      <c r="N69"/>
      <c r="O69" s="1064"/>
      <c r="P69" s="1064">
        <v>29224768</v>
      </c>
      <c r="Q69" s="1067">
        <f t="shared" si="2"/>
        <v>29224768</v>
      </c>
    </row>
    <row r="70" spans="1:21" s="813" customFormat="1" ht="69" customHeight="1">
      <c r="B70" s="1433"/>
      <c r="C70" s="1540" t="s">
        <v>1179</v>
      </c>
      <c r="D70" s="19" t="s">
        <v>235</v>
      </c>
      <c r="E70" s="27" t="s">
        <v>611</v>
      </c>
      <c r="F70" s="27">
        <v>1</v>
      </c>
      <c r="G70" s="1539"/>
      <c r="H70" s="1539"/>
      <c r="I70" s="1539"/>
      <c r="J70" s="1064">
        <f t="shared" si="6"/>
        <v>0</v>
      </c>
      <c r="K70" s="1539"/>
      <c r="L70" s="1539"/>
      <c r="M70" s="1067">
        <f t="shared" si="3"/>
        <v>0</v>
      </c>
      <c r="N70"/>
      <c r="O70" s="1064"/>
      <c r="P70" s="1064">
        <v>249900000</v>
      </c>
      <c r="Q70" s="1067">
        <f t="shared" si="2"/>
        <v>249900000</v>
      </c>
    </row>
    <row r="71" spans="1:21" s="813" customFormat="1" ht="51">
      <c r="A71" s="1052"/>
      <c r="B71" s="1443" t="s">
        <v>1407</v>
      </c>
      <c r="C71" s="171" t="s">
        <v>1405</v>
      </c>
      <c r="D71" s="171"/>
      <c r="E71" s="171"/>
      <c r="F71" s="174"/>
      <c r="G71" s="174"/>
      <c r="H71" s="272"/>
      <c r="I71" s="572"/>
      <c r="J71" s="1068"/>
      <c r="K71" s="572"/>
      <c r="L71" s="572"/>
      <c r="M71" s="1068"/>
      <c r="N71"/>
      <c r="O71" s="1068">
        <f>+SUM(O72:O74)</f>
        <v>0</v>
      </c>
      <c r="P71" s="1068">
        <f>+SUM(P72:P74)</f>
        <v>435084566</v>
      </c>
      <c r="Q71" s="1068">
        <f>+P71</f>
        <v>435084566</v>
      </c>
    </row>
    <row r="72" spans="1:21" s="813" customFormat="1" ht="32.25" customHeight="1">
      <c r="B72" s="1433"/>
      <c r="C72" s="2649" t="s">
        <v>1406</v>
      </c>
      <c r="D72" s="2214" t="s">
        <v>235</v>
      </c>
      <c r="E72" s="2214">
        <v>83990</v>
      </c>
      <c r="F72" s="2162" t="s">
        <v>209</v>
      </c>
      <c r="G72" s="870">
        <v>1</v>
      </c>
      <c r="H72" s="870"/>
      <c r="I72" s="1506"/>
      <c r="J72" s="1064">
        <f t="shared" si="6"/>
        <v>0</v>
      </c>
      <c r="K72" s="1506"/>
      <c r="L72" s="1506"/>
      <c r="M72" s="1067">
        <f t="shared" si="3"/>
        <v>0</v>
      </c>
      <c r="N72"/>
      <c r="O72" s="1064"/>
      <c r="P72" s="1064">
        <v>37227056</v>
      </c>
      <c r="Q72" s="1067">
        <f t="shared" si="2"/>
        <v>37227056</v>
      </c>
    </row>
    <row r="73" spans="1:21" s="813" customFormat="1" ht="32.25" customHeight="1">
      <c r="B73" s="1433"/>
      <c r="C73" s="2650"/>
      <c r="D73" s="2214" t="s">
        <v>729</v>
      </c>
      <c r="E73" s="2214">
        <v>3229903</v>
      </c>
      <c r="F73" s="2162" t="s">
        <v>209</v>
      </c>
      <c r="G73" s="870">
        <v>1</v>
      </c>
      <c r="H73" s="870"/>
      <c r="I73" s="1506"/>
      <c r="J73" s="1064">
        <f t="shared" si="6"/>
        <v>0</v>
      </c>
      <c r="K73" s="1506"/>
      <c r="L73" s="1506"/>
      <c r="M73" s="1067">
        <f t="shared" si="3"/>
        <v>0</v>
      </c>
      <c r="N73"/>
      <c r="O73" s="1064"/>
      <c r="P73" s="1064">
        <v>325497510</v>
      </c>
      <c r="Q73" s="1067">
        <f t="shared" si="2"/>
        <v>325497510</v>
      </c>
    </row>
    <row r="74" spans="1:21" s="813" customFormat="1" ht="32.25" customHeight="1">
      <c r="B74" s="1433"/>
      <c r="C74" s="2651"/>
      <c r="D74" s="2214" t="s">
        <v>235</v>
      </c>
      <c r="E74" s="2214">
        <v>85999</v>
      </c>
      <c r="F74" s="2162" t="s">
        <v>209</v>
      </c>
      <c r="G74" s="870">
        <v>1</v>
      </c>
      <c r="H74" s="870"/>
      <c r="I74" s="1506"/>
      <c r="J74" s="1064">
        <f t="shared" si="6"/>
        <v>0</v>
      </c>
      <c r="K74" s="1506"/>
      <c r="L74" s="1506"/>
      <c r="M74" s="1067">
        <f t="shared" si="3"/>
        <v>0</v>
      </c>
      <c r="N74"/>
      <c r="O74" s="1064"/>
      <c r="P74" s="1064">
        <v>72360000</v>
      </c>
      <c r="Q74" s="1067">
        <f t="shared" si="2"/>
        <v>72360000</v>
      </c>
    </row>
    <row r="75" spans="1:21" ht="36.75" thickBot="1">
      <c r="A75" s="1052">
        <v>156</v>
      </c>
      <c r="B75" s="1443"/>
      <c r="C75" s="1500" t="s">
        <v>0</v>
      </c>
      <c r="D75" s="1501"/>
      <c r="E75" s="1501"/>
      <c r="F75" s="1502" t="s">
        <v>209</v>
      </c>
      <c r="G75" s="1502">
        <v>1</v>
      </c>
      <c r="H75" s="1503"/>
      <c r="I75" s="1504">
        <f>+I76+I79</f>
        <v>121794263</v>
      </c>
      <c r="J75" s="1505">
        <f>+J76+J79</f>
        <v>121794263</v>
      </c>
      <c r="K75" s="1504">
        <f>+K76+K79</f>
        <v>0</v>
      </c>
      <c r="L75" s="1504">
        <f>+L76+L79</f>
        <v>0</v>
      </c>
      <c r="M75" s="1505">
        <f>+M76+M79</f>
        <v>121794263</v>
      </c>
      <c r="O75" s="1505"/>
      <c r="P75" s="1505"/>
      <c r="Q75" s="1505">
        <f>+P75+M75+O75</f>
        <v>121794263</v>
      </c>
    </row>
    <row r="76" spans="1:21" ht="48">
      <c r="A76" s="1052"/>
      <c r="B76" s="1443" t="s">
        <v>1111</v>
      </c>
      <c r="C76" s="1088" t="s">
        <v>587</v>
      </c>
      <c r="D76" s="1089"/>
      <c r="E76" s="1096"/>
      <c r="F76" s="1097" t="s">
        <v>209</v>
      </c>
      <c r="G76" s="1097">
        <v>1</v>
      </c>
      <c r="H76" s="1097"/>
      <c r="I76" s="1098">
        <f>SUM(I77:I78)</f>
        <v>23000000</v>
      </c>
      <c r="J76" s="1066">
        <f>SUM(J77:J78)</f>
        <v>23000000</v>
      </c>
      <c r="K76" s="1098">
        <f>SUM(K77:K78)</f>
        <v>0</v>
      </c>
      <c r="L76" s="1098">
        <f>SUM(L77:L78)</f>
        <v>0</v>
      </c>
      <c r="M76" s="1066">
        <f>SUM(M77:M78)</f>
        <v>23000000</v>
      </c>
      <c r="O76" s="1066"/>
      <c r="P76" s="1066">
        <f>SUM(P77:P78)</f>
        <v>0</v>
      </c>
      <c r="Q76" s="1944">
        <f>SUM(Q77:Q78)</f>
        <v>23000000</v>
      </c>
    </row>
    <row r="77" spans="1:21" s="813" customFormat="1" ht="76.5">
      <c r="B77" s="1433"/>
      <c r="C77" s="1060" t="s">
        <v>567</v>
      </c>
      <c r="D77" s="1090" t="s">
        <v>568</v>
      </c>
      <c r="E77" s="27"/>
      <c r="F77" s="1071" t="s">
        <v>209</v>
      </c>
      <c r="G77" s="1071">
        <v>1</v>
      </c>
      <c r="H77" s="1071"/>
      <c r="I77" s="1099">
        <v>20000000</v>
      </c>
      <c r="J77" s="1069">
        <f>+SUM(I77)</f>
        <v>20000000</v>
      </c>
      <c r="K77" s="1099"/>
      <c r="L77" s="1099"/>
      <c r="M77" s="1067">
        <f t="shared" ref="M77:M78" si="7">+SUM(K77:L77)+J77</f>
        <v>20000000</v>
      </c>
      <c r="N77"/>
      <c r="O77" s="1069"/>
      <c r="P77" s="1069"/>
      <c r="Q77" s="1067">
        <f t="shared" ref="Q77:Q78" si="8">+P77+M77+O77</f>
        <v>20000000</v>
      </c>
    </row>
    <row r="78" spans="1:21" s="813" customFormat="1" ht="69" customHeight="1">
      <c r="B78" s="1433"/>
      <c r="C78" s="366" t="s">
        <v>1137</v>
      </c>
      <c r="D78" s="1484" t="s">
        <v>585</v>
      </c>
      <c r="E78" s="422"/>
      <c r="F78" s="422" t="s">
        <v>209</v>
      </c>
      <c r="G78" s="422">
        <v>1</v>
      </c>
      <c r="H78" s="422"/>
      <c r="I78" s="1485">
        <v>3000000</v>
      </c>
      <c r="J78" s="1069">
        <f>+SUM(I78)</f>
        <v>3000000</v>
      </c>
      <c r="K78" s="1485"/>
      <c r="L78" s="1485"/>
      <c r="M78" s="1067">
        <f t="shared" si="7"/>
        <v>3000000</v>
      </c>
      <c r="N78"/>
      <c r="O78" s="1069"/>
      <c r="P78" s="1069"/>
      <c r="Q78" s="1067">
        <f t="shared" si="8"/>
        <v>3000000</v>
      </c>
    </row>
    <row r="79" spans="1:21" s="813" customFormat="1" ht="24">
      <c r="A79" s="1052"/>
      <c r="B79" s="1443" t="s">
        <v>1112</v>
      </c>
      <c r="C79" s="1088" t="s">
        <v>660</v>
      </c>
      <c r="D79" s="1089"/>
      <c r="E79" s="1096"/>
      <c r="F79" s="1097"/>
      <c r="G79" s="1097">
        <v>1</v>
      </c>
      <c r="H79" s="1097"/>
      <c r="I79" s="1098">
        <f>+I80</f>
        <v>98794263</v>
      </c>
      <c r="J79" s="1068">
        <f>+J80</f>
        <v>98794263</v>
      </c>
      <c r="K79" s="1098">
        <f>+K80</f>
        <v>0</v>
      </c>
      <c r="L79" s="1098">
        <f>+L80</f>
        <v>0</v>
      </c>
      <c r="M79" s="1068">
        <f>+M80</f>
        <v>98794263</v>
      </c>
      <c r="N79"/>
      <c r="O79" s="1068"/>
      <c r="P79" s="1068"/>
      <c r="Q79" s="1068">
        <f>+P79+J79</f>
        <v>98794263</v>
      </c>
    </row>
    <row r="80" spans="1:21">
      <c r="B80" s="1434"/>
      <c r="C80" s="1087" t="s">
        <v>227</v>
      </c>
      <c r="D80" s="1092" t="s">
        <v>569</v>
      </c>
      <c r="E80" s="1094"/>
      <c r="F80" s="1095" t="s">
        <v>209</v>
      </c>
      <c r="G80" s="1095">
        <v>1</v>
      </c>
      <c r="H80" s="1094"/>
      <c r="I80" s="1100">
        <v>98794263</v>
      </c>
      <c r="J80" s="1101">
        <f>+SUM(I80)</f>
        <v>98794263</v>
      </c>
      <c r="K80" s="1100"/>
      <c r="L80" s="1100"/>
      <c r="M80" s="1101">
        <f>+SUM(K80:L80)+J80</f>
        <v>98794263</v>
      </c>
      <c r="O80" s="1101"/>
      <c r="P80" s="1101"/>
      <c r="Q80" s="1101">
        <f t="shared" ref="Q80" si="9">+P80+M80+J80</f>
        <v>197588526</v>
      </c>
    </row>
    <row r="81" spans="2:17" ht="15.75" thickBot="1">
      <c r="B81" s="1434"/>
      <c r="C81" s="2646" t="s">
        <v>10</v>
      </c>
      <c r="D81" s="2647"/>
      <c r="E81" s="2647"/>
      <c r="F81" s="2648"/>
      <c r="G81" s="774"/>
      <c r="H81" s="1077"/>
      <c r="I81" s="769">
        <f>I75+I10</f>
        <v>988257160.70047998</v>
      </c>
      <c r="J81" s="1065">
        <f>+J75+J10</f>
        <v>988257160.70047998</v>
      </c>
      <c r="K81" s="769">
        <f>K75+K10</f>
        <v>387034077.60000002</v>
      </c>
      <c r="L81" s="769">
        <f>L75+L10</f>
        <v>0</v>
      </c>
      <c r="M81" s="1065">
        <f>+M75+M10</f>
        <v>1375291238.3004801</v>
      </c>
      <c r="O81" s="1065">
        <f>+O26</f>
        <v>1984180805</v>
      </c>
      <c r="P81" s="1065">
        <f>+P57+P71</f>
        <v>2772482634.6999998</v>
      </c>
      <c r="Q81" s="1065">
        <f>+Q75+Q10</f>
        <v>6131954678.0004797</v>
      </c>
    </row>
    <row r="82" spans="2:17" ht="15.75" thickBot="1">
      <c r="J82" s="283"/>
      <c r="K82" s="362"/>
      <c r="L82" s="362"/>
      <c r="M82" s="283"/>
      <c r="Q82" s="813"/>
    </row>
    <row r="83" spans="2:17" ht="15.75" thickBot="1">
      <c r="I83" s="1050">
        <f>1000295638.32192-12038478</f>
        <v>988257160.32192004</v>
      </c>
      <c r="J83" s="1051">
        <f>1000295638.32192-12038478</f>
        <v>988257160.32192004</v>
      </c>
      <c r="K83" s="1569">
        <f>388406180-1372102</f>
        <v>387034078</v>
      </c>
      <c r="L83" s="1569">
        <f>115208624-115208624</f>
        <v>0</v>
      </c>
      <c r="M83" s="1570">
        <f>503614804+1000295638.32192-12038478-1372102-115208624</f>
        <v>1375291238.3219199</v>
      </c>
      <c r="N83" s="1571"/>
      <c r="O83" s="1570">
        <v>1984180805</v>
      </c>
      <c r="P83" s="1570">
        <f>2337398068.7+435084566</f>
        <v>2772482634.6999998</v>
      </c>
      <c r="Q83" s="1570">
        <f>503614804+1000295638.32192+435084566+1984180805+2337398068.7-12038478-1372102-115208624</f>
        <v>6131954678.0219193</v>
      </c>
    </row>
    <row r="84" spans="2:17">
      <c r="E84" s="47"/>
      <c r="J84" s="283"/>
      <c r="K84" s="1507"/>
      <c r="L84" s="1507"/>
      <c r="M84" s="1507"/>
    </row>
    <row r="85" spans="2:17">
      <c r="I85" s="279">
        <f>+I83-I81</f>
        <v>-0.37855994701385498</v>
      </c>
      <c r="J85" s="279">
        <f>+J83-J81</f>
        <v>-0.37855994701385498</v>
      </c>
      <c r="K85" s="279">
        <f t="shared" ref="K85:Q85" si="10">+K83-K81</f>
        <v>0.39999997615814209</v>
      </c>
      <c r="L85" s="279">
        <f t="shared" si="10"/>
        <v>0</v>
      </c>
      <c r="M85" s="279">
        <f t="shared" si="10"/>
        <v>2.1439790725708008E-2</v>
      </c>
      <c r="N85" s="279"/>
      <c r="O85" s="279">
        <f t="shared" si="10"/>
        <v>0</v>
      </c>
      <c r="P85" s="279">
        <f t="shared" si="10"/>
        <v>0</v>
      </c>
      <c r="Q85" s="279">
        <f t="shared" si="10"/>
        <v>2.1439552307128906E-2</v>
      </c>
    </row>
    <row r="88" spans="2:17">
      <c r="J88" s="47"/>
    </row>
    <row r="89" spans="2:17">
      <c r="F89"/>
      <c r="G89"/>
      <c r="H89"/>
      <c r="I89"/>
      <c r="K89"/>
      <c r="M89" s="2164"/>
      <c r="P89" s="782"/>
    </row>
    <row r="90" spans="2:17">
      <c r="F90"/>
      <c r="G90"/>
      <c r="H90"/>
      <c r="I90"/>
      <c r="K90" s="47"/>
    </row>
    <row r="91" spans="2:17">
      <c r="F91"/>
      <c r="G91"/>
      <c r="H91"/>
      <c r="I91" s="47"/>
      <c r="K91"/>
      <c r="O91" s="782"/>
    </row>
    <row r="92" spans="2:17">
      <c r="F92"/>
      <c r="G92"/>
      <c r="H92"/>
      <c r="I92"/>
      <c r="K92"/>
    </row>
    <row r="93" spans="2:17">
      <c r="F93"/>
      <c r="G93"/>
      <c r="H93"/>
      <c r="I93"/>
      <c r="K93"/>
    </row>
    <row r="94" spans="2:17">
      <c r="F94"/>
      <c r="G94"/>
      <c r="H94"/>
      <c r="I94"/>
      <c r="K94"/>
    </row>
    <row r="95" spans="2:17">
      <c r="F95"/>
      <c r="G95"/>
      <c r="H95"/>
      <c r="I95"/>
      <c r="K95"/>
    </row>
    <row r="96" spans="2:17">
      <c r="F96"/>
      <c r="G96"/>
      <c r="H96"/>
      <c r="I96"/>
      <c r="K96"/>
    </row>
    <row r="97" spans="6:11">
      <c r="F97"/>
      <c r="G97"/>
      <c r="H97"/>
      <c r="I97"/>
      <c r="K97"/>
    </row>
    <row r="98" spans="6:11">
      <c r="F98"/>
      <c r="G98"/>
      <c r="H98"/>
      <c r="I98"/>
    </row>
    <row r="99" spans="6:11">
      <c r="F99"/>
      <c r="G99"/>
      <c r="H99"/>
      <c r="I99"/>
    </row>
    <row r="100" spans="6:11">
      <c r="F100"/>
      <c r="G100"/>
      <c r="H100"/>
      <c r="I100"/>
    </row>
    <row r="101" spans="6:11">
      <c r="F101"/>
      <c r="G101"/>
      <c r="H101"/>
      <c r="I101"/>
    </row>
    <row r="102" spans="6:11">
      <c r="F102"/>
      <c r="G102"/>
      <c r="H102"/>
      <c r="I102"/>
    </row>
    <row r="103" spans="6:11">
      <c r="F103"/>
      <c r="G103"/>
      <c r="H103"/>
      <c r="I103"/>
    </row>
    <row r="104" spans="6:11">
      <c r="F104"/>
      <c r="G104"/>
      <c r="H104"/>
      <c r="I104"/>
    </row>
    <row r="105" spans="6:11">
      <c r="F105"/>
      <c r="G105"/>
      <c r="H105"/>
      <c r="I105"/>
    </row>
    <row r="106" spans="6:11">
      <c r="F106"/>
      <c r="G106"/>
      <c r="H106"/>
      <c r="I106"/>
    </row>
    <row r="107" spans="6:11">
      <c r="F107"/>
      <c r="G107"/>
      <c r="H107"/>
      <c r="I107"/>
    </row>
    <row r="108" spans="6:11">
      <c r="F108"/>
      <c r="G108"/>
      <c r="H108"/>
      <c r="I108"/>
    </row>
  </sheetData>
  <mergeCells count="33">
    <mergeCell ref="O7:O9"/>
    <mergeCell ref="C72:C74"/>
    <mergeCell ref="D29:D35"/>
    <mergeCell ref="C29:C35"/>
    <mergeCell ref="D37:D43"/>
    <mergeCell ref="C36:C43"/>
    <mergeCell ref="C62:C65"/>
    <mergeCell ref="D62:D64"/>
    <mergeCell ref="C44:C46"/>
    <mergeCell ref="K7:L7"/>
    <mergeCell ref="Q7:Q9"/>
    <mergeCell ref="C81:F81"/>
    <mergeCell ref="A7:A9"/>
    <mergeCell ref="B7:B9"/>
    <mergeCell ref="C7:C9"/>
    <mergeCell ref="D7:D9"/>
    <mergeCell ref="E7:E9"/>
    <mergeCell ref="F7:F9"/>
    <mergeCell ref="G7:G9"/>
    <mergeCell ref="H7:H9"/>
    <mergeCell ref="J7:J9"/>
    <mergeCell ref="P7:P9"/>
    <mergeCell ref="I8:I9"/>
    <mergeCell ref="K8:K9"/>
    <mergeCell ref="L8:L9"/>
    <mergeCell ref="M7:M9"/>
    <mergeCell ref="C5:M5"/>
    <mergeCell ref="C6:M6"/>
    <mergeCell ref="C1:C3"/>
    <mergeCell ref="L1:M1"/>
    <mergeCell ref="L2:M2"/>
    <mergeCell ref="L3:M3"/>
    <mergeCell ref="D1:K3"/>
  </mergeCells>
  <pageMargins left="0.7" right="0.7" top="0.75" bottom="0.75" header="0.3" footer="0.3"/>
  <pageSetup paperSize="9" orientation="portrait" verticalDpi="597" r:id="rId1"/>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9">
    <tabColor theme="7" tint="0.59999389629810485"/>
  </sheetPr>
  <dimension ref="A1:I33"/>
  <sheetViews>
    <sheetView workbookViewId="0"/>
  </sheetViews>
  <sheetFormatPr baseColWidth="10" defaultRowHeight="15"/>
  <cols>
    <col min="1" max="1" width="13.5703125" customWidth="1"/>
    <col min="2" max="2" width="37.140625" customWidth="1"/>
    <col min="3" max="7" width="15.7109375" customWidth="1"/>
    <col min="8" max="8" width="15.5703125" customWidth="1"/>
    <col min="9" max="9" width="15.28515625" customWidth="1"/>
  </cols>
  <sheetData>
    <row r="1" spans="1:9" ht="15" customHeight="1">
      <c r="B1" s="2405"/>
      <c r="C1" s="2433" t="s">
        <v>663</v>
      </c>
      <c r="D1" s="2434"/>
      <c r="E1" s="2434"/>
      <c r="F1" s="2434"/>
      <c r="G1" s="2435"/>
      <c r="H1" s="2495" t="s">
        <v>539</v>
      </c>
      <c r="I1" s="2496"/>
    </row>
    <row r="2" spans="1:9">
      <c r="B2" s="2406"/>
      <c r="C2" s="2433"/>
      <c r="D2" s="2434"/>
      <c r="E2" s="2434"/>
      <c r="F2" s="2434"/>
      <c r="G2" s="2435"/>
      <c r="H2" s="2497" t="s">
        <v>540</v>
      </c>
      <c r="I2" s="2498"/>
    </row>
    <row r="3" spans="1:9" ht="15.75" customHeight="1" thickBot="1">
      <c r="B3" s="2407"/>
      <c r="C3" s="2433"/>
      <c r="D3" s="2434"/>
      <c r="E3" s="2434"/>
      <c r="F3" s="2434"/>
      <c r="G3" s="2435"/>
      <c r="H3" s="2499" t="s">
        <v>541</v>
      </c>
      <c r="I3" s="2500"/>
    </row>
    <row r="4" spans="1:9" ht="5.25" customHeight="1">
      <c r="A4" s="1"/>
      <c r="B4" s="1"/>
      <c r="C4" s="1"/>
      <c r="D4" s="1"/>
      <c r="E4" s="1"/>
      <c r="F4" s="1"/>
      <c r="G4" s="1"/>
    </row>
    <row r="5" spans="1:9" ht="15.75" customHeight="1">
      <c r="B5" s="2664" t="s">
        <v>195</v>
      </c>
      <c r="C5" s="2665"/>
      <c r="D5" s="2665"/>
      <c r="E5" s="2665"/>
      <c r="F5" s="2665"/>
      <c r="G5" s="2665"/>
      <c r="H5" s="2665"/>
      <c r="I5" s="2665"/>
    </row>
    <row r="6" spans="1:9" ht="15.75" customHeight="1" thickBot="1">
      <c r="B6" s="2662" t="s">
        <v>196</v>
      </c>
      <c r="C6" s="2663"/>
      <c r="D6" s="2663"/>
      <c r="E6" s="2663"/>
      <c r="F6" s="2663"/>
      <c r="G6" s="2663"/>
      <c r="H6" s="2663"/>
      <c r="I6" s="2663"/>
    </row>
    <row r="7" spans="1:9" ht="15" customHeight="1" thickBot="1">
      <c r="A7" s="2397" t="s">
        <v>383</v>
      </c>
      <c r="B7" s="2493" t="s">
        <v>465</v>
      </c>
      <c r="C7" s="2660">
        <v>2023</v>
      </c>
      <c r="D7" s="2661"/>
      <c r="E7" s="2661"/>
      <c r="F7" s="2661"/>
      <c r="G7" s="2661"/>
      <c r="H7" s="2661"/>
      <c r="I7" s="2661"/>
    </row>
    <row r="8" spans="1:9" ht="25.5" customHeight="1" thickBot="1">
      <c r="A8" s="2397"/>
      <c r="B8" s="2493"/>
      <c r="C8" s="2397" t="s">
        <v>199</v>
      </c>
      <c r="D8" s="2397" t="s">
        <v>200</v>
      </c>
      <c r="E8" s="2397" t="s">
        <v>248</v>
      </c>
      <c r="F8" s="2398"/>
      <c r="G8" s="2397" t="s">
        <v>341</v>
      </c>
      <c r="H8" s="1587" t="s">
        <v>1213</v>
      </c>
      <c r="I8" s="2658" t="s">
        <v>1249</v>
      </c>
    </row>
    <row r="9" spans="1:9" ht="36.75" thickBot="1">
      <c r="A9" s="2397"/>
      <c r="B9" s="2657"/>
      <c r="C9" s="2489"/>
      <c r="D9" s="2489"/>
      <c r="E9" s="1608" t="s">
        <v>325</v>
      </c>
      <c r="F9" s="1609" t="s">
        <v>466</v>
      </c>
      <c r="G9" s="2489"/>
      <c r="H9" s="1588" t="s">
        <v>232</v>
      </c>
      <c r="I9" s="2659"/>
    </row>
    <row r="10" spans="1:9" ht="39" thickBot="1">
      <c r="A10" s="583">
        <v>3299060</v>
      </c>
      <c r="B10" s="1362" t="s">
        <v>6</v>
      </c>
      <c r="C10" s="1363" t="s">
        <v>214</v>
      </c>
      <c r="D10" s="1364">
        <v>100</v>
      </c>
      <c r="E10" s="1365">
        <f>+'ACCIONES 329901'!L10</f>
        <v>332160647.26944</v>
      </c>
      <c r="F10" s="1369">
        <f>+'ACCIONES 329901'!M10</f>
        <v>130096892.75199999</v>
      </c>
      <c r="G10" s="1373">
        <f>+'ACCIONES 329901'!N10</f>
        <v>462257540.41343999</v>
      </c>
      <c r="H10" s="1373">
        <f>+SUM(H11:H13)</f>
        <v>4662700</v>
      </c>
      <c r="I10" s="1373">
        <f>+SUM(I11:I13)</f>
        <v>466920240.41343999</v>
      </c>
    </row>
    <row r="11" spans="1:9" ht="25.5">
      <c r="B11" s="26" t="s">
        <v>326</v>
      </c>
      <c r="C11" s="810" t="s">
        <v>214</v>
      </c>
      <c r="D11" s="222">
        <v>0</v>
      </c>
      <c r="E11" s="223">
        <f>+'ACCIONES 329901'!L11</f>
        <v>0</v>
      </c>
      <c r="F11" s="1370">
        <f>+'ACCIONES 329901'!M11</f>
        <v>0</v>
      </c>
      <c r="G11" s="1374">
        <f>+'ACCIONES 329901'!N11</f>
        <v>0</v>
      </c>
      <c r="H11" s="1370">
        <f>+'ACCIONES 329901'!O11</f>
        <v>0</v>
      </c>
      <c r="I11" s="1374">
        <f>+H11+G11</f>
        <v>0</v>
      </c>
    </row>
    <row r="12" spans="1:9" ht="38.25">
      <c r="B12" s="26" t="s">
        <v>327</v>
      </c>
      <c r="C12" s="810" t="s">
        <v>209</v>
      </c>
      <c r="D12" s="222">
        <v>1</v>
      </c>
      <c r="E12" s="223">
        <f>+'ACCIONES 329901'!L12</f>
        <v>295898531.26944</v>
      </c>
      <c r="F12" s="1370">
        <f>+'ACCIONES 329901'!M12</f>
        <v>130096892.75199999</v>
      </c>
      <c r="G12" s="1374">
        <f>+'ACCIONES 329901'!N12</f>
        <v>425995424.41343999</v>
      </c>
      <c r="H12" s="1370">
        <f>+'ACCIONES 329901'!O12</f>
        <v>560000</v>
      </c>
      <c r="I12" s="1374">
        <f t="shared" ref="I12:I13" si="0">+H12+G12</f>
        <v>426555424.41343999</v>
      </c>
    </row>
    <row r="13" spans="1:9" ht="39" thickBot="1">
      <c r="B13" s="26" t="s">
        <v>328</v>
      </c>
      <c r="C13" s="810" t="s">
        <v>209</v>
      </c>
      <c r="D13" s="222">
        <v>1</v>
      </c>
      <c r="E13" s="223">
        <f>+'ACCIONES 329901'!L26</f>
        <v>36262116</v>
      </c>
      <c r="F13" s="1370">
        <f>+'ACCIONES 329901'!M26</f>
        <v>0</v>
      </c>
      <c r="G13" s="1374">
        <f>+'ACCIONES 329901'!N26</f>
        <v>36262116</v>
      </c>
      <c r="H13" s="1370">
        <f>+'ACCIONES 329901'!O26</f>
        <v>4102700</v>
      </c>
      <c r="I13" s="1374">
        <f t="shared" si="0"/>
        <v>40364816</v>
      </c>
    </row>
    <row r="14" spans="1:9" ht="26.25" thickBot="1">
      <c r="A14" s="584">
        <v>3299060</v>
      </c>
      <c r="B14" s="1366" t="s">
        <v>7</v>
      </c>
      <c r="C14" s="16" t="s">
        <v>214</v>
      </c>
      <c r="D14" s="1361">
        <v>100</v>
      </c>
      <c r="E14" s="1377">
        <f>+'ACCIONES 329901'!L33</f>
        <v>0</v>
      </c>
      <c r="F14" s="1378">
        <f>+'ACCIONES 329901'!M33</f>
        <v>23614080</v>
      </c>
      <c r="G14" s="1379">
        <f>+'ACCIONES 329901'!N33</f>
        <v>23614080</v>
      </c>
      <c r="H14" s="1379">
        <f>+H15</f>
        <v>0</v>
      </c>
      <c r="I14" s="1379">
        <f>+I15</f>
        <v>23614080</v>
      </c>
    </row>
    <row r="15" spans="1:9" ht="26.25" thickBot="1">
      <c r="B15" s="26" t="s">
        <v>329</v>
      </c>
      <c r="C15" s="810" t="s">
        <v>209</v>
      </c>
      <c r="D15" s="222">
        <v>1</v>
      </c>
      <c r="E15" s="223">
        <f>+'ACCIONES 329901'!L34</f>
        <v>0</v>
      </c>
      <c r="F15" s="1370">
        <f>+'ACCIONES 329901'!M34</f>
        <v>23614080</v>
      </c>
      <c r="G15" s="1374">
        <f>+'ACCIONES 329901'!N34</f>
        <v>23614080</v>
      </c>
      <c r="H15" s="1370">
        <f>+'ACCIONES 329901'!O34</f>
        <v>0</v>
      </c>
      <c r="I15" s="1374">
        <f>+H15+G15</f>
        <v>23614080</v>
      </c>
    </row>
    <row r="16" spans="1:9" ht="51.75" thickBot="1">
      <c r="A16" s="584">
        <v>3299065</v>
      </c>
      <c r="B16" s="1367" t="s">
        <v>8</v>
      </c>
      <c r="C16" s="16" t="s">
        <v>214</v>
      </c>
      <c r="D16" s="1361">
        <v>100</v>
      </c>
      <c r="E16" s="1377">
        <f>+'ACCIONES 329901'!L36</f>
        <v>544196217.42655993</v>
      </c>
      <c r="F16" s="1378">
        <f>+'ACCIONES 329901'!M36</f>
        <v>122227331</v>
      </c>
      <c r="G16" s="1379">
        <f>+'ACCIONES 329901'!N36</f>
        <v>666423548.42655993</v>
      </c>
      <c r="H16" s="1379">
        <f>+SUM(H17:H18)</f>
        <v>82635813</v>
      </c>
      <c r="I16" s="1379">
        <f>+SUM(I17:I18)</f>
        <v>749059361.42655993</v>
      </c>
    </row>
    <row r="17" spans="1:9" ht="25.5">
      <c r="B17" s="26" t="s">
        <v>330</v>
      </c>
      <c r="C17" s="810" t="s">
        <v>210</v>
      </c>
      <c r="D17" s="222">
        <v>1</v>
      </c>
      <c r="E17" s="223">
        <f>+'ACCIONES 329901'!L37</f>
        <v>174936960</v>
      </c>
      <c r="F17" s="1370">
        <f>+'ACCIONES 329901'!M37</f>
        <v>47710080</v>
      </c>
      <c r="G17" s="1374">
        <f>+'ACCIONES 329901'!N37</f>
        <v>222647040</v>
      </c>
      <c r="H17" s="1370">
        <f>+'ACCIONES 329901'!O37</f>
        <v>0</v>
      </c>
      <c r="I17" s="1374">
        <f t="shared" ref="I17:I18" si="1">+H17+G17</f>
        <v>222647040</v>
      </c>
    </row>
    <row r="18" spans="1:9" ht="26.25" thickBot="1">
      <c r="B18" s="26" t="s">
        <v>388</v>
      </c>
      <c r="C18" s="810" t="s">
        <v>209</v>
      </c>
      <c r="D18" s="222">
        <v>1</v>
      </c>
      <c r="E18" s="223">
        <f>+'ACCIONES 329901'!L40</f>
        <v>369259257.42655993</v>
      </c>
      <c r="F18" s="1370">
        <f>+'ACCIONES 329901'!M40</f>
        <v>74517251</v>
      </c>
      <c r="G18" s="1374">
        <f>+'ACCIONES 329901'!N40</f>
        <v>443776508.42655993</v>
      </c>
      <c r="H18" s="1370">
        <f>+'ACCIONES 329901'!O40</f>
        <v>82635813</v>
      </c>
      <c r="I18" s="1374">
        <f t="shared" si="1"/>
        <v>526412321.42655993</v>
      </c>
    </row>
    <row r="19" spans="1:9" ht="39" thickBot="1">
      <c r="A19" s="584">
        <v>3299052</v>
      </c>
      <c r="B19" s="1367" t="s">
        <v>331</v>
      </c>
      <c r="C19" s="16" t="s">
        <v>214</v>
      </c>
      <c r="D19" s="1361">
        <v>100</v>
      </c>
      <c r="E19" s="1377">
        <f>+'ACCIONES 329901'!L53</f>
        <v>100107976</v>
      </c>
      <c r="F19" s="1378">
        <f>+'ACCIONES 329901'!M53</f>
        <v>32465482.133760002</v>
      </c>
      <c r="G19" s="1379">
        <f>+'ACCIONES 329901'!N53</f>
        <v>132573458.13376001</v>
      </c>
      <c r="H19" s="1379">
        <f>+H20</f>
        <v>5775165</v>
      </c>
      <c r="I19" s="1379">
        <f>+I20</f>
        <v>138348623.13376001</v>
      </c>
    </row>
    <row r="20" spans="1:9" ht="39" thickBot="1">
      <c r="B20" s="26" t="s">
        <v>332</v>
      </c>
      <c r="C20" s="810" t="s">
        <v>209</v>
      </c>
      <c r="D20" s="222">
        <v>1</v>
      </c>
      <c r="E20" s="223">
        <f>+'ACCIONES 329901'!L54</f>
        <v>100107976</v>
      </c>
      <c r="F20" s="1370">
        <f>+'ACCIONES 329901'!M54</f>
        <v>32465482.133760002</v>
      </c>
      <c r="G20" s="1374">
        <f>+'ACCIONES 329901'!N54</f>
        <v>132573458.13376001</v>
      </c>
      <c r="H20" s="1370">
        <f>+'ACCIONES 329901'!O54</f>
        <v>5775165</v>
      </c>
      <c r="I20" s="1374">
        <f>+H20+G20</f>
        <v>138348623.13376001</v>
      </c>
    </row>
    <row r="21" spans="1:9" ht="51.75" thickBot="1">
      <c r="A21" s="584">
        <v>3299011</v>
      </c>
      <c r="B21" s="1367" t="s">
        <v>9</v>
      </c>
      <c r="C21" s="16" t="s">
        <v>214</v>
      </c>
      <c r="D21" s="1361">
        <v>100</v>
      </c>
      <c r="E21" s="1377">
        <f>+'ACCIONES 329901'!L59</f>
        <v>193822338.30400026</v>
      </c>
      <c r="F21" s="1378">
        <f>+'ACCIONES 329901'!M59</f>
        <v>126921203.11424005</v>
      </c>
      <c r="G21" s="1379">
        <f>+'ACCIONES 329901'!N59</f>
        <v>320743541.41824031</v>
      </c>
      <c r="H21" s="1379">
        <f>+SUM(H22:H24)</f>
        <v>5176154.2777597904</v>
      </c>
      <c r="I21" s="1379">
        <f>+SUM(I22:I24)</f>
        <v>325919695.6960001</v>
      </c>
    </row>
    <row r="22" spans="1:9" ht="38.25">
      <c r="B22" s="26" t="s">
        <v>333</v>
      </c>
      <c r="C22" s="810" t="s">
        <v>210</v>
      </c>
      <c r="D22" s="222">
        <v>0</v>
      </c>
      <c r="E22" s="223">
        <f>+'ACCIONES 329901'!K60</f>
        <v>0</v>
      </c>
      <c r="F22" s="1370">
        <f>+'ACCIONES 329901'!L60</f>
        <v>0</v>
      </c>
      <c r="G22" s="1374">
        <f>+'ACCIONES 329901'!M60</f>
        <v>0</v>
      </c>
      <c r="H22" s="1370">
        <f>+'ACCIONES 329901'!N60</f>
        <v>0</v>
      </c>
      <c r="I22" s="1374">
        <f t="shared" ref="I22:I24" si="2">+H22+G22</f>
        <v>0</v>
      </c>
    </row>
    <row r="23" spans="1:9">
      <c r="B23" s="26" t="s">
        <v>334</v>
      </c>
      <c r="C23" s="810" t="s">
        <v>209</v>
      </c>
      <c r="D23" s="222">
        <v>1</v>
      </c>
      <c r="E23" s="223">
        <f>+'ACCIONES 329901'!L62</f>
        <v>23859755</v>
      </c>
      <c r="F23" s="1370">
        <f>+'ACCIONES 329901'!M62</f>
        <v>0</v>
      </c>
      <c r="G23" s="1374">
        <f>+'ACCIONES 329901'!N62</f>
        <v>23859755</v>
      </c>
      <c r="H23" s="1370">
        <f>+'ACCIONES 329901'!O62</f>
        <v>0</v>
      </c>
      <c r="I23" s="1374">
        <f t="shared" si="2"/>
        <v>23859755</v>
      </c>
    </row>
    <row r="24" spans="1:9" ht="26.25" thickBot="1">
      <c r="B24" s="26" t="s">
        <v>335</v>
      </c>
      <c r="C24" s="810" t="s">
        <v>210</v>
      </c>
      <c r="D24" s="222">
        <v>1</v>
      </c>
      <c r="E24" s="223">
        <f>+'ACCIONES 329901'!L67</f>
        <v>169962583.30400026</v>
      </c>
      <c r="F24" s="1370">
        <f>+'ACCIONES 329901'!M67</f>
        <v>126921203.11424005</v>
      </c>
      <c r="G24" s="1374">
        <f>+'ACCIONES 329901'!N67</f>
        <v>296883786.41824031</v>
      </c>
      <c r="H24" s="1370">
        <f>+'ACCIONES 329901'!O67</f>
        <v>5176154.2777597904</v>
      </c>
      <c r="I24" s="1374">
        <f t="shared" si="2"/>
        <v>302059940.6960001</v>
      </c>
    </row>
    <row r="25" spans="1:9" ht="26.25" thickBot="1">
      <c r="A25" s="584">
        <v>3299060</v>
      </c>
      <c r="B25" s="1368" t="s">
        <v>0</v>
      </c>
      <c r="C25" s="61" t="s">
        <v>209</v>
      </c>
      <c r="D25" s="61">
        <v>1</v>
      </c>
      <c r="E25" s="1377">
        <f>+'ACCIONES 329901'!L73</f>
        <v>335906154</v>
      </c>
      <c r="F25" s="1378">
        <f>+'ACCIONES 329901'!M73</f>
        <v>0</v>
      </c>
      <c r="G25" s="1379">
        <f>+'ACCIONES 329901'!N73</f>
        <v>335906154</v>
      </c>
      <c r="H25" s="1379">
        <f>+H26</f>
        <v>0</v>
      </c>
      <c r="I25" s="1379">
        <f>+I26+I27</f>
        <v>335906154</v>
      </c>
    </row>
    <row r="26" spans="1:9" ht="38.25">
      <c r="B26" s="26" t="s">
        <v>336</v>
      </c>
      <c r="C26" s="810" t="s">
        <v>209</v>
      </c>
      <c r="D26" s="222">
        <v>1</v>
      </c>
      <c r="E26" s="223">
        <f>+'ACCIONES 329901'!L74</f>
        <v>13012000</v>
      </c>
      <c r="F26" s="1370">
        <f>+'ACCIONES 329901'!M74</f>
        <v>0</v>
      </c>
      <c r="G26" s="1374">
        <f>+'ACCIONES 329901'!N74</f>
        <v>13012000</v>
      </c>
      <c r="H26" s="1370">
        <f>+'ACCIONES 329901'!O74</f>
        <v>0</v>
      </c>
      <c r="I26" s="1374">
        <f>+H26+G26</f>
        <v>13012000</v>
      </c>
    </row>
    <row r="27" spans="1:9" ht="15.75" thickBot="1">
      <c r="B27" s="294" t="s">
        <v>660</v>
      </c>
      <c r="C27" s="167" t="s">
        <v>209</v>
      </c>
      <c r="D27" s="295">
        <v>1</v>
      </c>
      <c r="E27" s="296">
        <f>+'ACCIONES 329901'!L77</f>
        <v>322894154</v>
      </c>
      <c r="F27" s="1371">
        <f>+'ACCIONES 329901'!M77</f>
        <v>0</v>
      </c>
      <c r="G27" s="1375">
        <f>+'ACCIONES 329901'!N77</f>
        <v>322894154</v>
      </c>
      <c r="H27" s="1375"/>
      <c r="I27" s="1375">
        <f>+H27+G27</f>
        <v>322894154</v>
      </c>
    </row>
    <row r="28" spans="1:9" ht="15.75" thickBot="1">
      <c r="B28" s="2654" t="s">
        <v>10</v>
      </c>
      <c r="C28" s="2655"/>
      <c r="D28" s="2656"/>
      <c r="E28" s="771">
        <f>+E25+E21+E19+E16+E14+E10</f>
        <v>1506193333.0000002</v>
      </c>
      <c r="F28" s="1372">
        <f>+F25+F21+F19+F16+F14+F10</f>
        <v>435324989</v>
      </c>
      <c r="G28" s="1376">
        <f>+G25+G21+G19+G16+G14+G10</f>
        <v>1941518322.3920002</v>
      </c>
      <c r="H28" s="1376">
        <f t="shared" ref="H28:I28" si="3">+H25+H21+H19+H16+H14+H10</f>
        <v>98249832.27775979</v>
      </c>
      <c r="I28" s="1376">
        <f t="shared" si="3"/>
        <v>2039768154.66976</v>
      </c>
    </row>
    <row r="29" spans="1:9" ht="15.75" thickBot="1">
      <c r="E29" s="58"/>
    </row>
    <row r="30" spans="1:9" ht="15.75" thickBot="1">
      <c r="E30" s="1380">
        <f>1139105268+367088065</f>
        <v>1506193333</v>
      </c>
      <c r="F30" s="1381">
        <v>435324989</v>
      </c>
      <c r="G30" s="1382">
        <f>1574430257+367088065</f>
        <v>1941518322</v>
      </c>
      <c r="H30" s="1381">
        <v>98249832</v>
      </c>
      <c r="I30" s="1381">
        <v>2039768154</v>
      </c>
    </row>
    <row r="31" spans="1:9">
      <c r="F31" s="58"/>
    </row>
    <row r="32" spans="1:9">
      <c r="E32" s="58">
        <f>+E30-E28</f>
        <v>0</v>
      </c>
      <c r="F32" s="58">
        <f>+F30-F28</f>
        <v>0</v>
      </c>
      <c r="G32" s="58">
        <f>+G30-G28</f>
        <v>-0.39200019836425781</v>
      </c>
      <c r="H32" s="58">
        <f t="shared" ref="H32:I32" si="4">+H30-H28</f>
        <v>-0.27775979042053223</v>
      </c>
      <c r="I32" s="58">
        <f t="shared" si="4"/>
        <v>-0.66975998878479004</v>
      </c>
    </row>
    <row r="33" spans="5:5">
      <c r="E33" s="58"/>
    </row>
  </sheetData>
  <mergeCells count="16">
    <mergeCell ref="C1:G3"/>
    <mergeCell ref="I8:I9"/>
    <mergeCell ref="C7:I7"/>
    <mergeCell ref="B6:I6"/>
    <mergeCell ref="B1:B3"/>
    <mergeCell ref="G8:G9"/>
    <mergeCell ref="E8:F8"/>
    <mergeCell ref="H1:I1"/>
    <mergeCell ref="H2:I2"/>
    <mergeCell ref="H3:I3"/>
    <mergeCell ref="B5:I5"/>
    <mergeCell ref="B28:D28"/>
    <mergeCell ref="A7:A9"/>
    <mergeCell ref="B7:B9"/>
    <mergeCell ref="C8:C9"/>
    <mergeCell ref="D8:D9"/>
  </mergeCells>
  <pageMargins left="0.11811023622047245" right="0.11811023622047245" top="0.15748031496062992" bottom="1.1417322834645669" header="0.31496062992125984" footer="0.31496062992125984"/>
  <pageSetup scale="80" orientation="landscape" verticalDpi="597" r:id="rId1"/>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0">
    <tabColor theme="7" tint="0.59999389629810485"/>
  </sheetPr>
  <dimension ref="A1:AZ100"/>
  <sheetViews>
    <sheetView workbookViewId="0">
      <pane ySplit="9" topLeftCell="A52" activePane="bottomLeft" state="frozen"/>
      <selection pane="bottomLeft" activeCell="J59" sqref="J59"/>
    </sheetView>
  </sheetViews>
  <sheetFormatPr baseColWidth="10" defaultRowHeight="15"/>
  <cols>
    <col min="1" max="1" width="4.85546875" style="841" customWidth="1"/>
    <col min="2" max="2" width="5.85546875" style="841" customWidth="1"/>
    <col min="3" max="3" width="47" style="841" customWidth="1"/>
    <col min="4" max="4" width="24" style="841" customWidth="1"/>
    <col min="5" max="5" width="14.85546875" style="841" customWidth="1"/>
    <col min="6" max="6" width="10.28515625" style="181" customWidth="1"/>
    <col min="7" max="7" width="5.42578125" style="181" customWidth="1"/>
    <col min="8" max="8" width="8.85546875" style="1205" customWidth="1"/>
    <col min="9" max="9" width="10.85546875" style="841" customWidth="1"/>
    <col min="10" max="10" width="13.7109375" style="841" customWidth="1"/>
    <col min="11" max="11" width="16.5703125" style="841" customWidth="1"/>
    <col min="12" max="12" width="21.5703125" style="841" customWidth="1"/>
    <col min="13" max="13" width="15.7109375" style="841" customWidth="1"/>
    <col min="14" max="14" width="16.140625" style="841" customWidth="1"/>
    <col min="15" max="15" width="13.28515625" style="510" customWidth="1"/>
    <col min="16" max="16" width="21.140625" style="841" customWidth="1"/>
    <col min="17" max="17" width="17.42578125" style="841" customWidth="1"/>
    <col min="18" max="18" width="17.7109375" style="841" customWidth="1"/>
    <col min="19" max="19" width="27.5703125" style="841" customWidth="1"/>
    <col min="20" max="20" width="34.28515625" style="841" customWidth="1"/>
    <col min="21" max="23" width="27.5703125" style="841" customWidth="1"/>
    <col min="24" max="24" width="37" style="841" customWidth="1"/>
    <col min="25" max="38" width="27.5703125" style="841" customWidth="1"/>
    <col min="39" max="39" width="21.140625" style="841" customWidth="1"/>
    <col min="40" max="41" width="27.5703125" style="841" customWidth="1"/>
    <col min="42" max="46" width="15.7109375" style="841" customWidth="1"/>
    <col min="47" max="47" width="21.28515625" style="841" customWidth="1"/>
    <col min="48" max="48" width="15.42578125" style="841" customWidth="1"/>
    <col min="49" max="49" width="13" style="841" bestFit="1" customWidth="1"/>
    <col min="50" max="16384" width="11.42578125" style="841"/>
  </cols>
  <sheetData>
    <row r="1" spans="1:52" ht="15" customHeight="1">
      <c r="C1" s="2405"/>
      <c r="D1" s="2667" t="s">
        <v>663</v>
      </c>
      <c r="E1" s="2668"/>
      <c r="F1" s="2668"/>
      <c r="G1" s="2668"/>
      <c r="H1" s="2668"/>
      <c r="I1" s="2668"/>
      <c r="J1" s="2668"/>
      <c r="K1" s="2668"/>
      <c r="L1" s="2668"/>
      <c r="M1" s="2668"/>
      <c r="N1" s="2669"/>
      <c r="O1" s="2495" t="s">
        <v>539</v>
      </c>
      <c r="P1" s="2496"/>
      <c r="Q1"/>
      <c r="R1"/>
      <c r="S1"/>
      <c r="T1"/>
      <c r="U1"/>
      <c r="V1"/>
      <c r="W1"/>
      <c r="X1"/>
      <c r="Y1"/>
      <c r="Z1"/>
      <c r="AA1"/>
      <c r="AB1"/>
      <c r="AC1"/>
      <c r="AD1"/>
      <c r="AE1"/>
      <c r="AF1"/>
      <c r="AG1"/>
      <c r="AH1"/>
      <c r="AI1"/>
      <c r="AJ1"/>
      <c r="AK1"/>
      <c r="AL1"/>
      <c r="AM1"/>
      <c r="AN1"/>
      <c r="AO1"/>
      <c r="AP1"/>
      <c r="AQ1"/>
      <c r="AR1"/>
      <c r="AS1"/>
      <c r="AT1"/>
      <c r="AU1"/>
      <c r="AV1"/>
      <c r="AW1"/>
      <c r="AX1"/>
      <c r="AY1"/>
      <c r="AZ1"/>
    </row>
    <row r="2" spans="1:52">
      <c r="C2" s="2406"/>
      <c r="D2" s="2670"/>
      <c r="E2" s="2671"/>
      <c r="F2" s="2671"/>
      <c r="G2" s="2671"/>
      <c r="H2" s="2671"/>
      <c r="I2" s="2671"/>
      <c r="J2" s="2671"/>
      <c r="K2" s="2671"/>
      <c r="L2" s="2671"/>
      <c r="M2" s="2671"/>
      <c r="N2" s="2672"/>
      <c r="O2" s="2497" t="s">
        <v>540</v>
      </c>
      <c r="P2" s="2498"/>
      <c r="Q2"/>
      <c r="R2"/>
      <c r="S2"/>
      <c r="T2"/>
      <c r="U2"/>
      <c r="V2"/>
      <c r="W2"/>
      <c r="X2"/>
      <c r="Y2"/>
      <c r="Z2"/>
      <c r="AA2"/>
      <c r="AB2"/>
      <c r="AC2"/>
      <c r="AD2"/>
      <c r="AE2"/>
      <c r="AF2"/>
      <c r="AG2"/>
      <c r="AH2"/>
      <c r="AI2"/>
      <c r="AJ2"/>
      <c r="AK2"/>
      <c r="AL2"/>
      <c r="AM2"/>
      <c r="AN2"/>
      <c r="AO2"/>
      <c r="AP2"/>
      <c r="AQ2"/>
      <c r="AR2"/>
      <c r="AS2"/>
      <c r="AT2"/>
      <c r="AU2"/>
      <c r="AV2"/>
      <c r="AW2"/>
      <c r="AX2"/>
      <c r="AY2"/>
      <c r="AZ2"/>
    </row>
    <row r="3" spans="1:52" ht="15.75" customHeight="1" thickBot="1">
      <c r="C3" s="2407"/>
      <c r="D3" s="2673"/>
      <c r="E3" s="2674"/>
      <c r="F3" s="2674"/>
      <c r="G3" s="2674"/>
      <c r="H3" s="2674"/>
      <c r="I3" s="2674"/>
      <c r="J3" s="2674"/>
      <c r="K3" s="2674"/>
      <c r="L3" s="2674"/>
      <c r="M3" s="2674"/>
      <c r="N3" s="2675"/>
      <c r="O3" s="2499" t="s">
        <v>541</v>
      </c>
      <c r="P3" s="2500"/>
      <c r="Q3"/>
      <c r="R3"/>
      <c r="S3"/>
      <c r="T3"/>
      <c r="U3"/>
      <c r="V3"/>
      <c r="W3"/>
      <c r="X3"/>
      <c r="Y3"/>
      <c r="Z3"/>
      <c r="AA3"/>
      <c r="AB3"/>
      <c r="AC3"/>
      <c r="AD3"/>
      <c r="AE3"/>
      <c r="AF3"/>
      <c r="AG3"/>
      <c r="AH3"/>
      <c r="AI3"/>
      <c r="AJ3"/>
      <c r="AK3"/>
      <c r="AL3"/>
      <c r="AM3"/>
      <c r="AN3"/>
      <c r="AO3"/>
      <c r="AP3"/>
      <c r="AQ3"/>
      <c r="AR3"/>
      <c r="AS3"/>
      <c r="AT3"/>
      <c r="AU3"/>
      <c r="AV3"/>
      <c r="AW3"/>
      <c r="AX3"/>
      <c r="AY3"/>
      <c r="AZ3"/>
    </row>
    <row r="4" spans="1:52" s="1" customFormat="1" ht="13.5" thickBot="1">
      <c r="O4" s="812"/>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row>
    <row r="5" spans="1:52" s="1" customFormat="1" ht="15.75" thickBot="1">
      <c r="C5" s="2519" t="s">
        <v>195</v>
      </c>
      <c r="D5" s="2520"/>
      <c r="E5" s="2520"/>
      <c r="F5" s="2520"/>
      <c r="G5" s="2520"/>
      <c r="H5" s="2520"/>
      <c r="I5" s="2520"/>
      <c r="J5" s="2520"/>
      <c r="K5" s="2520"/>
      <c r="L5" s="2520"/>
      <c r="M5" s="2520"/>
      <c r="N5" s="2520"/>
      <c r="O5" s="2520"/>
      <c r="P5" s="2676"/>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row>
    <row r="6" spans="1:52" ht="15.75" thickBot="1">
      <c r="C6" s="2677" t="s">
        <v>196</v>
      </c>
      <c r="D6" s="2678"/>
      <c r="E6" s="2678"/>
      <c r="F6" s="2678"/>
      <c r="G6" s="2678"/>
      <c r="H6" s="2678"/>
      <c r="I6" s="2678"/>
      <c r="J6" s="2678"/>
      <c r="K6" s="2678"/>
      <c r="L6" s="2678"/>
      <c r="M6" s="2678"/>
      <c r="N6" s="2678"/>
      <c r="O6" s="2678"/>
      <c r="P6" s="2679"/>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1"/>
      <c r="AQ6" s="1"/>
      <c r="AR6" s="1"/>
      <c r="AS6" s="1"/>
      <c r="AT6" s="1"/>
      <c r="AU6" s="1"/>
      <c r="AV6" s="1"/>
    </row>
    <row r="7" spans="1:52" ht="40.5" customHeight="1" thickBot="1">
      <c r="A7" s="2397" t="s">
        <v>543</v>
      </c>
      <c r="B7" s="2397" t="s">
        <v>544</v>
      </c>
      <c r="C7" s="2397" t="s">
        <v>435</v>
      </c>
      <c r="D7" s="2397" t="s">
        <v>436</v>
      </c>
      <c r="E7" s="2397" t="s">
        <v>497</v>
      </c>
      <c r="F7" s="2397" t="s">
        <v>447</v>
      </c>
      <c r="G7" s="2397" t="s">
        <v>462</v>
      </c>
      <c r="H7" s="2397" t="s">
        <v>437</v>
      </c>
      <c r="I7" s="2397" t="s">
        <v>200</v>
      </c>
      <c r="J7" s="2397" t="s">
        <v>457</v>
      </c>
      <c r="K7" s="2397" t="s">
        <v>341</v>
      </c>
      <c r="L7" s="2397" t="s">
        <v>198</v>
      </c>
      <c r="M7" s="2398"/>
      <c r="N7" s="2397" t="s">
        <v>10</v>
      </c>
      <c r="O7" s="1566" t="s">
        <v>1213</v>
      </c>
      <c r="P7" s="2680" t="s">
        <v>1249</v>
      </c>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1"/>
      <c r="AQ7" s="1"/>
      <c r="AR7" s="1"/>
      <c r="AS7" s="1"/>
      <c r="AT7" s="1"/>
      <c r="AU7" s="1"/>
      <c r="AV7" s="1"/>
    </row>
    <row r="8" spans="1:52" ht="15.75" thickBot="1">
      <c r="A8" s="2397"/>
      <c r="B8" s="2397"/>
      <c r="C8" s="2397"/>
      <c r="D8" s="2397"/>
      <c r="E8" s="2397"/>
      <c r="F8" s="2397"/>
      <c r="G8" s="2397"/>
      <c r="H8" s="2397"/>
      <c r="I8" s="2397"/>
      <c r="J8" s="2397"/>
      <c r="K8" s="2397"/>
      <c r="L8" s="2397" t="s">
        <v>203</v>
      </c>
      <c r="M8" s="2398" t="s">
        <v>232</v>
      </c>
      <c r="N8" s="2397"/>
      <c r="O8" s="2398" t="s">
        <v>232</v>
      </c>
      <c r="P8" s="2681"/>
      <c r="Q8" s="818"/>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1"/>
      <c r="AQ8" s="1"/>
      <c r="AR8" s="1"/>
      <c r="AS8" s="1"/>
      <c r="AT8" s="1"/>
      <c r="AU8" s="1"/>
      <c r="AV8" s="1"/>
    </row>
    <row r="9" spans="1:52" ht="15.75" thickBot="1">
      <c r="A9" s="2489"/>
      <c r="B9" s="2489"/>
      <c r="C9" s="2489"/>
      <c r="D9" s="2489"/>
      <c r="E9" s="2489"/>
      <c r="F9" s="2489"/>
      <c r="G9" s="2489"/>
      <c r="H9" s="2489"/>
      <c r="I9" s="2489"/>
      <c r="J9" s="2489"/>
      <c r="K9" s="2489"/>
      <c r="L9" s="2489"/>
      <c r="M9" s="2418"/>
      <c r="N9" s="2489"/>
      <c r="O9" s="2418"/>
      <c r="P9" s="2682"/>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1"/>
      <c r="AQ9" s="1"/>
      <c r="AR9" s="1"/>
      <c r="AS9" s="1"/>
      <c r="AT9" s="1"/>
      <c r="AU9" s="1"/>
      <c r="AV9" s="1"/>
    </row>
    <row r="10" spans="1:52" ht="38.25" customHeight="1" thickBot="1">
      <c r="A10" s="1052">
        <v>157</v>
      </c>
      <c r="B10" s="1052"/>
      <c r="C10" s="838" t="s">
        <v>6</v>
      </c>
      <c r="D10" s="839"/>
      <c r="E10" s="1206"/>
      <c r="F10" s="839"/>
      <c r="G10" s="1207"/>
      <c r="H10" s="1207" t="s">
        <v>214</v>
      </c>
      <c r="I10" s="1207">
        <v>100</v>
      </c>
      <c r="J10" s="1208">
        <f>+J11+J12+J26</f>
        <v>0</v>
      </c>
      <c r="K10" s="1209"/>
      <c r="L10" s="1210">
        <f>+L11+L12+L26</f>
        <v>332160647.26944</v>
      </c>
      <c r="M10" s="1209">
        <f>+M11+M12+M26</f>
        <v>130096892.75199999</v>
      </c>
      <c r="N10" s="1230">
        <f>+N11+N12+N26</f>
        <v>462257540.41343999</v>
      </c>
      <c r="O10" s="1209">
        <f>+O11+O12+O26</f>
        <v>4662700</v>
      </c>
      <c r="P10" s="1230">
        <f>+O10+N10</f>
        <v>466920240.41343999</v>
      </c>
    </row>
    <row r="11" spans="1:52" ht="25.5">
      <c r="A11" s="1052"/>
      <c r="B11" s="1052">
        <v>104</v>
      </c>
      <c r="C11" s="827" t="s">
        <v>326</v>
      </c>
      <c r="D11" s="829"/>
      <c r="E11" s="1212"/>
      <c r="F11" s="829" t="s">
        <v>463</v>
      </c>
      <c r="G11" s="829"/>
      <c r="H11" s="829" t="s">
        <v>214</v>
      </c>
      <c r="I11" s="829">
        <v>0</v>
      </c>
      <c r="J11" s="829">
        <v>0</v>
      </c>
      <c r="K11" s="1213"/>
      <c r="L11" s="829"/>
      <c r="M11" s="1213"/>
      <c r="N11" s="1270"/>
      <c r="O11" s="1948"/>
      <c r="P11" s="1949"/>
      <c r="Q11" s="813"/>
      <c r="R11"/>
      <c r="S11"/>
      <c r="T11"/>
      <c r="U11"/>
    </row>
    <row r="12" spans="1:52" s="1" customFormat="1" ht="42.75" customHeight="1">
      <c r="A12" s="1052"/>
      <c r="B12" s="1052">
        <v>105</v>
      </c>
      <c r="C12" s="834" t="s">
        <v>327</v>
      </c>
      <c r="D12" s="835"/>
      <c r="E12" s="1214"/>
      <c r="F12" s="835"/>
      <c r="G12" s="799"/>
      <c r="H12" s="799" t="s">
        <v>209</v>
      </c>
      <c r="I12" s="799">
        <v>1</v>
      </c>
      <c r="J12" s="1215"/>
      <c r="K12" s="1216"/>
      <c r="L12" s="1216">
        <f>SUM(L13:L25)</f>
        <v>295898531.26944</v>
      </c>
      <c r="M12" s="1216">
        <f>SUM(M13:M24)</f>
        <v>130096892.75199999</v>
      </c>
      <c r="N12" s="1250">
        <f>SUM(N13:N25)</f>
        <v>425995424.41343999</v>
      </c>
      <c r="O12" s="1226">
        <f>SUM(O13:O24)</f>
        <v>560000</v>
      </c>
      <c r="P12" s="1949">
        <f>SUM(P13:P25)</f>
        <v>426555424.41343999</v>
      </c>
      <c r="Q12" s="813"/>
      <c r="R12"/>
      <c r="S12"/>
      <c r="T12"/>
      <c r="U12"/>
    </row>
    <row r="13" spans="1:52" s="1" customFormat="1" ht="23.25" customHeight="1">
      <c r="C13" s="1517" t="s">
        <v>665</v>
      </c>
      <c r="D13" s="251" t="s">
        <v>235</v>
      </c>
      <c r="E13" s="176">
        <v>83990</v>
      </c>
      <c r="F13" s="176" t="s">
        <v>1239</v>
      </c>
      <c r="G13" s="176" t="s">
        <v>666</v>
      </c>
      <c r="H13" s="254" t="s">
        <v>207</v>
      </c>
      <c r="I13" s="254">
        <v>10</v>
      </c>
      <c r="J13" s="281">
        <f>2706008*1.1</f>
        <v>2976608.8000000003</v>
      </c>
      <c r="K13" s="328">
        <f>+(J13*I13)*1.004</f>
        <v>29885152.352000006</v>
      </c>
      <c r="L13" s="330"/>
      <c r="M13" s="778">
        <f>29885152.352+3586213</f>
        <v>33471365.352000002</v>
      </c>
      <c r="N13" s="1217">
        <f>+M13+L13</f>
        <v>33471365.352000002</v>
      </c>
      <c r="O13" s="778"/>
      <c r="P13" s="1217">
        <f>+O13+N13</f>
        <v>33471365.352000002</v>
      </c>
      <c r="Q13" s="2170"/>
      <c r="R13"/>
      <c r="S13"/>
      <c r="T13"/>
      <c r="U13"/>
    </row>
    <row r="14" spans="1:52" s="1" customFormat="1" ht="38.25" customHeight="1">
      <c r="C14" s="1517" t="s">
        <v>667</v>
      </c>
      <c r="D14" s="810" t="s">
        <v>235</v>
      </c>
      <c r="E14" s="814">
        <v>83990</v>
      </c>
      <c r="F14" s="814" t="s">
        <v>668</v>
      </c>
      <c r="G14" s="814"/>
      <c r="H14" s="811" t="s">
        <v>207</v>
      </c>
      <c r="I14" s="811">
        <v>1</v>
      </c>
      <c r="J14" s="281">
        <f>12717832.6693227*1.1</f>
        <v>13989615.936254971</v>
      </c>
      <c r="K14" s="328">
        <f t="shared" ref="K14:K23" si="0">+(J14*I14)*1.004</f>
        <v>14045574.399999991</v>
      </c>
      <c r="L14" s="589"/>
      <c r="M14" s="778">
        <f>+K14-28555</f>
        <v>14017019.399999991</v>
      </c>
      <c r="N14" s="1217">
        <f t="shared" ref="N14:N25" si="1">+M14+L14</f>
        <v>14017019.399999991</v>
      </c>
      <c r="O14" s="778"/>
      <c r="P14" s="1217">
        <f t="shared" ref="P14:P32" si="2">+O14+N14</f>
        <v>14017019.399999991</v>
      </c>
      <c r="Q14" s="2068"/>
      <c r="R14" s="59"/>
      <c r="S14"/>
      <c r="T14"/>
      <c r="U14"/>
    </row>
    <row r="15" spans="1:52" s="1" customFormat="1" ht="23.25" customHeight="1">
      <c r="C15" s="1517" t="s">
        <v>669</v>
      </c>
      <c r="D15" s="251" t="s">
        <v>235</v>
      </c>
      <c r="E15" s="176">
        <v>83990</v>
      </c>
      <c r="F15" s="814" t="s">
        <v>670</v>
      </c>
      <c r="G15" s="176" t="s">
        <v>666</v>
      </c>
      <c r="H15" s="254" t="s">
        <v>207</v>
      </c>
      <c r="I15" s="254">
        <v>11.5</v>
      </c>
      <c r="J15" s="281">
        <f>4200000*1.12</f>
        <v>4704000</v>
      </c>
      <c r="K15" s="328">
        <f t="shared" si="0"/>
        <v>54312384</v>
      </c>
      <c r="L15" s="589">
        <f>51950976+2361408</f>
        <v>54312384</v>
      </c>
      <c r="M15" s="778"/>
      <c r="N15" s="1217">
        <f t="shared" si="1"/>
        <v>54312384</v>
      </c>
      <c r="O15" s="328"/>
      <c r="P15" s="1217">
        <f t="shared" si="2"/>
        <v>54312384</v>
      </c>
      <c r="Q15" s="813"/>
      <c r="R15"/>
      <c r="S15"/>
      <c r="T15"/>
      <c r="U15"/>
      <c r="V15"/>
      <c r="W15"/>
    </row>
    <row r="16" spans="1:52" s="1" customFormat="1" ht="25.5" customHeight="1">
      <c r="C16" s="1518" t="s">
        <v>671</v>
      </c>
      <c r="D16" s="251" t="s">
        <v>235</v>
      </c>
      <c r="E16" s="176">
        <v>83990</v>
      </c>
      <c r="F16" s="2159" t="s">
        <v>672</v>
      </c>
      <c r="G16" s="2054" t="s">
        <v>673</v>
      </c>
      <c r="H16" s="2054" t="s">
        <v>207</v>
      </c>
      <c r="I16" s="2054">
        <v>10.5</v>
      </c>
      <c r="J16" s="285">
        <f>4308696*1.12</f>
        <v>4825739.5200000005</v>
      </c>
      <c r="K16" s="778">
        <f t="shared" si="0"/>
        <v>50872946.01984001</v>
      </c>
      <c r="L16" s="589"/>
      <c r="M16" s="778">
        <f>48450425+2422521</f>
        <v>50872946</v>
      </c>
      <c r="N16" s="1219">
        <f t="shared" si="1"/>
        <v>50872946</v>
      </c>
      <c r="O16" s="778"/>
      <c r="P16" s="1217">
        <f t="shared" si="2"/>
        <v>50872946</v>
      </c>
      <c r="Q16"/>
      <c r="R16"/>
      <c r="S16"/>
      <c r="T16"/>
      <c r="U16"/>
      <c r="V16"/>
      <c r="W16"/>
    </row>
    <row r="17" spans="1:48" s="1" customFormat="1" ht="51">
      <c r="C17" s="1518" t="s">
        <v>674</v>
      </c>
      <c r="D17" s="810" t="s">
        <v>235</v>
      </c>
      <c r="E17" s="814">
        <v>83990</v>
      </c>
      <c r="F17" s="2159" t="s">
        <v>675</v>
      </c>
      <c r="G17" s="2054" t="s">
        <v>676</v>
      </c>
      <c r="H17" s="2054" t="s">
        <v>207</v>
      </c>
      <c r="I17" s="2054">
        <v>11</v>
      </c>
      <c r="J17" s="286">
        <f>4706100*1.12</f>
        <v>5270832.0000000009</v>
      </c>
      <c r="K17" s="778">
        <f t="shared" si="0"/>
        <v>58211068.60800001</v>
      </c>
      <c r="L17" s="589">
        <f>+K17</f>
        <v>58211068.60800001</v>
      </c>
      <c r="M17" s="778"/>
      <c r="N17" s="1219">
        <v>58211069</v>
      </c>
      <c r="O17" s="778"/>
      <c r="P17" s="1217">
        <f t="shared" si="2"/>
        <v>58211069</v>
      </c>
      <c r="Q17"/>
      <c r="R17"/>
      <c r="S17"/>
      <c r="T17"/>
      <c r="U17"/>
      <c r="V17"/>
      <c r="W17"/>
    </row>
    <row r="18" spans="1:48" s="812" customFormat="1" ht="51">
      <c r="C18" s="1518" t="s">
        <v>677</v>
      </c>
      <c r="D18" s="810" t="s">
        <v>235</v>
      </c>
      <c r="E18" s="814">
        <v>83990</v>
      </c>
      <c r="F18" s="2159" t="s">
        <v>678</v>
      </c>
      <c r="G18" s="2054" t="s">
        <v>1135</v>
      </c>
      <c r="H18" s="2054" t="s">
        <v>207</v>
      </c>
      <c r="I18" s="2054">
        <v>11</v>
      </c>
      <c r="J18" s="286">
        <f>4000000*1.12</f>
        <v>4480000</v>
      </c>
      <c r="K18" s="778">
        <f t="shared" si="0"/>
        <v>49477120</v>
      </c>
      <c r="L18" s="589">
        <f>+K18-M18</f>
        <v>42477120</v>
      </c>
      <c r="M18" s="778">
        <v>7000000</v>
      </c>
      <c r="N18" s="1219">
        <f t="shared" si="1"/>
        <v>49477120</v>
      </c>
      <c r="O18" s="778"/>
      <c r="P18" s="1219">
        <f t="shared" si="2"/>
        <v>49477120</v>
      </c>
      <c r="Q18"/>
      <c r="R18"/>
      <c r="S18"/>
      <c r="T18"/>
      <c r="U18"/>
      <c r="V18"/>
      <c r="W18"/>
    </row>
    <row r="19" spans="1:48" s="812" customFormat="1" ht="31.5" customHeight="1">
      <c r="C19" s="1518" t="s">
        <v>1329</v>
      </c>
      <c r="D19" s="810" t="s">
        <v>235</v>
      </c>
      <c r="E19" s="814">
        <v>83990</v>
      </c>
      <c r="F19" s="2159" t="s">
        <v>1330</v>
      </c>
      <c r="G19" s="2078" t="s">
        <v>676</v>
      </c>
      <c r="H19" s="2078" t="s">
        <v>207</v>
      </c>
      <c r="I19" s="2078">
        <v>7</v>
      </c>
      <c r="J19" s="286">
        <f>2400000*1.12</f>
        <v>2688000.0000000005</v>
      </c>
      <c r="K19" s="778">
        <f t="shared" si="0"/>
        <v>18891264.000000004</v>
      </c>
      <c r="L19" s="589">
        <f>11682000+5576682</f>
        <v>17258682</v>
      </c>
      <c r="M19" s="778">
        <f>549000+95629</f>
        <v>644629</v>
      </c>
      <c r="N19" s="1219">
        <f t="shared" si="1"/>
        <v>17903311</v>
      </c>
      <c r="O19" s="778">
        <v>560000</v>
      </c>
      <c r="P19" s="1219">
        <f>+O19+N19</f>
        <v>18463311</v>
      </c>
      <c r="Q19"/>
      <c r="R19"/>
      <c r="S19"/>
      <c r="T19"/>
      <c r="U19"/>
      <c r="V19" s="813"/>
      <c r="W19" s="813"/>
    </row>
    <row r="20" spans="1:48" s="1" customFormat="1" ht="51">
      <c r="C20" s="1518" t="s">
        <v>679</v>
      </c>
      <c r="D20" s="810" t="s">
        <v>235</v>
      </c>
      <c r="E20" s="814">
        <v>83990</v>
      </c>
      <c r="F20" s="2159" t="s">
        <v>680</v>
      </c>
      <c r="G20" s="2054" t="s">
        <v>676</v>
      </c>
      <c r="H20" s="2054" t="s">
        <v>207</v>
      </c>
      <c r="I20" s="2054">
        <v>5.5</v>
      </c>
      <c r="J20" s="286">
        <f>4706100*1.12</f>
        <v>5270832.0000000009</v>
      </c>
      <c r="K20" s="778">
        <f t="shared" si="0"/>
        <v>29105534.304000005</v>
      </c>
      <c r="L20" s="589">
        <f>+K20</f>
        <v>29105534.304000005</v>
      </c>
      <c r="M20" s="778"/>
      <c r="N20" s="1219">
        <f t="shared" si="1"/>
        <v>29105534.304000005</v>
      </c>
      <c r="O20" s="778"/>
      <c r="P20" s="1219">
        <f t="shared" si="2"/>
        <v>29105534.304000005</v>
      </c>
      <c r="Q20"/>
      <c r="R20"/>
      <c r="S20"/>
      <c r="T20"/>
      <c r="U20"/>
      <c r="V20"/>
      <c r="W20"/>
    </row>
    <row r="21" spans="1:48" s="1" customFormat="1" ht="51">
      <c r="C21" s="1518" t="s">
        <v>681</v>
      </c>
      <c r="D21" s="810" t="s">
        <v>235</v>
      </c>
      <c r="E21" s="814">
        <v>83990</v>
      </c>
      <c r="F21" s="2159" t="s">
        <v>743</v>
      </c>
      <c r="G21" s="2054" t="s">
        <v>676</v>
      </c>
      <c r="H21" s="2054" t="s">
        <v>207</v>
      </c>
      <c r="I21" s="2054">
        <v>3</v>
      </c>
      <c r="J21" s="286">
        <f>6000000*1.12</f>
        <v>6720000.0000000009</v>
      </c>
      <c r="K21" s="778">
        <f>+(J21*I21)*1.004</f>
        <v>20240640.000000004</v>
      </c>
      <c r="L21" s="589">
        <v>20240640.000000004</v>
      </c>
      <c r="M21" s="778"/>
      <c r="N21" s="1219">
        <f t="shared" si="1"/>
        <v>20240640.000000004</v>
      </c>
      <c r="O21" s="778"/>
      <c r="P21" s="1219">
        <f t="shared" si="2"/>
        <v>20240640.000000004</v>
      </c>
      <c r="Q21" s="59"/>
      <c r="R21"/>
      <c r="S21"/>
      <c r="T21"/>
      <c r="U21"/>
      <c r="V21"/>
      <c r="W21"/>
    </row>
    <row r="22" spans="1:48" ht="51">
      <c r="C22" s="1518" t="s">
        <v>682</v>
      </c>
      <c r="D22" s="810" t="s">
        <v>235</v>
      </c>
      <c r="E22" s="814">
        <v>83990</v>
      </c>
      <c r="F22" s="2159" t="s">
        <v>683</v>
      </c>
      <c r="G22" s="2054" t="s">
        <v>676</v>
      </c>
      <c r="H22" s="2054" t="s">
        <v>207</v>
      </c>
      <c r="I22" s="2054">
        <v>5.5</v>
      </c>
      <c r="J22" s="286">
        <f>8000000*1.07</f>
        <v>8560000</v>
      </c>
      <c r="K22" s="778">
        <f t="shared" si="0"/>
        <v>47268320</v>
      </c>
      <c r="L22" s="589">
        <f>5687387+20080000</f>
        <v>25767387</v>
      </c>
      <c r="M22" s="778">
        <f>+K22-5687387-20080000</f>
        <v>21500933</v>
      </c>
      <c r="N22" s="1219">
        <f t="shared" si="1"/>
        <v>47268320</v>
      </c>
      <c r="O22" s="778"/>
      <c r="P22" s="1217">
        <f t="shared" si="2"/>
        <v>47268320</v>
      </c>
      <c r="Q22"/>
      <c r="R22"/>
      <c r="S22"/>
      <c r="T22"/>
      <c r="U22"/>
      <c r="V22"/>
      <c r="W22"/>
    </row>
    <row r="23" spans="1:48" s="510" customFormat="1" ht="29.25" customHeight="1">
      <c r="C23" s="1518" t="s">
        <v>684</v>
      </c>
      <c r="D23" s="810" t="s">
        <v>235</v>
      </c>
      <c r="E23" s="814">
        <v>83990</v>
      </c>
      <c r="F23" s="2159" t="s">
        <v>685</v>
      </c>
      <c r="G23" s="2054"/>
      <c r="H23" s="2054"/>
      <c r="I23" s="2054">
        <v>4</v>
      </c>
      <c r="J23" s="286">
        <f>2142857*1.12</f>
        <v>2399999.8400000003</v>
      </c>
      <c r="K23" s="778">
        <f t="shared" si="0"/>
        <v>9638399.3574400004</v>
      </c>
      <c r="L23" s="589">
        <f>9638399.35744+652601</f>
        <v>10291000.35744</v>
      </c>
      <c r="M23" s="778"/>
      <c r="N23" s="1219">
        <f t="shared" si="1"/>
        <v>10291000.35744</v>
      </c>
      <c r="O23" s="778"/>
      <c r="P23" s="1217">
        <f t="shared" si="2"/>
        <v>10291000.35744</v>
      </c>
      <c r="Q23"/>
      <c r="R23"/>
      <c r="S23"/>
      <c r="T23"/>
      <c r="U23"/>
      <c r="V23"/>
      <c r="W23"/>
    </row>
    <row r="24" spans="1:48" s="510" customFormat="1" ht="21.75" customHeight="1">
      <c r="C24" s="1518" t="s">
        <v>1349</v>
      </c>
      <c r="D24" s="810" t="s">
        <v>235</v>
      </c>
      <c r="E24" s="814">
        <v>83990</v>
      </c>
      <c r="F24" s="2159" t="s">
        <v>1351</v>
      </c>
      <c r="G24" s="2148" t="s">
        <v>711</v>
      </c>
      <c r="H24" s="2148"/>
      <c r="I24" s="2148">
        <v>6</v>
      </c>
      <c r="J24" s="286"/>
      <c r="K24" s="778"/>
      <c r="L24" s="589">
        <f>130000000+42297+2190740-5576682-88421640</f>
        <v>38234715</v>
      </c>
      <c r="M24" s="286">
        <v>2590000</v>
      </c>
      <c r="N24" s="1219">
        <f t="shared" si="1"/>
        <v>40824715</v>
      </c>
      <c r="O24" s="778"/>
      <c r="P24" s="1217">
        <f t="shared" si="2"/>
        <v>40824715</v>
      </c>
      <c r="Q24"/>
      <c r="R24"/>
      <c r="S24"/>
      <c r="T24"/>
      <c r="U24"/>
      <c r="V24"/>
      <c r="W24"/>
    </row>
    <row r="25" spans="1:48" s="510" customFormat="1" ht="29.25" customHeight="1">
      <c r="C25" s="1218" t="s">
        <v>1350</v>
      </c>
      <c r="D25" s="810" t="s">
        <v>235</v>
      </c>
      <c r="E25" s="814">
        <v>83990</v>
      </c>
      <c r="F25" s="2148"/>
      <c r="G25" s="2148"/>
      <c r="H25" s="2148"/>
      <c r="I25" s="2148"/>
      <c r="J25" s="286"/>
      <c r="K25" s="778"/>
      <c r="L25" s="589">
        <f>88421640-14457600-3012000-70729190-222850</f>
        <v>0</v>
      </c>
      <c r="M25" s="286"/>
      <c r="N25" s="1219">
        <f t="shared" si="1"/>
        <v>0</v>
      </c>
      <c r="O25" s="778"/>
      <c r="P25" s="1217">
        <f t="shared" si="2"/>
        <v>0</v>
      </c>
      <c r="Q25"/>
      <c r="R25"/>
      <c r="S25"/>
      <c r="T25"/>
      <c r="U25"/>
      <c r="V25"/>
      <c r="W25"/>
    </row>
    <row r="26" spans="1:48" s="1" customFormat="1" ht="38.25">
      <c r="A26" s="1052"/>
      <c r="B26" s="1052">
        <v>106</v>
      </c>
      <c r="C26" s="834" t="s">
        <v>328</v>
      </c>
      <c r="D26" s="835"/>
      <c r="E26" s="799"/>
      <c r="F26" s="835"/>
      <c r="G26" s="799"/>
      <c r="H26" s="799" t="s">
        <v>209</v>
      </c>
      <c r="I26" s="799">
        <v>1</v>
      </c>
      <c r="J26" s="1215"/>
      <c r="K26" s="1216"/>
      <c r="L26" s="1220">
        <f>SUM(L27:L32)</f>
        <v>36262116</v>
      </c>
      <c r="M26" s="1220">
        <f>SUM(M27:M32)</f>
        <v>0</v>
      </c>
      <c r="N26" s="1250">
        <f>SUM(N27:N32)</f>
        <v>36262116</v>
      </c>
      <c r="O26" s="1220">
        <f>SUM(O27:O32)</f>
        <v>4102700</v>
      </c>
      <c r="P26" s="1250">
        <f>SUM(P27:P32)</f>
        <v>40364816</v>
      </c>
      <c r="Q26"/>
      <c r="R26"/>
      <c r="S26"/>
      <c r="T26"/>
      <c r="U26"/>
      <c r="V26"/>
      <c r="W26"/>
    </row>
    <row r="27" spans="1:48" s="812" customFormat="1" ht="38.25" customHeight="1">
      <c r="C27" s="1218" t="s">
        <v>686</v>
      </c>
      <c r="D27" s="811" t="s">
        <v>235</v>
      </c>
      <c r="E27" s="810">
        <v>83990</v>
      </c>
      <c r="F27" s="833"/>
      <c r="G27" s="811" t="s">
        <v>687</v>
      </c>
      <c r="H27" s="811" t="s">
        <v>688</v>
      </c>
      <c r="I27" s="811">
        <v>1</v>
      </c>
      <c r="J27" s="285">
        <f>+(8300000+2150000)</f>
        <v>10450000</v>
      </c>
      <c r="K27" s="286">
        <f>+J27*I27*1.004</f>
        <v>10491800</v>
      </c>
      <c r="L27" s="285">
        <f>10491800+1720500</f>
        <v>12212300</v>
      </c>
      <c r="M27" s="286"/>
      <c r="N27" s="1221">
        <f t="shared" ref="N27:N32" si="3">+M27+L27</f>
        <v>12212300</v>
      </c>
      <c r="O27" s="286">
        <v>4102700</v>
      </c>
      <c r="P27" s="2166">
        <f t="shared" si="2"/>
        <v>16315000</v>
      </c>
      <c r="Q27"/>
      <c r="R27"/>
      <c r="S27"/>
      <c r="T27"/>
      <c r="U27"/>
      <c r="V27"/>
      <c r="W27"/>
    </row>
    <row r="28" spans="1:48" s="812" customFormat="1" ht="25.5" customHeight="1">
      <c r="C28" s="1518" t="s">
        <v>689</v>
      </c>
      <c r="D28" s="810" t="s">
        <v>235</v>
      </c>
      <c r="E28" s="810">
        <v>83990</v>
      </c>
      <c r="F28" s="815" t="s">
        <v>690</v>
      </c>
      <c r="G28" s="810" t="s">
        <v>673</v>
      </c>
      <c r="H28" s="811" t="s">
        <v>207</v>
      </c>
      <c r="I28" s="811">
        <v>4</v>
      </c>
      <c r="J28" s="281">
        <f>2000000*1.12</f>
        <v>2240000</v>
      </c>
      <c r="K28" s="286">
        <f>+J28*I28*1.004</f>
        <v>8995840</v>
      </c>
      <c r="L28" s="1222">
        <f>+K28</f>
        <v>8995840</v>
      </c>
      <c r="M28" s="1266"/>
      <c r="N28" s="1221">
        <f t="shared" si="3"/>
        <v>8995840</v>
      </c>
      <c r="O28" s="1266"/>
      <c r="P28" s="1219">
        <f t="shared" si="2"/>
        <v>8995840</v>
      </c>
      <c r="Q28"/>
      <c r="R28"/>
      <c r="S28"/>
      <c r="T28"/>
      <c r="U28"/>
      <c r="V28"/>
      <c r="W28"/>
    </row>
    <row r="29" spans="1:48" s="510" customFormat="1" ht="25.5">
      <c r="C29" s="1218" t="s">
        <v>691</v>
      </c>
      <c r="D29" s="810" t="s">
        <v>235</v>
      </c>
      <c r="E29" s="810">
        <v>83990</v>
      </c>
      <c r="F29" s="815"/>
      <c r="G29" s="814" t="s">
        <v>692</v>
      </c>
      <c r="H29" s="811" t="s">
        <v>693</v>
      </c>
      <c r="I29" s="811">
        <v>1</v>
      </c>
      <c r="J29" s="286">
        <v>7765940</v>
      </c>
      <c r="K29" s="286">
        <v>7765940</v>
      </c>
      <c r="L29" s="1959">
        <f>7765940-7765940</f>
        <v>0</v>
      </c>
      <c r="M29" s="1267"/>
      <c r="N29" s="1221">
        <f t="shared" si="3"/>
        <v>0</v>
      </c>
      <c r="O29" s="1267"/>
      <c r="P29" s="1219">
        <f t="shared" si="2"/>
        <v>0</v>
      </c>
      <c r="Q29"/>
      <c r="R29"/>
      <c r="S29"/>
      <c r="T29"/>
      <c r="U29"/>
      <c r="AU29" s="1223"/>
      <c r="AV29" s="878"/>
    </row>
    <row r="30" spans="1:48" s="510" customFormat="1" ht="25.5">
      <c r="C30" s="1218" t="s">
        <v>1379</v>
      </c>
      <c r="D30" s="810" t="s">
        <v>235</v>
      </c>
      <c r="E30" s="810">
        <v>83990</v>
      </c>
      <c r="F30" s="815"/>
      <c r="G30" s="814"/>
      <c r="H30" s="2171"/>
      <c r="I30" s="2171"/>
      <c r="J30" s="286"/>
      <c r="K30" s="286"/>
      <c r="L30" s="1959">
        <f>4337280-4337280</f>
        <v>0</v>
      </c>
      <c r="M30" s="1267"/>
      <c r="N30" s="1221">
        <f t="shared" si="3"/>
        <v>0</v>
      </c>
      <c r="O30" s="1267"/>
      <c r="P30" s="1217">
        <f t="shared" si="2"/>
        <v>0</v>
      </c>
      <c r="Q30"/>
      <c r="R30"/>
      <c r="S30"/>
      <c r="T30"/>
      <c r="U30"/>
      <c r="AU30" s="1223"/>
      <c r="AV30" s="878"/>
    </row>
    <row r="31" spans="1:48" s="510" customFormat="1">
      <c r="C31" s="1518" t="s">
        <v>694</v>
      </c>
      <c r="D31" s="810" t="s">
        <v>235</v>
      </c>
      <c r="E31" s="810">
        <v>83990</v>
      </c>
      <c r="F31" s="815"/>
      <c r="G31" s="814" t="s">
        <v>695</v>
      </c>
      <c r="H31" s="2171" t="s">
        <v>688</v>
      </c>
      <c r="I31" s="2171">
        <v>1</v>
      </c>
      <c r="J31" s="285">
        <v>10692150</v>
      </c>
      <c r="K31" s="286">
        <f>+J31*I31*1.004</f>
        <v>10734918.6</v>
      </c>
      <c r="L31" s="2227">
        <f>10734919+4765940-446883</f>
        <v>15053976</v>
      </c>
      <c r="M31" s="1266"/>
      <c r="N31" s="1221">
        <f t="shared" si="3"/>
        <v>15053976</v>
      </c>
      <c r="O31" s="1266"/>
      <c r="P31" s="1217">
        <f t="shared" si="2"/>
        <v>15053976</v>
      </c>
      <c r="Q31"/>
      <c r="R31"/>
      <c r="U31"/>
      <c r="AP31" s="1224"/>
      <c r="AQ31" s="1224"/>
      <c r="AR31" s="1224"/>
      <c r="AS31" s="1224"/>
      <c r="AT31" s="1224"/>
      <c r="AV31" s="878"/>
    </row>
    <row r="32" spans="1:48" s="510" customFormat="1" ht="25.5" customHeight="1" thickBot="1">
      <c r="C32" s="2175" t="s">
        <v>1136</v>
      </c>
      <c r="D32" s="810" t="s">
        <v>235</v>
      </c>
      <c r="E32" s="810">
        <v>83990</v>
      </c>
      <c r="F32" s="1248"/>
      <c r="G32" s="2168"/>
      <c r="H32" s="2172"/>
      <c r="I32" s="2172"/>
      <c r="J32" s="2169"/>
      <c r="K32" s="2169"/>
      <c r="L32" s="2200">
        <f>222850+2268737+15054330+151786-(222850+2268737+15054330+151786)</f>
        <v>0</v>
      </c>
      <c r="M32" s="2201">
        <f>28555-28555</f>
        <v>0</v>
      </c>
      <c r="N32" s="1221">
        <f t="shared" si="3"/>
        <v>0</v>
      </c>
      <c r="O32" s="2201">
        <f>10035-10035</f>
        <v>0</v>
      </c>
      <c r="P32" s="1217">
        <f t="shared" si="2"/>
        <v>0</v>
      </c>
      <c r="Q32"/>
      <c r="R32" s="2064"/>
      <c r="S32"/>
      <c r="T32"/>
      <c r="U32"/>
      <c r="AP32" s="1224"/>
      <c r="AQ32" s="1224"/>
      <c r="AR32" s="1224"/>
      <c r="AS32" s="1224"/>
      <c r="AT32" s="1224"/>
      <c r="AV32" s="878"/>
    </row>
    <row r="33" spans="1:47" s="1" customFormat="1" ht="26.25" thickBot="1">
      <c r="A33" s="1052">
        <v>158</v>
      </c>
      <c r="B33" s="1052"/>
      <c r="C33" s="838" t="s">
        <v>7</v>
      </c>
      <c r="D33" s="839"/>
      <c r="E33" s="1207"/>
      <c r="F33" s="839"/>
      <c r="G33" s="839"/>
      <c r="H33" s="1207" t="s">
        <v>214</v>
      </c>
      <c r="I33" s="1207">
        <v>100</v>
      </c>
      <c r="J33" s="1208"/>
      <c r="K33" s="1209"/>
      <c r="L33" s="1210">
        <f>+L34</f>
        <v>0</v>
      </c>
      <c r="M33" s="1209">
        <f>+M34</f>
        <v>23614080</v>
      </c>
      <c r="N33" s="1230">
        <f>+N34</f>
        <v>23614080</v>
      </c>
      <c r="O33" s="1209">
        <f>+O34</f>
        <v>0</v>
      </c>
      <c r="P33" s="1230">
        <f>+O33+N33</f>
        <v>23614080</v>
      </c>
      <c r="Q33"/>
      <c r="R33"/>
      <c r="S33"/>
      <c r="T33"/>
      <c r="U33"/>
      <c r="AP33" s="809"/>
      <c r="AQ33" s="809"/>
      <c r="AR33" s="809"/>
      <c r="AS33" s="809"/>
      <c r="AT33" s="809"/>
      <c r="AU33" s="812"/>
    </row>
    <row r="34" spans="1:47" s="1" customFormat="1" ht="25.5">
      <c r="A34" s="1052"/>
      <c r="B34" s="1052">
        <v>107</v>
      </c>
      <c r="C34" s="827" t="s">
        <v>506</v>
      </c>
      <c r="D34" s="828"/>
      <c r="E34" s="829"/>
      <c r="F34" s="828"/>
      <c r="G34" s="828"/>
      <c r="H34" s="829" t="s">
        <v>209</v>
      </c>
      <c r="I34" s="829">
        <v>1</v>
      </c>
      <c r="J34" s="1225"/>
      <c r="K34" s="1226"/>
      <c r="L34" s="1227">
        <f>SUM(L35:L35)</f>
        <v>0</v>
      </c>
      <c r="M34" s="1226">
        <f>SUM(M35:M35)</f>
        <v>23614080</v>
      </c>
      <c r="N34" s="1228">
        <f>SUM(N35:N35)</f>
        <v>23614080</v>
      </c>
      <c r="O34" s="1226">
        <f>SUM(O35:O35)</f>
        <v>0</v>
      </c>
      <c r="P34" s="1228">
        <f>SUM(P35:P35)</f>
        <v>23614080</v>
      </c>
      <c r="Q34"/>
      <c r="R34"/>
      <c r="S34"/>
      <c r="T34"/>
      <c r="U34"/>
      <c r="AP34" s="812"/>
      <c r="AQ34" s="812"/>
      <c r="AR34" s="812"/>
      <c r="AS34" s="812"/>
      <c r="AT34" s="812"/>
      <c r="AU34" s="812"/>
    </row>
    <row r="35" spans="1:47" ht="24" customHeight="1" thickBot="1">
      <c r="C35" s="1517" t="s">
        <v>696</v>
      </c>
      <c r="D35" s="810" t="s">
        <v>235</v>
      </c>
      <c r="E35" s="814">
        <v>83990</v>
      </c>
      <c r="F35" s="175" t="s">
        <v>1368</v>
      </c>
      <c r="G35" s="175"/>
      <c r="H35" s="811"/>
      <c r="I35" s="811">
        <v>10.5</v>
      </c>
      <c r="J35" s="281">
        <f>2000000*1.12</f>
        <v>2240000</v>
      </c>
      <c r="K35" s="329">
        <f>+J35*I35*1.004</f>
        <v>23614080</v>
      </c>
      <c r="L35" s="331"/>
      <c r="M35" s="1268">
        <f>+K35</f>
        <v>23614080</v>
      </c>
      <c r="N35" s="1221">
        <f>+M35+L35</f>
        <v>23614080</v>
      </c>
      <c r="O35" s="1268"/>
      <c r="P35" s="1217">
        <f t="shared" ref="P35" si="4">+O35+N35</f>
        <v>23614080</v>
      </c>
      <c r="Q35" s="1945"/>
      <c r="R35" s="1"/>
      <c r="S35"/>
      <c r="T35"/>
      <c r="U35"/>
      <c r="V35" s="780"/>
      <c r="W35" s="780"/>
      <c r="X35" s="780"/>
      <c r="Y35" s="780"/>
      <c r="Z35" s="780"/>
      <c r="AA35" s="780"/>
      <c r="AB35" s="780"/>
      <c r="AC35" s="780"/>
      <c r="AD35" s="780"/>
      <c r="AE35" s="780"/>
      <c r="AF35" s="780"/>
      <c r="AG35" s="780"/>
      <c r="AH35" s="780"/>
      <c r="AI35" s="780"/>
      <c r="AJ35" s="780"/>
      <c r="AK35" s="780"/>
      <c r="AL35" s="780"/>
      <c r="AM35" s="780"/>
      <c r="AN35" s="780"/>
      <c r="AO35" s="780"/>
      <c r="AP35" s="510"/>
      <c r="AQ35" s="510"/>
      <c r="AR35" s="510"/>
      <c r="AS35" s="510"/>
      <c r="AT35" s="510"/>
      <c r="AU35" s="510"/>
    </row>
    <row r="36" spans="1:47" s="1" customFormat="1" ht="39" thickBot="1">
      <c r="A36" s="1052">
        <v>159</v>
      </c>
      <c r="B36" s="1052"/>
      <c r="C36" s="838" t="s">
        <v>8</v>
      </c>
      <c r="D36" s="839"/>
      <c r="E36" s="1207"/>
      <c r="F36" s="839"/>
      <c r="G36" s="839"/>
      <c r="H36" s="1207" t="s">
        <v>214</v>
      </c>
      <c r="I36" s="1207">
        <v>100</v>
      </c>
      <c r="J36" s="1208">
        <f>+J37+J40</f>
        <v>315202910.0893333</v>
      </c>
      <c r="K36" s="1209"/>
      <c r="L36" s="1210">
        <f>+L37+L40</f>
        <v>544196217.42655993</v>
      </c>
      <c r="M36" s="1209">
        <f>+M37+M40</f>
        <v>122227331</v>
      </c>
      <c r="N36" s="1230">
        <f>+N37+N40</f>
        <v>666423548.42655993</v>
      </c>
      <c r="O36" s="1209">
        <f>+O37+O40</f>
        <v>82635813</v>
      </c>
      <c r="P36" s="1209">
        <f>+O36+N36</f>
        <v>749059361.42655993</v>
      </c>
      <c r="Q36" s="510"/>
      <c r="R36" s="895"/>
      <c r="S36" s="1497"/>
      <c r="AP36" s="895"/>
      <c r="AQ36" s="895"/>
      <c r="AR36" s="895"/>
      <c r="AS36" s="895"/>
      <c r="AT36" s="895"/>
    </row>
    <row r="37" spans="1:47" s="1" customFormat="1" ht="36" customHeight="1">
      <c r="A37" s="1052"/>
      <c r="B37" s="1052">
        <v>108</v>
      </c>
      <c r="C37" s="827" t="s">
        <v>330</v>
      </c>
      <c r="D37" s="828"/>
      <c r="E37" s="829"/>
      <c r="F37" s="828"/>
      <c r="G37" s="828"/>
      <c r="H37" s="829" t="s">
        <v>210</v>
      </c>
      <c r="I37" s="829">
        <v>1</v>
      </c>
      <c r="J37" s="1226">
        <v>190840320</v>
      </c>
      <c r="K37" s="1226">
        <v>190840320</v>
      </c>
      <c r="L37" s="1226">
        <f>SUM(L38:L39)</f>
        <v>174936960</v>
      </c>
      <c r="M37" s="1226">
        <f>SUM(M38:M39)</f>
        <v>47710080</v>
      </c>
      <c r="N37" s="1228">
        <f>SUM(N38:N39)</f>
        <v>222647040</v>
      </c>
      <c r="O37" s="1226">
        <f>SUM(O38:O39)</f>
        <v>0</v>
      </c>
      <c r="P37" s="1228">
        <f>+SUM(P38:P39)</f>
        <v>222647040</v>
      </c>
      <c r="Q37" s="812"/>
      <c r="R37"/>
      <c r="S37" s="895"/>
      <c r="T37" s="895"/>
      <c r="U37" s="895"/>
      <c r="V37" s="895"/>
      <c r="W37" s="895"/>
      <c r="X37" s="895"/>
      <c r="Y37" s="895"/>
      <c r="Z37" s="895"/>
      <c r="AA37" s="895"/>
      <c r="AB37" s="895"/>
      <c r="AC37" s="895"/>
      <c r="AD37" s="895"/>
      <c r="AE37" s="895"/>
      <c r="AF37" s="895"/>
      <c r="AG37" s="895"/>
      <c r="AH37" s="895"/>
      <c r="AI37" s="895"/>
      <c r="AJ37" s="895"/>
      <c r="AK37" s="895"/>
      <c r="AL37" s="895"/>
      <c r="AM37" s="895"/>
      <c r="AN37" s="895"/>
      <c r="AO37" s="895"/>
      <c r="AP37" s="896"/>
      <c r="AQ37" s="896"/>
      <c r="AR37" s="896"/>
      <c r="AS37" s="896"/>
      <c r="AT37" s="896"/>
    </row>
    <row r="38" spans="1:47" s="510" customFormat="1" ht="36.75" customHeight="1">
      <c r="C38" s="1517" t="s">
        <v>697</v>
      </c>
      <c r="D38" s="810"/>
      <c r="E38" s="814"/>
      <c r="F38" s="815"/>
      <c r="G38" s="815"/>
      <c r="H38" s="811"/>
      <c r="I38" s="811">
        <v>12</v>
      </c>
      <c r="J38" s="281">
        <v>15840000</v>
      </c>
      <c r="K38" s="268">
        <f>15840000*1.004*12</f>
        <v>190840320</v>
      </c>
      <c r="L38" s="1289">
        <v>143130240</v>
      </c>
      <c r="M38" s="1290">
        <v>47710080</v>
      </c>
      <c r="N38" s="1221">
        <f>+M38+L38</f>
        <v>190840320</v>
      </c>
      <c r="O38" s="1290"/>
      <c r="P38" s="1217">
        <f t="shared" ref="P38:P39" si="5">+O38+N38</f>
        <v>190840320</v>
      </c>
      <c r="Q38" s="812"/>
      <c r="R38"/>
      <c r="S38"/>
      <c r="T38"/>
      <c r="U38" s="809"/>
      <c r="V38" s="809"/>
      <c r="W38" s="809"/>
      <c r="X38" s="809"/>
      <c r="Y38" s="809"/>
      <c r="Z38" s="809"/>
      <c r="AA38" s="809"/>
      <c r="AB38" s="809"/>
      <c r="AC38" s="809"/>
      <c r="AD38" s="809"/>
      <c r="AE38" s="809"/>
      <c r="AF38" s="809"/>
      <c r="AG38" s="809"/>
      <c r="AH38" s="809"/>
      <c r="AI38" s="809"/>
      <c r="AJ38" s="809"/>
      <c r="AK38" s="809"/>
      <c r="AL38" s="809"/>
      <c r="AM38" s="809"/>
      <c r="AN38" s="809"/>
      <c r="AO38" s="809"/>
      <c r="AP38" s="1223"/>
      <c r="AQ38" s="1223"/>
      <c r="AR38" s="1223"/>
      <c r="AS38" s="1223"/>
      <c r="AT38" s="1223"/>
    </row>
    <row r="39" spans="1:47" s="510" customFormat="1" ht="25.5">
      <c r="C39" s="565" t="s">
        <v>1240</v>
      </c>
      <c r="D39" s="810"/>
      <c r="E39" s="814"/>
      <c r="F39" s="815"/>
      <c r="G39" s="815"/>
      <c r="H39" s="1577"/>
      <c r="I39" s="1577"/>
      <c r="J39" s="281"/>
      <c r="K39" s="268"/>
      <c r="L39" s="1289">
        <v>31806720</v>
      </c>
      <c r="M39" s="1290"/>
      <c r="N39" s="1221">
        <f>+M39+L39</f>
        <v>31806720</v>
      </c>
      <c r="O39" s="1290"/>
      <c r="P39" s="1217">
        <f t="shared" si="5"/>
        <v>31806720</v>
      </c>
      <c r="R39"/>
      <c r="S39"/>
      <c r="T39"/>
      <c r="U39" s="809"/>
      <c r="V39" s="809"/>
      <c r="W39" s="809"/>
      <c r="X39" s="809"/>
      <c r="Y39" s="809"/>
      <c r="Z39" s="809"/>
      <c r="AA39" s="809"/>
      <c r="AB39" s="809"/>
      <c r="AC39" s="809"/>
      <c r="AD39" s="809"/>
      <c r="AE39" s="809"/>
      <c r="AF39" s="809"/>
      <c r="AG39" s="809"/>
      <c r="AH39" s="809"/>
      <c r="AI39" s="809"/>
      <c r="AJ39" s="809"/>
      <c r="AK39" s="809"/>
      <c r="AL39" s="809"/>
      <c r="AM39" s="809"/>
      <c r="AN39" s="809"/>
      <c r="AO39" s="809"/>
      <c r="AP39" s="1223"/>
      <c r="AQ39" s="1223"/>
      <c r="AR39" s="1223"/>
      <c r="AS39" s="1223"/>
      <c r="AT39" s="1223"/>
    </row>
    <row r="40" spans="1:47" ht="25.5">
      <c r="A40" s="1052"/>
      <c r="B40" s="1052">
        <v>109</v>
      </c>
      <c r="C40" s="834" t="s">
        <v>1331</v>
      </c>
      <c r="D40" s="835"/>
      <c r="E40" s="799"/>
      <c r="F40" s="835"/>
      <c r="G40" s="835"/>
      <c r="H40" s="799" t="s">
        <v>209</v>
      </c>
      <c r="I40" s="799">
        <v>1</v>
      </c>
      <c r="J40" s="1215">
        <f>SUM(J42:J50)</f>
        <v>124362590.08933333</v>
      </c>
      <c r="K40" s="1220">
        <f t="shared" ref="K40:O40" si="6">SUM(K41:K51)</f>
        <v>73873426</v>
      </c>
      <c r="L40" s="1220">
        <f>SUM(L41:L52)</f>
        <v>369259257.42655993</v>
      </c>
      <c r="M40" s="1216">
        <f t="shared" si="6"/>
        <v>74517251</v>
      </c>
      <c r="N40" s="1250">
        <f>SUM(N41:N52)</f>
        <v>443776508.42655993</v>
      </c>
      <c r="O40" s="1216">
        <f t="shared" si="6"/>
        <v>82635813</v>
      </c>
      <c r="P40" s="1250">
        <f>SUM(P41:P52)</f>
        <v>526412321.42655993</v>
      </c>
      <c r="Q40"/>
      <c r="R40"/>
      <c r="S40"/>
      <c r="T40"/>
      <c r="U40" s="1231"/>
      <c r="V40" s="1231"/>
      <c r="W40" s="1231"/>
      <c r="X40" s="1231"/>
      <c r="Y40" s="1231"/>
      <c r="Z40" s="1231"/>
      <c r="AA40" s="1231"/>
      <c r="AB40" s="1231"/>
      <c r="AC40" s="1231"/>
      <c r="AD40" s="1231"/>
      <c r="AE40" s="1231"/>
      <c r="AF40" s="1231"/>
      <c r="AG40" s="1231"/>
      <c r="AH40" s="1231"/>
      <c r="AI40" s="1231"/>
      <c r="AJ40" s="1231"/>
      <c r="AK40" s="1231"/>
      <c r="AL40" s="1231"/>
      <c r="AM40" s="1231"/>
      <c r="AN40" s="1231"/>
      <c r="AO40" s="1231"/>
      <c r="AP40" s="1232"/>
      <c r="AQ40" s="1232"/>
      <c r="AR40" s="1232"/>
      <c r="AS40" s="1232"/>
      <c r="AT40" s="1232"/>
      <c r="AU40" s="1233"/>
    </row>
    <row r="41" spans="1:47" s="510" customFormat="1">
      <c r="A41" s="1446"/>
      <c r="B41" s="1446"/>
      <c r="C41" s="1517" t="s">
        <v>1130</v>
      </c>
      <c r="D41" s="810" t="s">
        <v>702</v>
      </c>
      <c r="E41" s="811">
        <v>84342</v>
      </c>
      <c r="F41" s="833"/>
      <c r="G41" s="833"/>
      <c r="H41" s="811"/>
      <c r="I41" s="811"/>
      <c r="J41" s="281"/>
      <c r="K41" s="1447"/>
      <c r="L41" s="1515">
        <f>35000000+7000000+14000000+19194495+5338064</f>
        <v>80532559</v>
      </c>
      <c r="M41" s="1447"/>
      <c r="N41" s="1229">
        <f>+SUM(L41:M41)</f>
        <v>80532559</v>
      </c>
      <c r="O41" s="1447"/>
      <c r="P41" s="1219">
        <f t="shared" ref="P41:P52" si="7">+O41+N41</f>
        <v>80532559</v>
      </c>
      <c r="Q41"/>
      <c r="R41"/>
      <c r="S41"/>
      <c r="T41"/>
      <c r="U41"/>
      <c r="V41"/>
      <c r="W41"/>
      <c r="X41"/>
      <c r="Y41"/>
      <c r="Z41" s="1448"/>
      <c r="AA41" s="1448"/>
      <c r="AB41" s="1448"/>
      <c r="AC41" s="1448"/>
      <c r="AD41" s="1448"/>
      <c r="AE41" s="1448"/>
      <c r="AF41" s="1448"/>
      <c r="AG41" s="1448"/>
      <c r="AH41" s="1448"/>
      <c r="AI41" s="1448"/>
      <c r="AJ41" s="1448"/>
      <c r="AK41" s="1448"/>
      <c r="AL41" s="1448"/>
      <c r="AM41" s="1448"/>
      <c r="AN41" s="1448"/>
      <c r="AO41" s="1448"/>
      <c r="AP41" s="1237"/>
      <c r="AQ41" s="1237"/>
      <c r="AR41" s="1237"/>
      <c r="AS41" s="1237"/>
      <c r="AT41" s="1237"/>
      <c r="AU41" s="1449"/>
    </row>
    <row r="42" spans="1:47" s="812" customFormat="1" ht="37.5" customHeight="1">
      <c r="C42" s="1519" t="s">
        <v>1269</v>
      </c>
      <c r="D42" s="810" t="s">
        <v>235</v>
      </c>
      <c r="E42" s="814">
        <v>84222</v>
      </c>
      <c r="F42" s="815"/>
      <c r="G42" s="814" t="s">
        <v>673</v>
      </c>
      <c r="H42" s="811"/>
      <c r="I42" s="811">
        <v>1</v>
      </c>
      <c r="J42" s="921"/>
      <c r="K42" s="921"/>
      <c r="L42" s="268"/>
      <c r="M42" s="921">
        <f>13779330+2618072</f>
        <v>16397402</v>
      </c>
      <c r="N42" s="1229">
        <f t="shared" ref="N42:N52" si="8">+SUM(L42:M42)</f>
        <v>16397402</v>
      </c>
      <c r="O42" s="921"/>
      <c r="P42" s="1219">
        <f t="shared" si="7"/>
        <v>16397402</v>
      </c>
      <c r="Q42"/>
      <c r="R42"/>
      <c r="S42"/>
      <c r="T42"/>
      <c r="U42"/>
      <c r="V42"/>
      <c r="W42"/>
      <c r="X42"/>
      <c r="Y42"/>
      <c r="Z42" s="922"/>
      <c r="AA42" s="922"/>
      <c r="AB42" s="922"/>
      <c r="AC42" s="922"/>
      <c r="AD42" s="922"/>
      <c r="AE42" s="922"/>
      <c r="AF42" s="922"/>
      <c r="AG42" s="922"/>
      <c r="AH42" s="922"/>
      <c r="AI42" s="922"/>
      <c r="AJ42" s="922"/>
      <c r="AK42" s="922"/>
      <c r="AL42" s="922"/>
      <c r="AM42" s="922"/>
      <c r="AN42" s="922"/>
      <c r="AO42" s="922"/>
      <c r="AP42" s="1235"/>
      <c r="AQ42" s="1235"/>
      <c r="AR42" s="1235"/>
      <c r="AS42" s="1235"/>
      <c r="AT42" s="1235"/>
      <c r="AU42" s="809"/>
    </row>
    <row r="43" spans="1:47" s="812" customFormat="1" ht="37.5" customHeight="1">
      <c r="C43" s="1519" t="s">
        <v>1313</v>
      </c>
      <c r="D43" s="810" t="s">
        <v>235</v>
      </c>
      <c r="E43" s="814">
        <v>84222</v>
      </c>
      <c r="F43" s="815"/>
      <c r="G43" s="814" t="s">
        <v>1254</v>
      </c>
      <c r="H43" s="1979"/>
      <c r="I43" s="1979">
        <v>1</v>
      </c>
      <c r="J43" s="921"/>
      <c r="K43" s="921"/>
      <c r="L43" s="268">
        <f>10616520-42297</f>
        <v>10574223</v>
      </c>
      <c r="M43" s="921"/>
      <c r="N43" s="1229">
        <f t="shared" si="8"/>
        <v>10574223</v>
      </c>
      <c r="O43" s="921"/>
      <c r="P43" s="1219">
        <f t="shared" si="7"/>
        <v>10574223</v>
      </c>
      <c r="Q43"/>
      <c r="R43"/>
      <c r="S43"/>
      <c r="T43"/>
      <c r="U43"/>
      <c r="V43"/>
      <c r="W43"/>
      <c r="X43"/>
      <c r="Y43"/>
      <c r="Z43" s="922"/>
      <c r="AA43" s="922"/>
      <c r="AB43" s="922"/>
      <c r="AC43" s="922"/>
      <c r="AD43" s="922"/>
      <c r="AE43" s="922"/>
      <c r="AF43" s="922"/>
      <c r="AG43" s="922"/>
      <c r="AH43" s="922"/>
      <c r="AI43" s="922"/>
      <c r="AJ43" s="922"/>
      <c r="AK43" s="922"/>
      <c r="AL43" s="922"/>
      <c r="AM43" s="922"/>
      <c r="AN43" s="922"/>
      <c r="AO43" s="922"/>
      <c r="AP43" s="1235"/>
      <c r="AQ43" s="1235"/>
      <c r="AR43" s="1235"/>
      <c r="AS43" s="1235"/>
      <c r="AT43" s="1235"/>
      <c r="AU43" s="809"/>
    </row>
    <row r="44" spans="1:47" s="812" customFormat="1" ht="32.25" customHeight="1">
      <c r="C44" s="1519" t="s">
        <v>1134</v>
      </c>
      <c r="D44" s="810" t="s">
        <v>702</v>
      </c>
      <c r="E44" s="814">
        <v>84222</v>
      </c>
      <c r="F44" s="815"/>
      <c r="G44" s="814"/>
      <c r="H44" s="1979"/>
      <c r="I44" s="1979"/>
      <c r="J44" s="921"/>
      <c r="K44" s="921"/>
      <c r="L44" s="1981">
        <f>130000000-20240640-35000000-14000000-2361407.57344007-19194495-8995840-80473-652601-5338064-250000-15261429-3457683-1213956-96047+57000000+549011</f>
        <v>61406375.426559933</v>
      </c>
      <c r="M44" s="921">
        <f>130000000-3586213-13779330-2618072-2422521-66316140-2513246-549000</f>
        <v>38215478</v>
      </c>
      <c r="N44" s="1229">
        <f t="shared" si="8"/>
        <v>99621853.426559925</v>
      </c>
      <c r="O44" s="921"/>
      <c r="P44" s="1219">
        <f t="shared" si="7"/>
        <v>99621853.426559925</v>
      </c>
      <c r="Q44"/>
      <c r="R44"/>
      <c r="S44"/>
      <c r="T44"/>
      <c r="U44"/>
      <c r="V44"/>
      <c r="W44"/>
      <c r="X44"/>
      <c r="Y44"/>
      <c r="Z44" s="922"/>
      <c r="AA44" s="922"/>
      <c r="AB44" s="922"/>
      <c r="AC44" s="922"/>
      <c r="AD44" s="922"/>
      <c r="AE44" s="922"/>
      <c r="AF44" s="922"/>
      <c r="AG44" s="922"/>
      <c r="AH44" s="922"/>
      <c r="AI44" s="922"/>
      <c r="AJ44" s="922"/>
      <c r="AK44" s="922"/>
      <c r="AL44" s="922"/>
      <c r="AM44" s="922"/>
      <c r="AN44" s="922"/>
      <c r="AO44" s="922"/>
      <c r="AP44" s="1235"/>
      <c r="AQ44" s="1235"/>
      <c r="AR44" s="1235"/>
      <c r="AS44" s="1235"/>
      <c r="AT44" s="1235"/>
      <c r="AU44" s="809"/>
    </row>
    <row r="45" spans="1:47" s="812" customFormat="1" ht="16.5" customHeight="1">
      <c r="C45" s="1519" t="s">
        <v>699</v>
      </c>
      <c r="D45" s="810" t="s">
        <v>698</v>
      </c>
      <c r="E45" s="2047">
        <v>45290</v>
      </c>
      <c r="F45" s="815"/>
      <c r="G45" s="814" t="s">
        <v>700</v>
      </c>
      <c r="H45" s="2046"/>
      <c r="I45" s="2046">
        <v>1</v>
      </c>
      <c r="J45" s="281">
        <v>50000000</v>
      </c>
      <c r="K45" s="281"/>
      <c r="L45" s="268">
        <f>40000000-4843525-5000000</f>
        <v>30156475</v>
      </c>
      <c r="M45" s="281"/>
      <c r="N45" s="1229">
        <f t="shared" si="8"/>
        <v>30156475</v>
      </c>
      <c r="O45" s="281"/>
      <c r="P45" s="1219">
        <f t="shared" si="7"/>
        <v>30156475</v>
      </c>
      <c r="Q45"/>
      <c r="R45"/>
      <c r="S45"/>
      <c r="T45"/>
      <c r="U45"/>
      <c r="V45"/>
      <c r="W45"/>
      <c r="X45"/>
      <c r="Y45"/>
      <c r="Z45" s="593"/>
      <c r="AA45" s="593"/>
      <c r="AB45" s="593"/>
      <c r="AC45" s="593"/>
      <c r="AD45" s="593"/>
      <c r="AE45" s="593"/>
      <c r="AF45" s="593"/>
      <c r="AG45" s="593"/>
      <c r="AH45" s="593"/>
      <c r="AI45" s="593"/>
      <c r="AJ45" s="593"/>
      <c r="AK45" s="593"/>
      <c r="AL45" s="593"/>
      <c r="AM45" s="593"/>
      <c r="AN45" s="593"/>
      <c r="AO45" s="593"/>
      <c r="AP45" s="593"/>
      <c r="AQ45" s="593"/>
      <c r="AR45" s="593"/>
      <c r="AS45" s="593"/>
      <c r="AT45" s="593"/>
      <c r="AU45" s="809"/>
    </row>
    <row r="46" spans="1:47" s="510" customFormat="1" ht="17.25" customHeight="1">
      <c r="C46" s="1519" t="s">
        <v>701</v>
      </c>
      <c r="D46" s="810" t="s">
        <v>702</v>
      </c>
      <c r="E46" s="814" t="s">
        <v>703</v>
      </c>
      <c r="F46" s="815"/>
      <c r="G46" s="814" t="s">
        <v>704</v>
      </c>
      <c r="H46" s="2056"/>
      <c r="I46" s="2056">
        <v>12</v>
      </c>
      <c r="J46" s="281">
        <v>66000000</v>
      </c>
      <c r="K46" s="281"/>
      <c r="L46" s="268">
        <f>75000000-11582000-2268737</f>
        <v>61149263</v>
      </c>
      <c r="M46" s="281"/>
      <c r="N46" s="1229">
        <f t="shared" si="8"/>
        <v>61149263</v>
      </c>
      <c r="O46" s="875">
        <f>280510-10035</f>
        <v>270475</v>
      </c>
      <c r="P46" s="1219">
        <f t="shared" si="7"/>
        <v>61419738</v>
      </c>
      <c r="Q46"/>
      <c r="R46"/>
      <c r="S46"/>
      <c r="T46"/>
      <c r="U46"/>
      <c r="V46"/>
      <c r="W46"/>
      <c r="X46"/>
      <c r="Y46"/>
      <c r="Z46" s="593"/>
      <c r="AA46" s="593"/>
      <c r="AB46" s="593"/>
      <c r="AC46" s="593"/>
      <c r="AD46" s="593"/>
      <c r="AE46" s="593"/>
      <c r="AF46" s="593"/>
      <c r="AG46" s="593"/>
      <c r="AH46" s="593"/>
      <c r="AI46" s="593"/>
      <c r="AJ46" s="593"/>
      <c r="AK46" s="593"/>
      <c r="AL46" s="593"/>
      <c r="AM46" s="593"/>
      <c r="AN46" s="593"/>
      <c r="AO46" s="1236"/>
      <c r="AP46" s="1236"/>
      <c r="AQ46" s="1236"/>
      <c r="AR46" s="1236"/>
      <c r="AS46" s="1236"/>
    </row>
    <row r="47" spans="1:47" s="812" customFormat="1" ht="18.75" customHeight="1">
      <c r="C47" s="1519" t="s">
        <v>705</v>
      </c>
      <c r="D47" s="810" t="s">
        <v>235</v>
      </c>
      <c r="E47" s="814">
        <v>84222</v>
      </c>
      <c r="F47" s="815"/>
      <c r="G47" s="814" t="s">
        <v>706</v>
      </c>
      <c r="H47" s="1979"/>
      <c r="I47" s="1979">
        <v>12</v>
      </c>
      <c r="J47" s="1288">
        <f>+K47/I47</f>
        <v>4056118.8333333335</v>
      </c>
      <c r="K47" s="1288">
        <v>48673426</v>
      </c>
      <c r="L47" s="332">
        <f>+K47</f>
        <v>48673426</v>
      </c>
      <c r="M47" s="281"/>
      <c r="N47" s="1229">
        <f t="shared" si="8"/>
        <v>48673426</v>
      </c>
      <c r="O47" s="281"/>
      <c r="P47" s="1219">
        <f t="shared" si="7"/>
        <v>48673426</v>
      </c>
      <c r="Q47"/>
      <c r="R47"/>
      <c r="S47"/>
      <c r="T47"/>
      <c r="U47"/>
      <c r="V47"/>
      <c r="W47"/>
      <c r="X47"/>
      <c r="Y47"/>
      <c r="Z47" s="1237"/>
      <c r="AA47" s="1237"/>
      <c r="AB47" s="1237"/>
      <c r="AC47" s="1237"/>
      <c r="AD47" s="1237"/>
      <c r="AE47" s="1237"/>
      <c r="AF47" s="1237"/>
      <c r="AG47" s="1237"/>
      <c r="AH47" s="1237"/>
      <c r="AI47" s="1237"/>
      <c r="AJ47" s="1237"/>
      <c r="AK47" s="1237"/>
      <c r="AL47" s="1237"/>
      <c r="AM47" s="1237"/>
      <c r="AN47" s="1237"/>
      <c r="AO47" s="1235">
        <v>43829901.119999997</v>
      </c>
      <c r="AP47" s="1235"/>
      <c r="AQ47" s="1235"/>
      <c r="AR47" s="1235"/>
      <c r="AS47" s="1235"/>
    </row>
    <row r="48" spans="1:47" s="812" customFormat="1" ht="18.75" customHeight="1">
      <c r="C48" s="1234" t="s">
        <v>1241</v>
      </c>
      <c r="D48" s="810" t="s">
        <v>235</v>
      </c>
      <c r="E48" s="814">
        <v>84222</v>
      </c>
      <c r="F48" s="815"/>
      <c r="G48" s="814"/>
      <c r="H48" s="1979"/>
      <c r="I48" s="1979"/>
      <c r="J48" s="1288"/>
      <c r="K48" s="1288"/>
      <c r="L48" s="332">
        <v>8144686</v>
      </c>
      <c r="M48" s="281"/>
      <c r="N48" s="1229">
        <f t="shared" si="8"/>
        <v>8144686</v>
      </c>
      <c r="O48" s="875">
        <v>1068583</v>
      </c>
      <c r="P48" s="1217">
        <f t="shared" si="7"/>
        <v>9213269</v>
      </c>
      <c r="Q48"/>
      <c r="R48"/>
      <c r="S48"/>
      <c r="T48"/>
      <c r="U48"/>
      <c r="V48"/>
      <c r="W48"/>
      <c r="X48"/>
      <c r="Y48"/>
      <c r="Z48" s="1237"/>
      <c r="AA48" s="1237"/>
      <c r="AB48" s="1237"/>
      <c r="AC48" s="1237"/>
      <c r="AD48" s="1237"/>
      <c r="AE48" s="1237"/>
      <c r="AF48" s="1237"/>
      <c r="AG48" s="1237"/>
      <c r="AH48" s="1237"/>
      <c r="AI48" s="1237"/>
      <c r="AJ48" s="1237"/>
      <c r="AK48" s="1237"/>
      <c r="AL48" s="1237"/>
      <c r="AM48" s="1237"/>
      <c r="AN48" s="1237"/>
      <c r="AO48" s="1235"/>
      <c r="AP48" s="1235"/>
      <c r="AQ48" s="1235"/>
      <c r="AR48" s="1235"/>
      <c r="AS48" s="1235"/>
    </row>
    <row r="49" spans="1:47" s="812" customFormat="1" ht="17.25" customHeight="1">
      <c r="C49" s="1519" t="s">
        <v>707</v>
      </c>
      <c r="D49" s="810" t="s">
        <v>702</v>
      </c>
      <c r="E49" s="814" t="s">
        <v>703</v>
      </c>
      <c r="F49" s="815"/>
      <c r="G49" s="814" t="s">
        <v>708</v>
      </c>
      <c r="H49" s="1979"/>
      <c r="I49" s="1979">
        <v>12</v>
      </c>
      <c r="J49" s="281">
        <v>4306471.2560000001</v>
      </c>
      <c r="K49" s="281">
        <v>5200000</v>
      </c>
      <c r="L49" s="268">
        <f>5200000-549011</f>
        <v>4650989</v>
      </c>
      <c r="M49" s="281"/>
      <c r="N49" s="1229">
        <f t="shared" si="8"/>
        <v>4650989</v>
      </c>
      <c r="O49" s="281"/>
      <c r="P49" s="1217">
        <f t="shared" si="7"/>
        <v>4650989</v>
      </c>
      <c r="Q49"/>
      <c r="R49"/>
      <c r="S49"/>
      <c r="T49"/>
      <c r="U49"/>
      <c r="V49"/>
      <c r="W49"/>
      <c r="X49"/>
      <c r="Y49"/>
      <c r="AO49" s="1238">
        <f>+L47-AO47</f>
        <v>4843524.8800000027</v>
      </c>
      <c r="AP49" s="1238"/>
      <c r="AQ49" s="1238"/>
      <c r="AR49" s="1238"/>
      <c r="AS49" s="1238"/>
    </row>
    <row r="50" spans="1:47" s="812" customFormat="1">
      <c r="C50" s="1234" t="s">
        <v>709</v>
      </c>
      <c r="D50" s="810" t="s">
        <v>235</v>
      </c>
      <c r="E50" s="814"/>
      <c r="F50" s="815"/>
      <c r="G50" s="814"/>
      <c r="H50" s="811"/>
      <c r="I50" s="811"/>
      <c r="J50" s="281"/>
      <c r="K50" s="281">
        <v>20000000</v>
      </c>
      <c r="L50" s="281"/>
      <c r="M50" s="281">
        <f>20000000-95629</f>
        <v>19904371</v>
      </c>
      <c r="N50" s="1229">
        <f t="shared" si="8"/>
        <v>19904371</v>
      </c>
      <c r="O50" s="281"/>
      <c r="P50" s="1217">
        <f t="shared" si="7"/>
        <v>19904371</v>
      </c>
      <c r="Q50"/>
      <c r="R50"/>
      <c r="S50"/>
      <c r="T50"/>
      <c r="U50"/>
      <c r="V50"/>
      <c r="W50"/>
      <c r="X50"/>
      <c r="Y50"/>
      <c r="AO50" s="1238"/>
      <c r="AP50" s="1238"/>
      <c r="AQ50" s="1238"/>
      <c r="AR50" s="1238"/>
      <c r="AS50" s="1238"/>
    </row>
    <row r="51" spans="1:47" s="812" customFormat="1">
      <c r="C51" s="1234" t="s">
        <v>710</v>
      </c>
      <c r="D51" s="810" t="s">
        <v>235</v>
      </c>
      <c r="E51" s="814">
        <v>84222</v>
      </c>
      <c r="F51" s="815"/>
      <c r="G51" s="814" t="s">
        <v>711</v>
      </c>
      <c r="H51" s="2167"/>
      <c r="I51" s="2167"/>
      <c r="J51" s="281"/>
      <c r="K51" s="281"/>
      <c r="L51" s="281"/>
      <c r="M51" s="281"/>
      <c r="N51" s="1229">
        <f t="shared" si="8"/>
        <v>0</v>
      </c>
      <c r="O51" s="281">
        <f>98249832-1068583-4102700-5775165-280510-560000-5204709+38590</f>
        <v>81296755</v>
      </c>
      <c r="P51" s="1217">
        <f t="shared" si="7"/>
        <v>81296755</v>
      </c>
      <c r="Q51"/>
      <c r="R51"/>
      <c r="S51"/>
      <c r="T51"/>
      <c r="U51"/>
      <c r="V51"/>
      <c r="W51"/>
      <c r="X51"/>
      <c r="Y51"/>
      <c r="AO51" s="1238"/>
      <c r="AP51" s="1238"/>
      <c r="AQ51" s="1238"/>
      <c r="AR51" s="1238"/>
      <c r="AS51" s="1238"/>
    </row>
    <row r="52" spans="1:47" s="812" customFormat="1" ht="34.5" customHeight="1" thickBot="1">
      <c r="C52" s="1234" t="s">
        <v>1411</v>
      </c>
      <c r="D52" s="810" t="s">
        <v>698</v>
      </c>
      <c r="E52" s="810">
        <v>45290</v>
      </c>
      <c r="F52" s="810"/>
      <c r="G52" s="810"/>
      <c r="H52" s="2167"/>
      <c r="I52" s="2167"/>
      <c r="J52" s="281"/>
      <c r="K52" s="281"/>
      <c r="L52" s="2228">
        <f>70729190-6757929</f>
        <v>63971261</v>
      </c>
      <c r="M52" s="281"/>
      <c r="N52" s="1229">
        <f t="shared" si="8"/>
        <v>63971261</v>
      </c>
      <c r="O52" s="281"/>
      <c r="P52" s="1217">
        <f t="shared" si="7"/>
        <v>63971261</v>
      </c>
      <c r="Q52"/>
      <c r="R52"/>
      <c r="S52"/>
      <c r="T52"/>
      <c r="U52"/>
      <c r="V52"/>
      <c r="W52"/>
      <c r="X52"/>
      <c r="Y52"/>
      <c r="AO52" s="1238"/>
      <c r="AP52" s="1238"/>
      <c r="AQ52" s="1238"/>
      <c r="AR52" s="1238"/>
      <c r="AS52" s="1238"/>
    </row>
    <row r="53" spans="1:47" s="1" customFormat="1" ht="46.5" customHeight="1" thickBot="1">
      <c r="A53" s="1052">
        <v>160</v>
      </c>
      <c r="B53" s="1052"/>
      <c r="C53" s="838" t="s">
        <v>331</v>
      </c>
      <c r="D53" s="839"/>
      <c r="E53" s="1207"/>
      <c r="F53" s="839"/>
      <c r="G53" s="839"/>
      <c r="H53" s="1207" t="s">
        <v>214</v>
      </c>
      <c r="I53" s="1207">
        <v>100</v>
      </c>
      <c r="J53" s="1208">
        <f t="shared" ref="J53:O53" si="9">+J54</f>
        <v>0</v>
      </c>
      <c r="K53" s="1209">
        <f t="shared" si="9"/>
        <v>135060262.13376001</v>
      </c>
      <c r="L53" s="1210">
        <f t="shared" si="9"/>
        <v>100107976</v>
      </c>
      <c r="M53" s="1209">
        <f t="shared" si="9"/>
        <v>32465482.133760002</v>
      </c>
      <c r="N53" s="1230">
        <f t="shared" si="9"/>
        <v>132573458.13376001</v>
      </c>
      <c r="O53" s="1209">
        <f t="shared" si="9"/>
        <v>5775165</v>
      </c>
      <c r="P53" s="1230">
        <f>+O53+N53</f>
        <v>138348623.13376001</v>
      </c>
      <c r="Q53"/>
      <c r="R53"/>
      <c r="S53"/>
      <c r="T53"/>
      <c r="U53"/>
      <c r="V53"/>
      <c r="W53"/>
      <c r="X53"/>
      <c r="Y53"/>
      <c r="Z53" s="1240"/>
      <c r="AA53" s="1240"/>
      <c r="AB53" s="1240"/>
      <c r="AC53" s="1240"/>
      <c r="AD53" s="1240"/>
      <c r="AE53" s="1240"/>
      <c r="AF53" s="1240"/>
      <c r="AG53" s="1240"/>
      <c r="AH53" s="1240"/>
      <c r="AI53" s="1240"/>
      <c r="AJ53" s="1240"/>
      <c r="AK53" s="1240"/>
      <c r="AL53" s="1240"/>
      <c r="AM53" s="1240"/>
      <c r="AN53" s="1240"/>
    </row>
    <row r="54" spans="1:47" s="1" customFormat="1" ht="44.25" customHeight="1">
      <c r="A54" s="1052"/>
      <c r="B54" s="1052">
        <v>110</v>
      </c>
      <c r="C54" s="827" t="s">
        <v>332</v>
      </c>
      <c r="D54" s="828"/>
      <c r="E54" s="829"/>
      <c r="F54" s="828"/>
      <c r="G54" s="828"/>
      <c r="H54" s="829" t="s">
        <v>209</v>
      </c>
      <c r="I54" s="829">
        <v>1</v>
      </c>
      <c r="J54" s="1241"/>
      <c r="K54" s="1226">
        <f t="shared" ref="K54:P54" si="10">SUM(K55:K58)</f>
        <v>135060262.13376001</v>
      </c>
      <c r="L54" s="1227">
        <f t="shared" si="10"/>
        <v>100107976</v>
      </c>
      <c r="M54" s="1226">
        <f t="shared" si="10"/>
        <v>32465482.133760002</v>
      </c>
      <c r="N54" s="1228">
        <f t="shared" si="10"/>
        <v>132573458.13376001</v>
      </c>
      <c r="O54" s="1226">
        <f t="shared" si="10"/>
        <v>5775165</v>
      </c>
      <c r="P54" s="1228">
        <f t="shared" si="10"/>
        <v>138348623.13376001</v>
      </c>
      <c r="Q54"/>
      <c r="T54"/>
      <c r="U54"/>
      <c r="V54"/>
      <c r="W54"/>
      <c r="X54"/>
      <c r="Y54"/>
    </row>
    <row r="55" spans="1:47" s="812" customFormat="1" ht="25.5" customHeight="1">
      <c r="C55" s="565" t="s">
        <v>1242</v>
      </c>
      <c r="D55" s="810" t="s">
        <v>702</v>
      </c>
      <c r="E55" s="814" t="s">
        <v>712</v>
      </c>
      <c r="F55" s="815"/>
      <c r="G55" s="815"/>
      <c r="H55" s="811" t="s">
        <v>611</v>
      </c>
      <c r="I55" s="811">
        <v>1</v>
      </c>
      <c r="J55" s="281">
        <v>45000000</v>
      </c>
      <c r="K55" s="875">
        <f>+J55*1.004</f>
        <v>45180000</v>
      </c>
      <c r="L55" s="2229">
        <f>36144000+14650500+446883+6757929</f>
        <v>57999312</v>
      </c>
      <c r="M55" s="875">
        <f>35380000-35380000</f>
        <v>0</v>
      </c>
      <c r="N55" s="1221">
        <f>+M55+L55</f>
        <v>57999312</v>
      </c>
      <c r="O55" s="875">
        <v>5775165</v>
      </c>
      <c r="P55" s="1217">
        <f t="shared" ref="P55:P58" si="11">+O55+N55</f>
        <v>63774477</v>
      </c>
      <c r="Q55"/>
      <c r="R55" s="501">
        <v>57768239</v>
      </c>
      <c r="S55" s="517">
        <f>+R55*1.004</f>
        <v>57999311.956</v>
      </c>
      <c r="T55" s="517">
        <f>+P55/1.004</f>
        <v>63520395.418326691</v>
      </c>
      <c r="U55"/>
      <c r="V55"/>
      <c r="W55"/>
      <c r="X55"/>
      <c r="Y55"/>
      <c r="Z55" s="779"/>
      <c r="AA55" s="779"/>
      <c r="AB55" s="779"/>
      <c r="AC55" s="779"/>
      <c r="AD55" s="779"/>
      <c r="AE55" s="779"/>
      <c r="AF55" s="779"/>
      <c r="AG55" s="779"/>
      <c r="AH55" s="779"/>
      <c r="AI55" s="779"/>
      <c r="AJ55" s="779"/>
      <c r="AK55" s="779"/>
      <c r="AL55" s="779"/>
      <c r="AM55" s="779"/>
      <c r="AN55" s="779"/>
      <c r="AO55" s="779"/>
      <c r="AP55" s="781"/>
      <c r="AQ55" s="781"/>
      <c r="AR55" s="781"/>
      <c r="AS55" s="781"/>
      <c r="AT55" s="781"/>
      <c r="AU55" s="571"/>
    </row>
    <row r="56" spans="1:47" s="510" customFormat="1" ht="34.5" customHeight="1">
      <c r="C56" s="1517" t="s">
        <v>713</v>
      </c>
      <c r="D56" s="810" t="s">
        <v>235</v>
      </c>
      <c r="E56" s="811">
        <v>83990</v>
      </c>
      <c r="F56" s="2116" t="s">
        <v>1367</v>
      </c>
      <c r="G56" s="815"/>
      <c r="H56" s="811" t="s">
        <v>209</v>
      </c>
      <c r="I56" s="811">
        <v>1</v>
      </c>
      <c r="J56" s="281">
        <v>42000000</v>
      </c>
      <c r="K56" s="875">
        <f>+J56*1.004</f>
        <v>42168000</v>
      </c>
      <c r="L56" s="876">
        <f>42168000-100000-15054330</f>
        <v>27013670</v>
      </c>
      <c r="M56" s="875"/>
      <c r="N56" s="1221">
        <f>+M56+L56</f>
        <v>27013670</v>
      </c>
      <c r="O56" s="875"/>
      <c r="P56" s="1217">
        <f t="shared" si="11"/>
        <v>27013670</v>
      </c>
      <c r="Q56"/>
      <c r="R56" s="881"/>
      <c r="S56" s="517"/>
      <c r="T56"/>
      <c r="U56"/>
      <c r="V56"/>
      <c r="W56"/>
      <c r="X56"/>
      <c r="Y56"/>
      <c r="Z56" s="812"/>
      <c r="AA56" s="812"/>
      <c r="AB56" s="812"/>
      <c r="AC56" s="812"/>
      <c r="AD56" s="812"/>
      <c r="AE56" s="812"/>
      <c r="AF56" s="812"/>
      <c r="AG56" s="812"/>
      <c r="AH56" s="812"/>
      <c r="AI56" s="812"/>
      <c r="AJ56" s="812"/>
      <c r="AK56" s="812"/>
      <c r="AL56" s="812"/>
      <c r="AM56" s="812"/>
      <c r="AN56" s="812"/>
      <c r="AO56" s="812"/>
    </row>
    <row r="57" spans="1:47" s="812" customFormat="1" ht="28.5" customHeight="1">
      <c r="C57" s="1517" t="s">
        <v>714</v>
      </c>
      <c r="D57" s="810" t="s">
        <v>235</v>
      </c>
      <c r="E57" s="814" t="s">
        <v>715</v>
      </c>
      <c r="F57" s="2116" t="s">
        <v>1366</v>
      </c>
      <c r="G57" s="815"/>
      <c r="H57" s="811" t="s">
        <v>209</v>
      </c>
      <c r="I57" s="811">
        <v>1</v>
      </c>
      <c r="J57" s="281">
        <f>20430512*1.12</f>
        <v>22882173.440000001</v>
      </c>
      <c r="K57" s="875">
        <f>+J57*1.004</f>
        <v>22973702.133760002</v>
      </c>
      <c r="L57" s="876">
        <f>15246780-151786</f>
        <v>15094994</v>
      </c>
      <c r="M57" s="875">
        <f>+K57-15213058-33722</f>
        <v>7726922.1337600015</v>
      </c>
      <c r="N57" s="1221">
        <f>+M57+L57</f>
        <v>22821916.133760002</v>
      </c>
      <c r="O57" s="875"/>
      <c r="P57" s="1217">
        <f t="shared" si="11"/>
        <v>22821916.133760002</v>
      </c>
      <c r="Q57"/>
      <c r="R57" s="59">
        <v>5752156</v>
      </c>
      <c r="S57" s="517">
        <f t="shared" ref="S57" si="12">+R57*1.004</f>
        <v>5775164.6239999998</v>
      </c>
      <c r="T57"/>
      <c r="U57"/>
      <c r="V57"/>
      <c r="W57"/>
      <c r="X57"/>
      <c r="Y57"/>
      <c r="Z57" s="1223"/>
      <c r="AA57" s="1223"/>
      <c r="AB57" s="1223"/>
      <c r="AC57" s="1223"/>
      <c r="AD57" s="1223"/>
      <c r="AE57" s="1223"/>
      <c r="AF57" s="1223"/>
      <c r="AG57" s="1223"/>
      <c r="AH57" s="1223"/>
      <c r="AI57" s="1223"/>
      <c r="AJ57" s="1223"/>
      <c r="AK57" s="1223"/>
      <c r="AL57" s="1223"/>
      <c r="AM57" s="1223"/>
      <c r="AN57" s="1223"/>
      <c r="AO57" s="1223"/>
    </row>
    <row r="58" spans="1:47" s="1" customFormat="1" ht="21" customHeight="1" thickBot="1">
      <c r="C58" s="1521" t="s">
        <v>716</v>
      </c>
      <c r="D58" s="19" t="s">
        <v>235</v>
      </c>
      <c r="E58" s="1239" t="s">
        <v>715</v>
      </c>
      <c r="F58" s="603" t="s">
        <v>1176</v>
      </c>
      <c r="G58" s="603"/>
      <c r="H58" s="811" t="s">
        <v>209</v>
      </c>
      <c r="I58" s="18">
        <v>11</v>
      </c>
      <c r="J58" s="327">
        <f>2000000*1.12</f>
        <v>2240000</v>
      </c>
      <c r="K58" s="875">
        <f>+J58*I58*1.004</f>
        <v>24738560</v>
      </c>
      <c r="L58" s="1242"/>
      <c r="M58" s="329">
        <f>+K58</f>
        <v>24738560</v>
      </c>
      <c r="N58" s="1271">
        <f>+M58+L58</f>
        <v>24738560</v>
      </c>
      <c r="O58" s="329"/>
      <c r="P58" s="1217">
        <f t="shared" si="11"/>
        <v>24738560</v>
      </c>
      <c r="Q58"/>
      <c r="R58"/>
      <c r="S58"/>
      <c r="T58"/>
      <c r="U58"/>
      <c r="V58"/>
      <c r="W58"/>
      <c r="X58"/>
      <c r="Y58"/>
    </row>
    <row r="59" spans="1:47" s="1" customFormat="1" ht="72.75" customHeight="1" thickBot="1">
      <c r="A59" s="1052">
        <v>161</v>
      </c>
      <c r="B59" s="1052"/>
      <c r="C59" s="838" t="s">
        <v>9</v>
      </c>
      <c r="D59" s="839"/>
      <c r="E59" s="1207"/>
      <c r="F59" s="839"/>
      <c r="G59" s="839"/>
      <c r="H59" s="1207" t="s">
        <v>214</v>
      </c>
      <c r="I59" s="1207">
        <v>100</v>
      </c>
      <c r="J59" s="1208">
        <f t="shared" ref="J59:O59" si="13">+J60+J62+J67</f>
        <v>0</v>
      </c>
      <c r="K59" s="1208">
        <f t="shared" si="13"/>
        <v>29105534.304000005</v>
      </c>
      <c r="L59" s="1243">
        <f t="shared" si="13"/>
        <v>193822338.30400026</v>
      </c>
      <c r="M59" s="1208">
        <f t="shared" si="13"/>
        <v>126921203.11424005</v>
      </c>
      <c r="N59" s="1244">
        <f t="shared" si="13"/>
        <v>320743541.41824031</v>
      </c>
      <c r="O59" s="1208">
        <f t="shared" si="13"/>
        <v>5176154.2777597904</v>
      </c>
      <c r="P59" s="1211">
        <f>+O59+N59</f>
        <v>325919695.6960001</v>
      </c>
      <c r="Q59"/>
      <c r="R59"/>
      <c r="S59"/>
      <c r="T59"/>
    </row>
    <row r="60" spans="1:47" ht="25.5">
      <c r="A60" s="1052"/>
      <c r="B60" s="1052">
        <v>111</v>
      </c>
      <c r="C60" s="827" t="s">
        <v>333</v>
      </c>
      <c r="D60" s="828"/>
      <c r="E60" s="829"/>
      <c r="F60" s="828"/>
      <c r="G60" s="828"/>
      <c r="H60" s="829" t="s">
        <v>210</v>
      </c>
      <c r="I60" s="829">
        <v>1</v>
      </c>
      <c r="J60" s="1225">
        <f>+J61</f>
        <v>0</v>
      </c>
      <c r="K60" s="1226">
        <f>SUM(K61:K61)</f>
        <v>0</v>
      </c>
      <c r="L60" s="1227">
        <f>+L61</f>
        <v>0</v>
      </c>
      <c r="M60" s="1226">
        <f>+M61</f>
        <v>0</v>
      </c>
      <c r="N60" s="1228">
        <f>+N61</f>
        <v>0</v>
      </c>
      <c r="O60" s="1226">
        <f>+O61</f>
        <v>0</v>
      </c>
      <c r="P60" s="1245">
        <f>+P61</f>
        <v>0</v>
      </c>
      <c r="Q60"/>
      <c r="R60">
        <v>4796318</v>
      </c>
      <c r="S60">
        <f>+R60/1.004</f>
        <v>4777209.1633466138</v>
      </c>
      <c r="T60"/>
      <c r="U60" s="1"/>
      <c r="V60" s="1"/>
      <c r="W60" s="1"/>
      <c r="X60" s="1"/>
      <c r="Y60" s="1"/>
      <c r="Z60" s="1"/>
      <c r="AA60" s="1"/>
      <c r="AB60" s="1"/>
      <c r="AC60" s="1"/>
      <c r="AD60" s="1"/>
      <c r="AE60" s="1"/>
      <c r="AF60" s="1"/>
      <c r="AG60" s="1"/>
      <c r="AH60" s="1"/>
      <c r="AI60" s="1"/>
      <c r="AJ60" s="1"/>
      <c r="AK60" s="1"/>
      <c r="AL60" s="1"/>
      <c r="AM60" s="1"/>
      <c r="AN60" s="1"/>
      <c r="AO60" s="1"/>
    </row>
    <row r="61" spans="1:47" ht="24" customHeight="1">
      <c r="C61" s="565"/>
      <c r="D61" s="810"/>
      <c r="E61" s="811"/>
      <c r="F61" s="175"/>
      <c r="G61" s="175"/>
      <c r="H61" s="811"/>
      <c r="I61" s="811"/>
      <c r="J61" s="281"/>
      <c r="K61" s="328"/>
      <c r="L61" s="330"/>
      <c r="M61" s="328"/>
      <c r="N61" s="1221"/>
      <c r="O61" s="328"/>
      <c r="P61" s="1217">
        <f t="shared" ref="P61" si="14">+O61+N61</f>
        <v>0</v>
      </c>
      <c r="Q61"/>
      <c r="R61" s="59">
        <f>+S57-R60</f>
        <v>978846.62399999984</v>
      </c>
      <c r="S61"/>
      <c r="T61"/>
    </row>
    <row r="62" spans="1:47" s="1" customFormat="1">
      <c r="A62" s="1052"/>
      <c r="B62" s="1052">
        <v>112</v>
      </c>
      <c r="C62" s="834" t="s">
        <v>334</v>
      </c>
      <c r="D62" s="835"/>
      <c r="E62" s="799"/>
      <c r="F62" s="835"/>
      <c r="G62" s="835"/>
      <c r="H62" s="799" t="s">
        <v>209</v>
      </c>
      <c r="I62" s="799">
        <v>1</v>
      </c>
      <c r="J62" s="1215"/>
      <c r="K62" s="1215"/>
      <c r="L62" s="1246">
        <f>SUM(L63:L66)</f>
        <v>23859755</v>
      </c>
      <c r="M62" s="1215">
        <f>SUM(M63:M66)</f>
        <v>0</v>
      </c>
      <c r="N62" s="1247">
        <f>SUM(N63:N66)</f>
        <v>23859755</v>
      </c>
      <c r="O62" s="1215">
        <f>SUM(O63:O66)</f>
        <v>0</v>
      </c>
      <c r="P62" s="1247">
        <f>SUM(P63:P66)</f>
        <v>23859755</v>
      </c>
      <c r="Q62"/>
      <c r="T62"/>
      <c r="U62" s="841"/>
      <c r="V62" s="841"/>
      <c r="W62" s="841"/>
      <c r="X62" s="841"/>
      <c r="Y62" s="841"/>
      <c r="Z62" s="841"/>
      <c r="AA62" s="841"/>
      <c r="AB62" s="841"/>
      <c r="AC62" s="841"/>
      <c r="AD62" s="841"/>
      <c r="AE62" s="841"/>
      <c r="AF62" s="841"/>
      <c r="AG62" s="841"/>
      <c r="AH62" s="841"/>
      <c r="AI62" s="841"/>
      <c r="AJ62" s="841"/>
      <c r="AK62" s="841"/>
    </row>
    <row r="63" spans="1:47" s="812" customFormat="1" ht="25.5">
      <c r="C63" s="1576" t="s">
        <v>1182</v>
      </c>
      <c r="D63" s="122" t="s">
        <v>1207</v>
      </c>
      <c r="E63" s="814">
        <v>54590</v>
      </c>
      <c r="F63" s="815"/>
      <c r="G63" s="815"/>
      <c r="H63" s="811"/>
      <c r="I63" s="811"/>
      <c r="J63" s="589"/>
      <c r="K63" s="589"/>
      <c r="L63" s="589">
        <f>15261429+1213956</f>
        <v>16475385</v>
      </c>
      <c r="M63" s="778"/>
      <c r="N63" s="1221">
        <f t="shared" ref="N63:N65" si="15">+SUM(L63:M63)</f>
        <v>16475385</v>
      </c>
      <c r="O63" s="778"/>
      <c r="P63" s="1217">
        <f t="shared" ref="P63:P66" si="16">+O63+N63</f>
        <v>16475385</v>
      </c>
      <c r="Q63" s="813"/>
      <c r="R63"/>
      <c r="S63"/>
      <c r="T63"/>
      <c r="U63" s="809"/>
      <c r="V63" s="809"/>
      <c r="W63" s="809"/>
      <c r="X63" s="809"/>
      <c r="Y63" s="809"/>
      <c r="Z63" s="809"/>
      <c r="AA63" s="809"/>
      <c r="AB63" s="809"/>
      <c r="AC63" s="809"/>
      <c r="AD63" s="809"/>
      <c r="AE63" s="809"/>
      <c r="AF63" s="809"/>
      <c r="AG63" s="809"/>
      <c r="AH63" s="809"/>
      <c r="AI63" s="809"/>
      <c r="AJ63" s="809"/>
      <c r="AK63" s="809"/>
    </row>
    <row r="64" spans="1:47" s="812" customFormat="1" ht="25.5">
      <c r="C64" s="1576" t="s">
        <v>1183</v>
      </c>
      <c r="D64" s="122" t="s">
        <v>235</v>
      </c>
      <c r="E64" s="810">
        <v>83990</v>
      </c>
      <c r="F64" s="815"/>
      <c r="G64" s="815"/>
      <c r="H64" s="811"/>
      <c r="I64" s="811"/>
      <c r="J64" s="589"/>
      <c r="K64" s="589"/>
      <c r="L64" s="589">
        <f>3457683+96047</f>
        <v>3553730</v>
      </c>
      <c r="M64" s="778"/>
      <c r="N64" s="1221">
        <f t="shared" si="15"/>
        <v>3553730</v>
      </c>
      <c r="O64" s="778"/>
      <c r="P64" s="1217">
        <f t="shared" si="16"/>
        <v>3553730</v>
      </c>
      <c r="Q64" s="813"/>
      <c r="R64"/>
      <c r="S64"/>
      <c r="T64"/>
      <c r="U64" s="809"/>
      <c r="V64" s="809"/>
      <c r="W64" s="809"/>
      <c r="X64" s="809"/>
      <c r="Y64" s="809"/>
      <c r="Z64" s="809"/>
      <c r="AA64" s="809"/>
      <c r="AB64" s="809"/>
      <c r="AC64" s="809"/>
      <c r="AD64" s="809"/>
      <c r="AE64" s="809"/>
      <c r="AF64" s="809"/>
      <c r="AG64" s="809"/>
      <c r="AH64" s="809"/>
      <c r="AI64" s="809"/>
      <c r="AJ64" s="809"/>
      <c r="AK64" s="809"/>
    </row>
    <row r="65" spans="1:48" s="812" customFormat="1">
      <c r="C65" s="1576" t="s">
        <v>1400</v>
      </c>
      <c r="D65" s="2149" t="s">
        <v>235</v>
      </c>
      <c r="E65" s="810">
        <v>83990</v>
      </c>
      <c r="F65" s="2149" t="s">
        <v>718</v>
      </c>
      <c r="G65" s="815"/>
      <c r="H65" s="2148"/>
      <c r="I65" s="2148"/>
      <c r="J65" s="589"/>
      <c r="K65" s="589"/>
      <c r="L65" s="589">
        <v>2891520</v>
      </c>
      <c r="M65" s="778"/>
      <c r="N65" s="1221">
        <f t="shared" si="15"/>
        <v>2891520</v>
      </c>
      <c r="O65" s="778"/>
      <c r="P65" s="1217">
        <f t="shared" si="16"/>
        <v>2891520</v>
      </c>
      <c r="Q65" s="813"/>
      <c r="R65"/>
      <c r="S65"/>
      <c r="T65"/>
      <c r="U65" s="809"/>
      <c r="V65" s="809"/>
      <c r="W65" s="809"/>
      <c r="X65" s="809"/>
      <c r="Y65" s="809"/>
      <c r="Z65" s="809"/>
      <c r="AA65" s="809"/>
      <c r="AB65" s="809"/>
      <c r="AC65" s="809"/>
      <c r="AD65" s="809"/>
      <c r="AE65" s="809"/>
      <c r="AF65" s="809"/>
      <c r="AG65" s="809"/>
      <c r="AH65" s="809"/>
      <c r="AI65" s="809"/>
      <c r="AJ65" s="809"/>
      <c r="AK65" s="809"/>
    </row>
    <row r="66" spans="1:48" s="510" customFormat="1">
      <c r="C66" s="1520" t="s">
        <v>717</v>
      </c>
      <c r="D66" s="122" t="s">
        <v>235</v>
      </c>
      <c r="E66" s="407">
        <v>83990</v>
      </c>
      <c r="F66" s="122" t="s">
        <v>718</v>
      </c>
      <c r="G66" s="1248"/>
      <c r="H66" s="407"/>
      <c r="I66" s="407">
        <v>0.75</v>
      </c>
      <c r="J66" s="1249">
        <f>1118000*1.12</f>
        <v>1252160.0000000002</v>
      </c>
      <c r="K66" s="1249"/>
      <c r="L66" s="1249">
        <f>+J66*I66</f>
        <v>939120.00000000023</v>
      </c>
      <c r="M66" s="1249"/>
      <c r="N66" s="1221">
        <f>+M66+L66</f>
        <v>939120.00000000023</v>
      </c>
      <c r="O66" s="1249"/>
      <c r="P66" s="1217">
        <f t="shared" si="16"/>
        <v>939120.00000000023</v>
      </c>
      <c r="Q66" s="813"/>
      <c r="R66"/>
      <c r="S66"/>
      <c r="T66"/>
    </row>
    <row r="67" spans="1:48" s="510" customFormat="1">
      <c r="A67" s="1052"/>
      <c r="B67" s="1052">
        <v>113</v>
      </c>
      <c r="C67" s="834" t="s">
        <v>335</v>
      </c>
      <c r="D67" s="835"/>
      <c r="E67" s="799"/>
      <c r="F67" s="835"/>
      <c r="G67" s="835"/>
      <c r="H67" s="799" t="s">
        <v>210</v>
      </c>
      <c r="I67" s="799">
        <v>1</v>
      </c>
      <c r="J67" s="1215"/>
      <c r="K67" s="1216">
        <f>SUM(K69:K70)</f>
        <v>29105534.304000005</v>
      </c>
      <c r="L67" s="1220">
        <f>SUM(L68:L72)</f>
        <v>169962583.30400026</v>
      </c>
      <c r="M67" s="1216">
        <f>SUM(M68:M72)</f>
        <v>126921203.11424005</v>
      </c>
      <c r="N67" s="1250">
        <f>SUM(N68:N72)</f>
        <v>296883786.41824031</v>
      </c>
      <c r="O67" s="1216">
        <f>SUM(O68:O72)</f>
        <v>5176154.2777597904</v>
      </c>
      <c r="P67" s="1247">
        <f>SUM(P68:P72)</f>
        <v>302059940.6960001</v>
      </c>
      <c r="Q67" s="2194"/>
      <c r="R67"/>
      <c r="S67"/>
      <c r="T67"/>
    </row>
    <row r="68" spans="1:48" s="510" customFormat="1" ht="24.75" customHeight="1">
      <c r="A68" s="1446"/>
      <c r="B68" s="1446"/>
      <c r="C68" s="565" t="s">
        <v>1420</v>
      </c>
      <c r="D68" s="2193"/>
      <c r="E68" s="2195"/>
      <c r="F68" s="833"/>
      <c r="G68" s="833"/>
      <c r="H68" s="2195"/>
      <c r="I68" s="2195"/>
      <c r="J68" s="281"/>
      <c r="K68" s="1447"/>
      <c r="L68" s="1515">
        <v>20697703.000000238</v>
      </c>
      <c r="M68" s="1447">
        <v>28555.114240050316</v>
      </c>
      <c r="N68" s="1221">
        <f>+M68+L68</f>
        <v>20726258.114240289</v>
      </c>
      <c r="O68" s="1447">
        <v>5176154.2777597904</v>
      </c>
      <c r="P68" s="1217">
        <f t="shared" ref="P68:P72" si="17">+O68+N68</f>
        <v>25902412.392000079</v>
      </c>
      <c r="Q68" s="813"/>
      <c r="R68"/>
      <c r="S68"/>
      <c r="T68"/>
    </row>
    <row r="69" spans="1:48" s="510" customFormat="1" ht="24.75" customHeight="1">
      <c r="C69" s="1517" t="s">
        <v>730</v>
      </c>
      <c r="D69" s="122" t="s">
        <v>1114</v>
      </c>
      <c r="E69" s="814">
        <v>54590</v>
      </c>
      <c r="F69" s="815"/>
      <c r="G69" s="815"/>
      <c r="H69" s="811"/>
      <c r="I69" s="811"/>
      <c r="J69" s="281"/>
      <c r="K69" s="281"/>
      <c r="L69" s="268">
        <f>68130890+14733142+18144288+20000000-4493907-7000000-2190740</f>
        <v>107323673</v>
      </c>
      <c r="M69" s="921">
        <f>39704521+20000000+1042821-94080+66316140+2513246-2590000</f>
        <v>126892648</v>
      </c>
      <c r="N69" s="1221">
        <f>+M69+L69</f>
        <v>234216321</v>
      </c>
      <c r="O69" s="921"/>
      <c r="P69" s="1217">
        <f t="shared" si="17"/>
        <v>234216321</v>
      </c>
      <c r="Q69" s="813"/>
      <c r="R69"/>
      <c r="S69"/>
      <c r="T69"/>
      <c r="AL69" s="1499"/>
      <c r="AM69" s="1499"/>
      <c r="AN69" s="1499"/>
      <c r="AO69" s="1499"/>
      <c r="AP69" s="1499"/>
    </row>
    <row r="70" spans="1:48" s="1" customFormat="1" ht="39.75" customHeight="1">
      <c r="C70" s="1518" t="s">
        <v>719</v>
      </c>
      <c r="D70" s="810" t="s">
        <v>235</v>
      </c>
      <c r="E70" s="814">
        <v>83990</v>
      </c>
      <c r="F70" s="2148" t="s">
        <v>680</v>
      </c>
      <c r="G70" s="2148" t="s">
        <v>676</v>
      </c>
      <c r="H70" s="2148" t="s">
        <v>207</v>
      </c>
      <c r="I70" s="2148">
        <v>5.5</v>
      </c>
      <c r="J70" s="1251">
        <f>+J20</f>
        <v>5270832.0000000009</v>
      </c>
      <c r="K70" s="778">
        <f>+J70*I70*1.004</f>
        <v>29105534.304000005</v>
      </c>
      <c r="L70" s="589">
        <f>+K70</f>
        <v>29105534.304000005</v>
      </c>
      <c r="M70" s="778"/>
      <c r="N70" s="1217">
        <f>+M70+L70</f>
        <v>29105534.304000005</v>
      </c>
      <c r="O70" s="778"/>
      <c r="P70" s="1217">
        <f t="shared" si="17"/>
        <v>29105534.304000005</v>
      </c>
      <c r="Q70" s="813"/>
      <c r="R70"/>
      <c r="S70"/>
      <c r="T70"/>
    </row>
    <row r="71" spans="1:48" s="812" customFormat="1">
      <c r="C71" s="1576" t="s">
        <v>1400</v>
      </c>
      <c r="D71" s="2149" t="s">
        <v>235</v>
      </c>
      <c r="E71" s="810">
        <v>83990</v>
      </c>
      <c r="F71" s="2149" t="s">
        <v>718</v>
      </c>
      <c r="G71" s="815"/>
      <c r="H71" s="2148"/>
      <c r="I71" s="2148"/>
      <c r="J71" s="589"/>
      <c r="K71" s="778"/>
      <c r="L71" s="778">
        <f>7228800+4337280</f>
        <v>11566080</v>
      </c>
      <c r="M71" s="778"/>
      <c r="N71" s="1221">
        <f t="shared" ref="N71" si="18">+SUM(L71:M71)</f>
        <v>11566080</v>
      </c>
      <c r="O71" s="778"/>
      <c r="P71" s="1217">
        <f t="shared" si="17"/>
        <v>11566080</v>
      </c>
      <c r="Q71" s="813"/>
      <c r="R71"/>
      <c r="S71"/>
      <c r="T71"/>
      <c r="U71" s="809"/>
      <c r="V71" s="809"/>
      <c r="W71" s="809"/>
      <c r="X71" s="809"/>
      <c r="Y71" s="809"/>
      <c r="Z71" s="809"/>
      <c r="AA71" s="809"/>
      <c r="AB71" s="809"/>
      <c r="AC71" s="809"/>
      <c r="AD71" s="809"/>
      <c r="AE71" s="809"/>
      <c r="AF71" s="809"/>
      <c r="AG71" s="809"/>
      <c r="AH71" s="809"/>
      <c r="AI71" s="809"/>
      <c r="AJ71" s="809"/>
      <c r="AK71" s="809"/>
    </row>
    <row r="72" spans="1:48" s="510" customFormat="1" ht="15.75" thickBot="1">
      <c r="C72" s="1520" t="s">
        <v>717</v>
      </c>
      <c r="D72" s="122" t="s">
        <v>235</v>
      </c>
      <c r="E72" s="407">
        <v>83990</v>
      </c>
      <c r="F72" s="122" t="s">
        <v>718</v>
      </c>
      <c r="G72" s="1248"/>
      <c r="H72" s="407"/>
      <c r="I72" s="407">
        <v>0.75</v>
      </c>
      <c r="J72" s="1249">
        <f>+J66</f>
        <v>1252160.0000000002</v>
      </c>
      <c r="K72" s="778"/>
      <c r="L72" s="778">
        <f>+J72*I72+80473+250000</f>
        <v>1269593.0000000002</v>
      </c>
      <c r="M72" s="1249"/>
      <c r="N72" s="1221">
        <f>+M72+L72</f>
        <v>1269593.0000000002</v>
      </c>
      <c r="O72" s="1249"/>
      <c r="P72" s="1217">
        <f t="shared" si="17"/>
        <v>1269593.0000000002</v>
      </c>
      <c r="Q72"/>
      <c r="R72"/>
      <c r="S72"/>
      <c r="T72"/>
    </row>
    <row r="73" spans="1:48" ht="26.25" thickBot="1">
      <c r="A73" s="1052">
        <v>162</v>
      </c>
      <c r="B73" s="1052"/>
      <c r="C73" s="838" t="s">
        <v>0</v>
      </c>
      <c r="D73" s="839"/>
      <c r="E73" s="1207"/>
      <c r="F73" s="839"/>
      <c r="G73" s="839"/>
      <c r="H73" s="1207" t="s">
        <v>209</v>
      </c>
      <c r="I73" s="1207">
        <v>1</v>
      </c>
      <c r="J73" s="1208"/>
      <c r="K73" s="1209">
        <f>+K74+K78</f>
        <v>327894154</v>
      </c>
      <c r="L73" s="1210">
        <f>+L74+L77</f>
        <v>335906154</v>
      </c>
      <c r="M73" s="1209">
        <f>+M74+M77</f>
        <v>0</v>
      </c>
      <c r="N73" s="1230">
        <f>+N74+N77</f>
        <v>335906154</v>
      </c>
      <c r="O73" s="1209">
        <f>+O74+O77</f>
        <v>0</v>
      </c>
      <c r="P73" s="1946">
        <f>+O73+N73</f>
        <v>335906154</v>
      </c>
      <c r="Q73"/>
      <c r="R73"/>
      <c r="S73"/>
      <c r="T73"/>
    </row>
    <row r="74" spans="1:48" ht="38.25">
      <c r="A74" s="1052"/>
      <c r="B74" s="1052">
        <v>114</v>
      </c>
      <c r="C74" s="827" t="s">
        <v>336</v>
      </c>
      <c r="D74" s="828"/>
      <c r="E74" s="829"/>
      <c r="F74" s="828"/>
      <c r="G74" s="828"/>
      <c r="H74" s="829" t="s">
        <v>209</v>
      </c>
      <c r="I74" s="829">
        <v>1</v>
      </c>
      <c r="J74" s="1225"/>
      <c r="K74" s="1226">
        <f>SUM(K75:K76)</f>
        <v>5000000</v>
      </c>
      <c r="L74" s="1227">
        <f>SUM(L75:L76)</f>
        <v>13012000</v>
      </c>
      <c r="M74" s="1226">
        <f>SUM(M75:M76)</f>
        <v>0</v>
      </c>
      <c r="N74" s="1228">
        <f>SUM(N75:N76)</f>
        <v>13012000</v>
      </c>
      <c r="O74" s="1226">
        <f>SUM(O75:O76)</f>
        <v>0</v>
      </c>
      <c r="P74" s="1228">
        <f>+SUM(P75:P76)</f>
        <v>13012000</v>
      </c>
      <c r="Q74"/>
      <c r="R74"/>
      <c r="S74"/>
      <c r="T74"/>
    </row>
    <row r="75" spans="1:48">
      <c r="C75" s="1517" t="s">
        <v>445</v>
      </c>
      <c r="D75" s="122" t="s">
        <v>568</v>
      </c>
      <c r="E75" s="814">
        <v>65119</v>
      </c>
      <c r="F75" s="175"/>
      <c r="G75" s="175"/>
      <c r="H75" s="811"/>
      <c r="I75" s="811"/>
      <c r="J75" s="281">
        <v>3000000</v>
      </c>
      <c r="K75" s="281">
        <f t="shared" ref="K75:L78" si="19">+J75</f>
        <v>3000000</v>
      </c>
      <c r="L75" s="268">
        <f>+K75+3012000</f>
        <v>6012000</v>
      </c>
      <c r="M75" s="281"/>
      <c r="N75" s="1221">
        <f>+M75+L75</f>
        <v>6012000</v>
      </c>
      <c r="O75" s="281"/>
      <c r="P75" s="1217">
        <f t="shared" ref="P75:P76" si="20">+O75+N75</f>
        <v>6012000</v>
      </c>
      <c r="Q75" s="517"/>
      <c r="S75"/>
    </row>
    <row r="76" spans="1:48">
      <c r="C76" s="1517" t="s">
        <v>464</v>
      </c>
      <c r="D76" s="122" t="s">
        <v>568</v>
      </c>
      <c r="E76" s="251">
        <v>63399</v>
      </c>
      <c r="F76" s="175"/>
      <c r="G76" s="175"/>
      <c r="H76" s="811"/>
      <c r="I76" s="811"/>
      <c r="J76" s="281">
        <v>2000000</v>
      </c>
      <c r="K76" s="281">
        <f t="shared" si="19"/>
        <v>2000000</v>
      </c>
      <c r="L76" s="268">
        <f>+K76+5000000</f>
        <v>7000000</v>
      </c>
      <c r="M76" s="281"/>
      <c r="N76" s="1221">
        <f>+M76+L76</f>
        <v>7000000</v>
      </c>
      <c r="O76" s="281"/>
      <c r="P76" s="1217">
        <f t="shared" si="20"/>
        <v>7000000</v>
      </c>
      <c r="Q76" s="1947"/>
    </row>
    <row r="77" spans="1:48">
      <c r="A77" s="1052"/>
      <c r="B77" s="1052">
        <v>115</v>
      </c>
      <c r="C77" s="1261" t="s">
        <v>660</v>
      </c>
      <c r="D77" s="1262"/>
      <c r="E77" s="1263"/>
      <c r="F77" s="292"/>
      <c r="G77" s="292"/>
      <c r="H77" s="170"/>
      <c r="I77" s="170"/>
      <c r="J77" s="1264"/>
      <c r="K77" s="1264"/>
      <c r="L77" s="1265">
        <f>+L78</f>
        <v>322894154</v>
      </c>
      <c r="M77" s="1264">
        <f>+M78</f>
        <v>0</v>
      </c>
      <c r="N77" s="1272">
        <f>+N78</f>
        <v>322894154</v>
      </c>
      <c r="O77" s="1247">
        <f>+O78</f>
        <v>0</v>
      </c>
      <c r="P77" s="1950"/>
      <c r="Q77" s="517"/>
      <c r="R77" s="517"/>
    </row>
    <row r="78" spans="1:48" ht="29.25" customHeight="1" thickBot="1">
      <c r="C78" s="1252" t="s">
        <v>227</v>
      </c>
      <c r="D78" s="1253" t="s">
        <v>603</v>
      </c>
      <c r="E78" s="1253"/>
      <c r="F78" s="1253"/>
      <c r="G78" s="1253"/>
      <c r="H78" s="1254" t="s">
        <v>209</v>
      </c>
      <c r="I78" s="1254">
        <v>1</v>
      </c>
      <c r="J78" s="1255">
        <v>322894154</v>
      </c>
      <c r="K78" s="1255">
        <f t="shared" si="19"/>
        <v>322894154</v>
      </c>
      <c r="L78" s="1256">
        <f t="shared" si="19"/>
        <v>322894154</v>
      </c>
      <c r="M78" s="1255"/>
      <c r="N78" s="1257">
        <f>+M78+L78</f>
        <v>322894154</v>
      </c>
      <c r="O78" s="1255"/>
      <c r="P78" s="1257"/>
    </row>
    <row r="79" spans="1:48" ht="15.75" thickBot="1">
      <c r="C79" s="2539" t="s">
        <v>10</v>
      </c>
      <c r="D79" s="2540"/>
      <c r="E79" s="2540"/>
      <c r="F79" s="2540"/>
      <c r="G79" s="2540"/>
      <c r="H79" s="2540"/>
      <c r="I79" s="2540"/>
      <c r="J79" s="2540"/>
      <c r="K79" s="772"/>
      <c r="L79" s="773">
        <f>+L73+L59+L53+L36+L33+L10</f>
        <v>1506193333.0000002</v>
      </c>
      <c r="M79" s="1269">
        <f>+M73+M59+M53+M36+M33+M10</f>
        <v>435324989</v>
      </c>
      <c r="N79" s="1273">
        <f>+N73+N59+N53+N36+N33+N10</f>
        <v>1941518322.3920002</v>
      </c>
      <c r="O79" s="1269">
        <f>+O73+O59+O53+O36+O33+O10</f>
        <v>98249832.27775979</v>
      </c>
      <c r="P79" s="1269">
        <f>+P73+P59+P53+P36+P33+P10</f>
        <v>2039768154.66976</v>
      </c>
      <c r="Q79" s="1260"/>
    </row>
    <row r="80" spans="1:48" ht="15.75" thickBot="1">
      <c r="O80" s="841"/>
      <c r="R80" s="2053"/>
      <c r="AV80" s="1240"/>
    </row>
    <row r="81" spans="4:48" ht="15.75" thickBot="1">
      <c r="L81" s="1380">
        <f>1139105268+367088065</f>
        <v>1506193333</v>
      </c>
      <c r="M81" s="1381">
        <v>435324989</v>
      </c>
      <c r="N81" s="1382">
        <f>1574430257+367088065</f>
        <v>1941518322</v>
      </c>
      <c r="O81" s="1381">
        <v>98249832</v>
      </c>
      <c r="P81" s="1381">
        <v>2039768154</v>
      </c>
      <c r="U81" s="1491"/>
      <c r="AV81" s="1240"/>
    </row>
    <row r="82" spans="4:48">
      <c r="L82" s="1240">
        <f>+L81-L79</f>
        <v>0</v>
      </c>
      <c r="M82" s="1240">
        <f>+M81-M79</f>
        <v>0</v>
      </c>
      <c r="N82" s="1240">
        <f>+N81-N79</f>
        <v>-0.39200019836425781</v>
      </c>
      <c r="O82" s="1240">
        <f>+O81-O79</f>
        <v>-0.27775979042053223</v>
      </c>
      <c r="P82" s="1240">
        <f>+P81-P79</f>
        <v>-0.66975998878479004</v>
      </c>
      <c r="AV82" s="1240"/>
    </row>
    <row r="83" spans="4:48">
      <c r="H83" s="1482"/>
      <c r="O83" s="841"/>
      <c r="AQ83" s="1240"/>
    </row>
    <row r="84" spans="4:48" ht="15.75" customHeight="1">
      <c r="D84" s="1258"/>
      <c r="F84" s="1259"/>
      <c r="G84" s="1259"/>
      <c r="H84" s="1259"/>
      <c r="L84" s="1240"/>
      <c r="O84" s="1240"/>
    </row>
    <row r="85" spans="4:48" ht="15.75">
      <c r="D85" s="1259"/>
      <c r="F85" s="841"/>
      <c r="G85" s="841"/>
      <c r="H85" s="841"/>
      <c r="O85" s="1240"/>
    </row>
    <row r="86" spans="4:48" ht="15.75">
      <c r="D86" s="1259"/>
      <c r="F86" s="841"/>
      <c r="G86" s="841"/>
      <c r="H86" s="517"/>
      <c r="L86" s="1240"/>
      <c r="O86" s="841"/>
    </row>
    <row r="87" spans="4:48">
      <c r="F87" s="841"/>
      <c r="G87" s="841"/>
      <c r="H87" s="841"/>
      <c r="N87" s="1490"/>
      <c r="O87" s="841"/>
    </row>
    <row r="88" spans="4:48">
      <c r="O88" s="841"/>
    </row>
    <row r="89" spans="4:48">
      <c r="O89" s="841"/>
    </row>
    <row r="90" spans="4:48">
      <c r="O90" s="841"/>
    </row>
    <row r="91" spans="4:48">
      <c r="R91" s="1490"/>
    </row>
    <row r="92" spans="4:48">
      <c r="S92" s="1490"/>
    </row>
    <row r="94" spans="4:48">
      <c r="N94" s="1549"/>
    </row>
    <row r="95" spans="4:48">
      <c r="K95" s="1480"/>
    </row>
    <row r="96" spans="4:48">
      <c r="J96" s="1260"/>
    </row>
    <row r="97" spans="3:12">
      <c r="C97" s="2666" t="s">
        <v>1175</v>
      </c>
      <c r="K97" s="1549"/>
    </row>
    <row r="98" spans="3:12">
      <c r="C98" s="2666"/>
    </row>
    <row r="99" spans="3:12">
      <c r="C99" s="2666"/>
    </row>
    <row r="100" spans="3:12">
      <c r="L100" s="510"/>
    </row>
  </sheetData>
  <mergeCells count="26">
    <mergeCell ref="A7:A9"/>
    <mergeCell ref="B7:B9"/>
    <mergeCell ref="C1:C3"/>
    <mergeCell ref="O1:P1"/>
    <mergeCell ref="O2:P2"/>
    <mergeCell ref="O3:P3"/>
    <mergeCell ref="C7:C9"/>
    <mergeCell ref="D7:D9"/>
    <mergeCell ref="E7:E9"/>
    <mergeCell ref="F7:F9"/>
    <mergeCell ref="G7:G9"/>
    <mergeCell ref="H7:H9"/>
    <mergeCell ref="I7:I9"/>
    <mergeCell ref="C97:C99"/>
    <mergeCell ref="D1:N3"/>
    <mergeCell ref="C5:P5"/>
    <mergeCell ref="C6:P6"/>
    <mergeCell ref="P7:P9"/>
    <mergeCell ref="L8:L9"/>
    <mergeCell ref="M8:M9"/>
    <mergeCell ref="C79:J79"/>
    <mergeCell ref="O8:O9"/>
    <mergeCell ref="J7:J9"/>
    <mergeCell ref="K7:K9"/>
    <mergeCell ref="L7:M7"/>
    <mergeCell ref="N7:N9"/>
  </mergeCells>
  <pageMargins left="0.7" right="0.7" top="0.75" bottom="0.75" header="0.3" footer="0.3"/>
  <pageSetup orientation="portrait" verticalDpi="597" r:id="rId1"/>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Estr prop</vt:lpstr>
      <vt:lpstr>Estr actual</vt:lpstr>
      <vt:lpstr>FUENTES</vt:lpstr>
      <vt:lpstr>NOMINA</vt:lpstr>
      <vt:lpstr>COMPARATIVO INDIC</vt:lpstr>
      <vt:lpstr>2021</vt:lpstr>
      <vt:lpstr>Matriz indic </vt:lpstr>
      <vt:lpstr>INDIC</vt:lpstr>
      <vt:lpstr>RESOLUCIONES</vt:lpstr>
      <vt:lpstr>CONSOLIDADO</vt:lpstr>
      <vt:lpstr>320101</vt:lpstr>
      <vt:lpstr>ACCIONES 320101</vt:lpstr>
      <vt:lpstr>320102</vt:lpstr>
      <vt:lpstr>ACCIONES 320102</vt:lpstr>
      <vt:lpstr>320103</vt:lpstr>
      <vt:lpstr>ACCIONES 320103</vt:lpstr>
      <vt:lpstr>320201</vt:lpstr>
      <vt:lpstr>ACCIONES 320201</vt:lpstr>
      <vt:lpstr>320202</vt:lpstr>
      <vt:lpstr>ACCIONES 320202</vt:lpstr>
      <vt:lpstr>320203</vt:lpstr>
      <vt:lpstr>ACCIONES 320203</vt:lpstr>
      <vt:lpstr>320301</vt:lpstr>
      <vt:lpstr>ACCIONES 320301</vt:lpstr>
      <vt:lpstr>320302</vt:lpstr>
      <vt:lpstr>ACCIONES 320302</vt:lpstr>
      <vt:lpstr>320401</vt:lpstr>
      <vt:lpstr>ACCIONES 320401</vt:lpstr>
      <vt:lpstr>320501</vt:lpstr>
      <vt:lpstr>ACCIONES 320501</vt:lpstr>
      <vt:lpstr>320502</vt:lpstr>
      <vt:lpstr>ACCIONES 320502</vt:lpstr>
      <vt:lpstr>320503</vt:lpstr>
      <vt:lpstr>320504</vt:lpstr>
      <vt:lpstr>ACCIONES 320503</vt:lpstr>
      <vt:lpstr>320601</vt:lpstr>
      <vt:lpstr>ACCIONES 320601</vt:lpstr>
      <vt:lpstr>320801</vt:lpstr>
      <vt:lpstr>ACCIONES 320801 </vt:lpstr>
      <vt:lpstr>329901</vt:lpstr>
      <vt:lpstr>ACCIONES 329901</vt:lpstr>
      <vt:lpstr>Hoja1</vt:lpstr>
      <vt:lpstr>'ACCIONES 320601'!Área_de_impresión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GI-113</dc:creator>
  <cp:lastModifiedBy>Deyson</cp:lastModifiedBy>
  <cp:lastPrinted>2022-12-22T13:51:41Z</cp:lastPrinted>
  <dcterms:created xsi:type="dcterms:W3CDTF">2020-06-12T14:15:38Z</dcterms:created>
  <dcterms:modified xsi:type="dcterms:W3CDTF">2023-09-29T17:10:05Z</dcterms:modified>
</cp:coreProperties>
</file>