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Martha Viviana Diaz\Dropbox\Mi PC (Dell)\Documents\CAM\INDICADORES SIG 2020\"/>
    </mc:Choice>
  </mc:AlternateContent>
  <xr:revisionPtr revIDLastSave="0" documentId="13_ncr:1_{C2D48D73-6662-4FCB-9190-B49130B99F05}" xr6:coauthVersionLast="45" xr6:coauthVersionMax="45" xr10:uidLastSave="{00000000-0000-0000-0000-000000000000}"/>
  <bookViews>
    <workbookView xWindow="-120" yWindow="-120" windowWidth="20730" windowHeight="11160" xr2:uid="{00000000-000D-0000-FFFF-FFFF00000000}"/>
  </bookViews>
  <sheets>
    <sheet name="Tablero indicadores SIG" sheetId="1" r:id="rId1"/>
    <sheet name="Tablero indicadores SIG (2)" sheetId="2" state="hidden" r:id="rId2"/>
    <sheet name="Hoja2" sheetId="3" state="hidden" r:id="rId3"/>
  </sheets>
  <definedNames>
    <definedName name="_xlnm._FilterDatabase" localSheetId="0" hidden="1">'Tablero indicadores SIG'!$A$5:$AD$49</definedName>
    <definedName name="_xlnm._FilterDatabase" localSheetId="1" hidden="1">'Tablero indicadores SIG (2)'!$A$4:$O$6</definedName>
    <definedName name="_xlnm.Print_Titles" localSheetId="0">'Tablero indicadores SIG'!$4:$5</definedName>
  </definedNames>
  <calcPr calcId="191029"/>
</workbook>
</file>

<file path=xl/calcChain.xml><?xml version="1.0" encoding="utf-8"?>
<calcChain xmlns="http://schemas.openxmlformats.org/spreadsheetml/2006/main">
  <c r="W43" i="1" l="1"/>
  <c r="W27" i="1" l="1"/>
  <c r="W35" i="1" l="1"/>
  <c r="X35" i="1" s="1"/>
  <c r="X45" i="1" l="1"/>
  <c r="P46" i="1" l="1"/>
  <c r="R47" i="1" l="1"/>
  <c r="R46" i="1"/>
  <c r="S45" i="1"/>
  <c r="N6" i="2" l="1"/>
  <c r="M6" i="2"/>
  <c r="R28" i="1"/>
  <c r="S28" i="1" s="1"/>
  <c r="R49" i="1"/>
  <c r="R48" i="1"/>
  <c r="S48" i="1" s="1"/>
  <c r="M43" i="1"/>
  <c r="N43" i="1" s="1"/>
  <c r="R41" i="1"/>
  <c r="S41" i="1" s="1"/>
  <c r="S46" i="1"/>
  <c r="S47" i="1"/>
  <c r="R43" i="1"/>
  <c r="S43" i="1" s="1"/>
  <c r="R36" i="1"/>
  <c r="S36" i="1" s="1"/>
  <c r="R27" i="1"/>
  <c r="R26" i="1"/>
  <c r="R22" i="1"/>
  <c r="S22" i="1" s="1"/>
  <c r="R21" i="1"/>
  <c r="S21" i="1" s="1"/>
  <c r="R20" i="1"/>
  <c r="S20" i="1" s="1"/>
  <c r="R19" i="1"/>
  <c r="S19" i="1" s="1"/>
  <c r="R18" i="1"/>
  <c r="S18" i="1" s="1"/>
  <c r="R17" i="1"/>
  <c r="S17" i="1" s="1"/>
  <c r="R16" i="1"/>
  <c r="S16" i="1" s="1"/>
  <c r="R15" i="1"/>
  <c r="S15" i="1" s="1"/>
  <c r="R14" i="1"/>
  <c r="S14" i="1" s="1"/>
  <c r="R13" i="1"/>
  <c r="S13" i="1" s="1"/>
  <c r="R12" i="1"/>
  <c r="S12" i="1" s="1"/>
  <c r="R11" i="1"/>
  <c r="S11" i="1" s="1"/>
  <c r="M27" i="1"/>
  <c r="M47" i="1"/>
  <c r="N47" i="1" s="1"/>
  <c r="K46" i="1"/>
  <c r="M46" i="1" s="1"/>
  <c r="N46" i="1" s="1"/>
  <c r="N45" i="1"/>
  <c r="M44" i="1"/>
  <c r="N44" i="1" s="1"/>
  <c r="M42" i="1"/>
  <c r="N6" i="1" s="1"/>
  <c r="M41" i="1"/>
  <c r="N41" i="1" s="1"/>
  <c r="M40" i="1"/>
  <c r="N40" i="1" s="1"/>
  <c r="M39" i="1"/>
  <c r="N39" i="1" s="1"/>
  <c r="M38" i="1"/>
  <c r="N38" i="1" s="1"/>
  <c r="M37" i="1"/>
  <c r="N37" i="1" s="1"/>
  <c r="M35" i="1"/>
  <c r="N35" i="1" s="1"/>
  <c r="M34" i="1"/>
  <c r="N34" i="1" s="1"/>
  <c r="M33" i="1"/>
  <c r="N33" i="1" s="1"/>
  <c r="M32" i="1"/>
  <c r="N32" i="1" s="1"/>
  <c r="M31" i="1"/>
  <c r="N31" i="1" s="1"/>
  <c r="M30" i="1"/>
  <c r="N30" i="1" s="1"/>
  <c r="M29" i="1"/>
  <c r="N29" i="1" s="1"/>
  <c r="M28" i="1"/>
  <c r="N28" i="1" s="1"/>
  <c r="M26" i="1"/>
  <c r="N26" i="1" s="1"/>
  <c r="M20" i="1"/>
  <c r="N20" i="1" s="1"/>
  <c r="M19" i="1"/>
  <c r="N19" i="1" s="1"/>
  <c r="M18" i="1"/>
  <c r="N18" i="1" s="1"/>
  <c r="M17" i="1"/>
  <c r="N17" i="1" s="1"/>
  <c r="M16" i="1"/>
  <c r="N16" i="1" s="1"/>
  <c r="M15" i="1"/>
  <c r="N15" i="1" s="1"/>
  <c r="M14" i="1"/>
  <c r="N14" i="1" s="1"/>
  <c r="M13" i="1"/>
  <c r="N13" i="1" s="1"/>
  <c r="M6" i="1"/>
  <c r="AB37" i="1"/>
  <c r="AC37" i="1" s="1"/>
  <c r="AB8" i="1"/>
  <c r="AC8" i="1" s="1"/>
  <c r="AB27" i="1"/>
  <c r="AC27" i="1" s="1"/>
  <c r="AB26" i="1"/>
  <c r="AC26" i="1" s="1"/>
  <c r="AB21" i="1"/>
  <c r="AC21" i="1" s="1"/>
  <c r="AB11" i="1"/>
  <c r="AC11" i="1" s="1"/>
  <c r="AB18" i="1"/>
  <c r="AC18" i="1" s="1"/>
  <c r="AB33" i="1"/>
  <c r="AC33" i="1" s="1"/>
  <c r="AB36" i="1"/>
  <c r="AC36" i="1" s="1"/>
  <c r="AB23" i="1"/>
  <c r="AC23" i="1" s="1"/>
  <c r="AB43" i="1"/>
  <c r="AC43" i="1" s="1"/>
  <c r="AC42" i="1"/>
  <c r="AB41" i="1"/>
  <c r="AC41" i="1" s="1"/>
  <c r="AB40" i="1"/>
  <c r="AC40" i="1" s="1"/>
  <c r="AB39" i="1"/>
  <c r="AC39" i="1" s="1"/>
  <c r="AB38" i="1"/>
  <c r="AC38" i="1" s="1"/>
  <c r="AB34" i="1"/>
  <c r="AC34" i="1" s="1"/>
  <c r="AB32" i="1"/>
  <c r="AC32" i="1" s="1"/>
  <c r="AB31" i="1"/>
  <c r="AC31" i="1" s="1"/>
  <c r="AB30" i="1"/>
  <c r="AC30" i="1" s="1"/>
  <c r="AB29" i="1"/>
  <c r="AC29" i="1" s="1"/>
  <c r="AB24" i="1"/>
  <c r="AC24" i="1" s="1"/>
  <c r="AB25" i="1"/>
  <c r="AC25" i="1" s="1"/>
  <c r="AB22" i="1"/>
  <c r="AC22" i="1" s="1"/>
  <c r="AB10" i="1"/>
  <c r="AC10" i="1" s="1"/>
  <c r="AB9" i="1"/>
  <c r="AC9" i="1" s="1"/>
  <c r="AB7" i="1"/>
  <c r="AC7" i="1" s="1"/>
  <c r="AB6" i="1"/>
  <c r="AC6" i="1" s="1"/>
  <c r="AC44" i="1"/>
  <c r="AC35" i="1"/>
  <c r="AB20" i="1"/>
  <c r="AC20" i="1" s="1"/>
  <c r="AB19" i="1"/>
  <c r="AC19" i="1" s="1"/>
  <c r="AB17" i="1"/>
  <c r="AC17" i="1" s="1"/>
  <c r="AB16" i="1"/>
  <c r="AC16" i="1" s="1"/>
  <c r="AB15" i="1"/>
  <c r="AC15" i="1" s="1"/>
  <c r="AB14" i="1"/>
  <c r="AC14" i="1" s="1"/>
  <c r="AB13" i="1"/>
  <c r="AC13" i="1" s="1"/>
  <c r="AB12" i="1"/>
  <c r="AC12" i="1" s="1"/>
  <c r="X44" i="1"/>
  <c r="W36" i="1"/>
  <c r="X36" i="1" s="1"/>
  <c r="W40" i="1"/>
  <c r="W39" i="1"/>
  <c r="W38" i="1"/>
  <c r="W34" i="1"/>
  <c r="W30" i="1"/>
  <c r="W12" i="1"/>
  <c r="X12" i="1" s="1"/>
  <c r="W18" i="1"/>
  <c r="X18" i="1" s="1"/>
  <c r="W49" i="1"/>
  <c r="W48" i="1"/>
  <c r="X48" i="1" s="1"/>
  <c r="W47" i="1"/>
  <c r="X47" i="1" s="1"/>
  <c r="W46" i="1"/>
  <c r="X46" i="1" s="1"/>
  <c r="W20" i="1"/>
  <c r="X20" i="1" s="1"/>
  <c r="W17" i="1"/>
  <c r="X17" i="1" s="1"/>
  <c r="W16" i="1"/>
  <c r="X16" i="1" s="1"/>
  <c r="W14" i="1"/>
  <c r="X14" i="1" s="1"/>
  <c r="W13" i="1"/>
  <c r="X13" i="1" s="1"/>
  <c r="X43" i="1"/>
  <c r="W41" i="1"/>
  <c r="X41" i="1" s="1"/>
  <c r="W37" i="1"/>
  <c r="X37" i="1" s="1"/>
  <c r="W33" i="1"/>
  <c r="X33" i="1" s="1"/>
  <c r="W32" i="1"/>
  <c r="X32" i="1" s="1"/>
  <c r="W31" i="1"/>
  <c r="X31" i="1" s="1"/>
  <c r="X27" i="1"/>
  <c r="W26" i="1"/>
  <c r="X26" i="1" s="1"/>
  <c r="W22" i="1"/>
  <c r="X22" i="1" s="1"/>
  <c r="W19" i="1"/>
  <c r="X19" i="1" s="1"/>
  <c r="W15" i="1"/>
  <c r="X15" i="1" s="1"/>
  <c r="W11" i="1"/>
  <c r="X11" i="1" s="1"/>
  <c r="W8" i="1"/>
  <c r="X8" i="1" s="1"/>
  <c r="W7" i="1"/>
  <c r="X7" i="1" s="1"/>
  <c r="W6" i="1"/>
  <c r="X6" i="1" s="1"/>
  <c r="R7" i="1"/>
  <c r="S7" i="1" s="1"/>
  <c r="R6" i="1"/>
  <c r="S6" i="1" s="1"/>
  <c r="R29" i="1"/>
  <c r="S29" i="1" s="1"/>
  <c r="R8" i="1"/>
  <c r="S8" i="1" s="1"/>
  <c r="M7" i="1"/>
  <c r="M23" i="1"/>
  <c r="N23" i="1" s="1"/>
  <c r="M8" i="1"/>
  <c r="M9" i="1"/>
  <c r="M10" i="1"/>
  <c r="M12" i="1"/>
  <c r="N12" i="1" s="1"/>
  <c r="M21" i="1"/>
  <c r="N21" i="1" s="1"/>
  <c r="M22" i="1"/>
  <c r="N22" i="1" s="1"/>
  <c r="M24" i="1"/>
  <c r="N24" i="1" s="1"/>
  <c r="M25" i="1"/>
  <c r="N25" i="1" s="1"/>
  <c r="M36" i="1"/>
  <c r="N36" i="1" s="1"/>
  <c r="M48" i="1"/>
  <c r="N48" i="1" s="1"/>
  <c r="M49" i="1"/>
  <c r="N49" i="1" s="1"/>
  <c r="S49" i="1" l="1"/>
  <c r="X49" i="1"/>
  <c r="N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SUBDIRECCIÒN DE PLANEACIÒN</author>
    <author>ramunoz</author>
    <author>Asus</author>
    <author>Martha Viviana Diaz Quintero</author>
  </authors>
  <commentList>
    <comment ref="F13" authorId="0" shapeId="0" xr:uid="{00000000-0006-0000-0000-000001000000}">
      <text>
        <r>
          <rPr>
            <b/>
            <sz val="12"/>
            <color indexed="81"/>
            <rFont val="Arial"/>
            <family val="2"/>
          </rPr>
          <t>Denuncia atendida:</t>
        </r>
        <r>
          <rPr>
            <sz val="12"/>
            <color indexed="81"/>
            <rFont val="Arial"/>
            <family val="2"/>
          </rPr>
          <t xml:space="preserve">  cuando se hace visita o cuando se da traslado por competencia. 
Las denuncias atendidas son acumuladas</t>
        </r>
      </text>
    </comment>
    <comment ref="F14" authorId="0" shapeId="0" xr:uid="{00000000-0006-0000-0000-000002000000}">
      <text>
        <r>
          <rPr>
            <b/>
            <sz val="12"/>
            <color indexed="81"/>
            <rFont val="Arial"/>
            <family val="2"/>
          </rPr>
          <t>Denuncia resuelta:</t>
        </r>
        <r>
          <rPr>
            <sz val="12"/>
            <color indexed="81"/>
            <rFont val="Arial"/>
            <family val="2"/>
          </rPr>
          <t xml:space="preserve"> Se entiende por resuelta cuando se dio traslado por competencia,  se impone amonestación, cuando se expide resolución sancionatoria, de cesación y auto de archivo.
Las denuncias resueltas son acumuladas dentro del año.
La denuncia radicada es recibida en el período</t>
        </r>
        <r>
          <rPr>
            <sz val="8"/>
            <color indexed="81"/>
            <rFont val="Tahoma"/>
            <family val="2"/>
          </rPr>
          <t xml:space="preserve">
</t>
        </r>
      </text>
    </comment>
    <comment ref="F15" authorId="1" shapeId="0" xr:uid="{00000000-0006-0000-0000-000003000000}">
      <text>
        <r>
          <rPr>
            <sz val="11"/>
            <color indexed="81"/>
            <rFont val="Tahoma"/>
            <family val="2"/>
          </rPr>
          <t xml:space="preserve">Corresponde al número de días calendario desde su radicación hasta la fecha de visita o traslado por competencia
</t>
        </r>
      </text>
    </comment>
    <comment ref="F16" authorId="0" shapeId="0" xr:uid="{00000000-0006-0000-0000-000004000000}">
      <text>
        <r>
          <rPr>
            <sz val="12"/>
            <color indexed="81"/>
            <rFont val="Arial"/>
            <family val="2"/>
          </rPr>
          <t xml:space="preserve">Se toman los expedientes acumulados que requieren seguimiento (incluyendo vigencias anteriores)
</t>
        </r>
      </text>
    </comment>
    <comment ref="F17" authorId="0" shapeId="0" xr:uid="{00000000-0006-0000-0000-000005000000}">
      <text>
        <r>
          <rPr>
            <b/>
            <sz val="12"/>
            <color indexed="81"/>
            <rFont val="Arial"/>
            <family val="2"/>
          </rPr>
          <t xml:space="preserve">Solicitud atendida: </t>
        </r>
        <r>
          <rPr>
            <sz val="12"/>
            <color indexed="81"/>
            <rFont val="Arial"/>
            <family val="2"/>
          </rPr>
          <t>Se entiende como atendida cuando se emite auto de inicio, con el requerimiento de documentos faltantes o cuando se da traslado por competencia</t>
        </r>
        <r>
          <rPr>
            <sz val="8"/>
            <color indexed="81"/>
            <rFont val="Tahoma"/>
            <family val="2"/>
          </rPr>
          <t xml:space="preserve">
</t>
        </r>
      </text>
    </comment>
    <comment ref="F18" authorId="0" shapeId="0" xr:uid="{00000000-0006-0000-0000-000006000000}">
      <text>
        <r>
          <rPr>
            <b/>
            <sz val="12"/>
            <color indexed="81"/>
            <rFont val="Arial"/>
            <family val="2"/>
          </rPr>
          <t xml:space="preserve">Solicitud resuelta: </t>
        </r>
        <r>
          <rPr>
            <sz val="12"/>
            <color indexed="81"/>
            <rFont val="Arial"/>
            <family val="2"/>
          </rPr>
          <t>Se entiende por resuelta cuando se ha expedido resolución que otorga o niega la licencia o permiso o cuando se archiva el expediente por desistimiento.</t>
        </r>
      </text>
    </comment>
    <comment ref="F19" authorId="2" shapeId="0" xr:uid="{00000000-0006-0000-0000-000007000000}">
      <text>
        <r>
          <rPr>
            <sz val="11"/>
            <color indexed="81"/>
            <rFont val="Tahoma"/>
            <family val="2"/>
          </rPr>
          <t>corresponde al numero de dias trasncurridos desde el requerimiento de documentos faltantes y/o generación del auto de inicio.</t>
        </r>
      </text>
    </comment>
    <comment ref="Y20" authorId="3" shapeId="0" xr:uid="{00000000-0006-0000-0000-000008000000}">
      <text>
        <r>
          <rPr>
            <b/>
            <sz val="9"/>
            <color indexed="81"/>
            <rFont val="Tahoma"/>
            <family val="2"/>
          </rPr>
          <t>Martha Viviana Diaz Quintero:</t>
        </r>
        <r>
          <rPr>
            <sz val="9"/>
            <color indexed="81"/>
            <rFont val="Tahoma"/>
            <family val="2"/>
          </rPr>
          <t xml:space="preserve">
ESTOS COMENTARIOS CORRESPONDEN AL ANÁLISIS DEL PERIODO ANTERIOR POR SI LOS QUIEREN UTILIZAR COMO GUÍA. 
NO PARA COPIAR PORQUE EL RESULTADO DEL INDICADOR LO MÁS PROBABLE ES QUE CAMBIE.</t>
        </r>
      </text>
    </comment>
  </commentList>
</comments>
</file>

<file path=xl/sharedStrings.xml><?xml version="1.0" encoding="utf-8"?>
<sst xmlns="http://schemas.openxmlformats.org/spreadsheetml/2006/main" count="632" uniqueCount="300">
  <si>
    <t>ANÁLISIS DE RESULTADOS</t>
  </si>
  <si>
    <t>GESTIÓN AMBIENTAL</t>
  </si>
  <si>
    <t>CONOCIMIENTO Y EVALUACIÓN DE LA OFERTA Y DEMANDA AMBIENTAL</t>
  </si>
  <si>
    <t>Oportunidad en la solución de requerimientos de usuarios del SIG</t>
  </si>
  <si>
    <t>Eficiencia</t>
  </si>
  <si>
    <t>Profesionales SIG</t>
  </si>
  <si>
    <t>Semestral</t>
  </si>
  <si>
    <t>NA</t>
  </si>
  <si>
    <t>Grado de satisfacción de los usuarios del servicio del SIG</t>
  </si>
  <si>
    <t>Eficacia</t>
  </si>
  <si>
    <t>Calificación promedio del servicio</t>
  </si>
  <si>
    <t>GESTIÓN POR PROYECTOS</t>
  </si>
  <si>
    <t>Ejecución Presupuestal de Inversión</t>
  </si>
  <si>
    <t>Presupuesto de Inversión Comprometido/ Presupuesto de Inversión Definitivo</t>
  </si>
  <si>
    <t>&gt;95%</t>
  </si>
  <si>
    <t>Jefes de dependencia</t>
  </si>
  <si>
    <t>Porcentaje del presupuesto de inversión comprometido en reserva presupuestal</t>
  </si>
  <si>
    <t>Valor total de la reserva presupuestal de inversión/ Valor total del presupuesto comprometido de inversión</t>
  </si>
  <si>
    <t>&lt;40%</t>
  </si>
  <si>
    <t>Anual</t>
  </si>
  <si>
    <t>Gestión de recursos de inversión.</t>
  </si>
  <si>
    <t>(Presupuesto Definitivo de inversión - Presupuesto inicial de Inversión)/Presupuesto inicial de Inversión.</t>
  </si>
  <si>
    <t>&gt;30%</t>
  </si>
  <si>
    <t>Subdirector de Gestión Ambiental</t>
  </si>
  <si>
    <t>Ejecución física de proyectos de inversión</t>
  </si>
  <si>
    <t>&gt;80%</t>
  </si>
  <si>
    <t>Coodinadores de proyectos</t>
  </si>
  <si>
    <t>Respuesta a proyectos (Solicitudes de cofinanciación).</t>
  </si>
  <si>
    <t>Trimestral</t>
  </si>
  <si>
    <t xml:space="preserve">Reclamaciones </t>
  </si>
  <si>
    <t>&lt;3%</t>
  </si>
  <si>
    <t>Secretario General</t>
  </si>
  <si>
    <t xml:space="preserve">Cumplimiento de presupuesto en Tasas </t>
  </si>
  <si>
    <t>Recuperación de cartera</t>
  </si>
  <si>
    <t>CONTRATACIÒN</t>
  </si>
  <si>
    <t>GESTIÓN DEL TALENTO HUMANO</t>
  </si>
  <si>
    <t>Evaluación del Desempeño</t>
  </si>
  <si>
    <t>Cumplimiento del plan de capacitación</t>
  </si>
  <si>
    <t>GESTIÓN 
INFORMATICA</t>
  </si>
  <si>
    <t>Oportunidad en la solución de solicitudes de mantenimiento 
correctivo</t>
  </si>
  <si>
    <t>Σ(Fecha de solución del requerimiento - Fecha de solicitud) / Nro de requerimientos solucionados. (No se consideran los días requeridos para la adquisición de los repuestos)</t>
  </si>
  <si>
    <t>1 Dia</t>
  </si>
  <si>
    <t>Jefe Oficina de Planeación</t>
  </si>
  <si>
    <t>Atención de solicitudes de Mantenimiento Correctivo (MC)</t>
  </si>
  <si>
    <t>(Nro de solicitudes de MC atendidas/  
Total de solicitudes de MC presentadas) x 100</t>
  </si>
  <si>
    <t>Cumplimiento del Plan de Mantenimiento Preventivo</t>
  </si>
  <si>
    <t>(Visitas de MP realizadas en el periodo /
Total de visitas de MP programadas para el periodo) x 100</t>
  </si>
  <si>
    <t>Promedio general de la vida útil de todos los equipos de cómputo de propiedad de la Corporación</t>
  </si>
  <si>
    <t>Σ(Fecha actual - Fecha de compra del equipo) / Total de equipos de cómputo</t>
  </si>
  <si>
    <t>&lt; 4 años</t>
  </si>
  <si>
    <t>Outsourcing de sistemas</t>
  </si>
  <si>
    <t>GESTIÓN 
FINANCIERA</t>
  </si>
  <si>
    <t>Oportunidad en el cierre contable</t>
  </si>
  <si>
    <t>Profesional Universitario-Contabilidad</t>
  </si>
  <si>
    <t>Revisión causación de cuentas por pagar</t>
  </si>
  <si>
    <t>No de Solicitudes de Desembolso Devueltas / No de Solicitudes de Desembolso revisadas X 100</t>
  </si>
  <si>
    <t>Profesional Especializado Contador- Tesorero, Profesional Universitario-Contabilidad</t>
  </si>
  <si>
    <t>Ejecución Presupuestal de Ingresos y Gastos</t>
  </si>
  <si>
    <t>&gt;90%</t>
  </si>
  <si>
    <t>Profesional Especializado - Contador</t>
  </si>
  <si>
    <t>GESTIÓN DE RECURSOS 
FÍSICOS</t>
  </si>
  <si>
    <t>Nivel de cumplimiento del Plan de Mantenimiento</t>
  </si>
  <si>
    <t>No de Actividades de mantenimiento ejecutadas oportunamente / Total Actividades de mantenimiento programadas</t>
  </si>
  <si>
    <t>Nivel de cumplimiento del Plan de Servicios Generales</t>
  </si>
  <si>
    <t>No Actividades de servicios generales ejecutadas oportunamente  / Total Actividades de servicios generales programadas</t>
  </si>
  <si>
    <t>Diferencias en el inventario de bienes muebles e inmuebles</t>
  </si>
  <si>
    <t xml:space="preserve">No bienes con inconsistencias en inventario /                  Total de bienes identificados en inventario </t>
  </si>
  <si>
    <t>&lt;5%</t>
  </si>
  <si>
    <t xml:space="preserve">PLANEACIÓN ESTRATÉGICA </t>
  </si>
  <si>
    <t>Ejecución del plan de comunicaciones</t>
  </si>
  <si>
    <t>Actividades ejecutadas del plan de comunicaciones/ Actividades programadas dentro del plan</t>
  </si>
  <si>
    <t>Profesional de comunicaciones</t>
  </si>
  <si>
    <t>Efectividad</t>
  </si>
  <si>
    <t>Subdirector de Regulación y Calidad Ambiental - Jefe Oficina de Planeación</t>
  </si>
  <si>
    <t>SISTEMA INTEGRADO DE GESTIÓN</t>
  </si>
  <si>
    <t>Satisfacción del cliente</t>
  </si>
  <si>
    <t>Profesional Especializado - Planeación</t>
  </si>
  <si>
    <t>Control documental</t>
  </si>
  <si>
    <t>Avances en el programa de ahorro y uso eficiente del agua</t>
  </si>
  <si>
    <t>Avances en el programa de ahorro y uso eficiente de la energía eléctrica</t>
  </si>
  <si>
    <t>CONTROL DE GESTIÓN</t>
  </si>
  <si>
    <t>Asesor de Dirección</t>
  </si>
  <si>
    <t>AUTORIDAD AMBIENTAL</t>
  </si>
  <si>
    <t>ATENCIÓN DE INFRACCIONES A LA NORMATIVIDAD AMBIENTAL</t>
  </si>
  <si>
    <t>Atención a denuncias</t>
  </si>
  <si>
    <t>No. de denuncias atendidas / No. de denuncias radicadas</t>
  </si>
  <si>
    <t>I TRIMEST. ≥70%
II TRIMEST. ≥75%
III TRIMEST. ≥80%
IV TRIMEST. ≥90%</t>
  </si>
  <si>
    <t>Director Territorial</t>
  </si>
  <si>
    <t>Denuncias resueltas / Denuncias radicadas</t>
  </si>
  <si>
    <t>I TRIMEST. ≥10%
II TRIMEST. ≥15%
III TRIMEST. ≥20%
IV TRIMEST. ≥30%</t>
  </si>
  <si>
    <t>15 días hábiles</t>
  </si>
  <si>
    <t>Seguimiento a expedientes en Infracciones</t>
  </si>
  <si>
    <t>No. de expedientes con seguimiento / Total de expedientes vigentes que lo requieren</t>
  </si>
  <si>
    <t>LICENCIAS Y PERMISOS AMBIENTALES</t>
  </si>
  <si>
    <t>Atención de trámites</t>
  </si>
  <si>
    <t>No. de solicitudes atendidas / No. de solicitudes radicadas</t>
  </si>
  <si>
    <t>Solicitudes resueltas / Solicitudes radicadas</t>
  </si>
  <si>
    <t>I TRIMEST. ≥15%
II TRIMEST. ≥30%
III TRIMEST. ≥50%
IV TRIMEST. ≥75%</t>
  </si>
  <si>
    <t>REGULACIÓN Y NORMALIZACIÓN 
 AMBIENTAL</t>
  </si>
  <si>
    <t>Oportunidad en el conocimiento y análisis de la normatividad ambiental</t>
  </si>
  <si>
    <t>Fecha de análisis técnico y jurídico de la norma - Fecha de publicación de la norma</t>
  </si>
  <si>
    <t>&lt;20 días hábiles</t>
  </si>
  <si>
    <t>Subdirector de Regulación y Calidad Ambiental</t>
  </si>
  <si>
    <t>Seguimiento a aplicación de la normatividad</t>
  </si>
  <si>
    <t>No. de expedientes que cumplen con la normatividad / No. de expedientes revisados</t>
  </si>
  <si>
    <t>NUMERADOR</t>
  </si>
  <si>
    <t>DENOMINADOR</t>
  </si>
  <si>
    <t>FUENTE DE INFORMACIÓN</t>
  </si>
  <si>
    <t>Consolidado Encuestas de satisfacción</t>
  </si>
  <si>
    <t>&gt;=90%</t>
  </si>
  <si>
    <t>No. de no conformidades por aplicación de documentación obsoleta</t>
  </si>
  <si>
    <t>Informes de auditoria</t>
  </si>
  <si>
    <t>&lt;=3</t>
  </si>
  <si>
    <t>Aprovechamiento de residuos reciclables</t>
  </si>
  <si>
    <t xml:space="preserve">Kilogramos de residuos entregados </t>
  </si>
  <si>
    <t>Consumo de
energía elélctrica 
del trimestre=(kWh/mes)
/No. Personas trimestre</t>
  </si>
  <si>
    <t>Profesional de apoyo del Sistema Gestión Ambiental.</t>
  </si>
  <si>
    <t>T-CAM-087 Relación consumos agua y energía.</t>
  </si>
  <si>
    <t>T-CAM-090 Entrega de residuos aprovechables</t>
  </si>
  <si>
    <t>F-CAM-095 Registro de Evaluación del Servicio.</t>
  </si>
  <si>
    <t>&gt;= 4,5</t>
  </si>
  <si>
    <t>Resolución de adjudicación o justificación y fecha de radicación de contratos en Dirección General</t>
  </si>
  <si>
    <t>Cumplimiento de término para delegacion del expediente</t>
  </si>
  <si>
    <t>Promedio No. de días en el trámite comprendido entre  Resolución de adjudicación o justificación y la elaboración del contrato</t>
  </si>
  <si>
    <t>Promedio No. de días entre la entrega de los documemtos de legalización y la delegación del expediente al supervisor</t>
  </si>
  <si>
    <t>&lt;= 2 días</t>
  </si>
  <si>
    <t xml:space="preserve"> &lt;= 3 días</t>
  </si>
  <si>
    <t>GESTIÓN ADMINISTRATIVA Y FINANCIERA</t>
  </si>
  <si>
    <t>Plan de comunicaciones</t>
  </si>
  <si>
    <t>&lt;25
kWh/persona trimestre</t>
  </si>
  <si>
    <t>Plan de Mantenimiento</t>
  </si>
  <si>
    <t>Plan de Servicios Generales</t>
  </si>
  <si>
    <t>Formato toma de Inventarios</t>
  </si>
  <si>
    <t>Control _Revision ordenes de pago</t>
  </si>
  <si>
    <t>Ejeucion presupuestal</t>
  </si>
  <si>
    <t>Cierres contables realizados oportunamente</t>
  </si>
  <si>
    <t>&gt;=5</t>
  </si>
  <si>
    <t>Sistema de informacion financiero- HASNET</t>
  </si>
  <si>
    <t>$ Recaudados en el periodo / $ lo presupuestado en el periodo</t>
  </si>
  <si>
    <t xml:space="preserve"># de reclamaciones aceptadas mediante acto administrativo / # Total de Usuarios Facturados </t>
  </si>
  <si>
    <t>$ Recuperado de Cartera/ $ Presupuestado de cartera</t>
  </si>
  <si>
    <t xml:space="preserve">No. de proyectos con concepto de elegibilidad emitido dentro del término establecido / No. de proyectos radicados en la CAM solicitando cofinanciación
</t>
  </si>
  <si>
    <t>Cumplimiento de las acciones correctivas y/o de mejora de la auditoria interna</t>
  </si>
  <si>
    <t xml:space="preserve">Nivel de cumplimiento del Programa Anual de Auditorías </t>
  </si>
  <si>
    <t>Nro de Auditorías y/o Informes y seguimientos de ley ejecutadas oportunamente  / Total de Auditorías y/o Informes y seguimientos de ley Programadas</t>
  </si>
  <si>
    <t xml:space="preserve">Jefe Oficina de Planeación
</t>
  </si>
  <si>
    <t>Promedio de la calificación de la evaluación del desempeño del personal con derechos de carrera administrativa, provisionales y de libre nombramiento y remocion para el nivel profesional  y asistencial.</t>
  </si>
  <si>
    <t>Anual con reporte al primer trimestre del año, en razon a que los cortes de evaluacion son a 31 de enero y 30 de diciembre.</t>
  </si>
  <si>
    <t xml:space="preserve"># funcionarios capacitados/ # total de funcionarios  de la planta de personal.                          </t>
  </si>
  <si>
    <t># capacitaciones evaluadas/ # total de capacitaciones recibidas</t>
  </si>
  <si>
    <t>&gt; =  a 90%</t>
  </si>
  <si>
    <t>&gt; =  a 80%</t>
  </si>
  <si>
    <t>Evaluaciones de desempeño</t>
  </si>
  <si>
    <t>T-CAM 097 listados de asistencia</t>
  </si>
  <si>
    <t>F-CAM 085 Y 176 diligenciados, encuestas evaluacion de capacitaciones</t>
  </si>
  <si>
    <t>&lt;= 3 días</t>
  </si>
  <si>
    <t>(Consumo del período anterior en m3 - consumo periodo actual en m3 / consumo período anterior)*100</t>
  </si>
  <si>
    <t>Acciones correctivas y de mejora de la auditoria interna.</t>
  </si>
  <si>
    <t>Auditorias y/o Informes y seguimientos de ley.</t>
  </si>
  <si>
    <t>Semestre I &gt;=48%
Semestre II &gt;= 95%</t>
  </si>
  <si>
    <t>Semestre I &gt;=40%
Semestre II &gt;=80%</t>
  </si>
  <si>
    <t>Informes Financieros</t>
  </si>
  <si>
    <t>Respuestas conceptos de elegibilidad</t>
  </si>
  <si>
    <t>Valor ejecutado durante el semestre  / Valor  proyectado para el semestre  X 100</t>
  </si>
  <si>
    <t>&lt;=3%</t>
  </si>
  <si>
    <t>No. de días de atención para la totalidad de las denuncias radicadas a la fecha</t>
  </si>
  <si>
    <t>I TRIMEST. ≥20%
II TRIMEST. ≥40%
III TRIMEST. ≥80%
IV TRIMEST.=100%</t>
  </si>
  <si>
    <t>No. de días de atención para la totalidad de las solicitudes radicadas a la fecha</t>
  </si>
  <si>
    <t>N.A</t>
  </si>
  <si>
    <t>CITA
SILAM</t>
  </si>
  <si>
    <t>Ánalisis de la norma.
Circulares Jurídicas.</t>
  </si>
  <si>
    <t>Informe de seguimiento Autoridad Ambiental.</t>
  </si>
  <si>
    <t>No Aplica para este periodo.</t>
  </si>
  <si>
    <t>Se cumple de acuerdo al procedimiento establecido</t>
  </si>
  <si>
    <t>Se ha logrado verificar el cumplimiento de las medidas impuestas en los actos administrativos</t>
  </si>
  <si>
    <t>Con el personal de apoyo adscrito a las Direcciones Territoriales se ha logrado superar la meta del indicador.</t>
  </si>
  <si>
    <t xml:space="preserve">Relación fecha de entrega de documentos de legalización y fecha de memorando de delegación </t>
  </si>
  <si>
    <t>Líderes de Proceso- Asesor de Dirección.</t>
  </si>
  <si>
    <t>Reporte de alertas tempranas de deforestación del IDEAM</t>
  </si>
  <si>
    <t>&lt;=2%</t>
  </si>
  <si>
    <t>Tasa de Deforestación del Departamento</t>
  </si>
  <si>
    <t>Índice de deforestación concluido del boletín de alertas tempranas de deforestación del IDEAM</t>
  </si>
  <si>
    <t>N/A</t>
  </si>
  <si>
    <t>Promedio ejecución física de todos los Programas del plan de acción.</t>
  </si>
  <si>
    <t>No aplica paara este periodo</t>
  </si>
  <si>
    <t>No aplica para este periodo</t>
  </si>
  <si>
    <t xml:space="preserve">&gt;= 500 I Trimestre 
&gt;= 900 II Trimestre 
&gt;= 1.200 III Trimestre 
&gt;= 2.000 IV Trimestre </t>
  </si>
  <si>
    <t xml:space="preserve">&gt;=50% I Trimestre
&gt;=30% II Trimestre
&gt;=10% III y IV Trimestre
</t>
  </si>
  <si>
    <t>Cumplimiento de término para elaboración del contrato (No aplica para minima cuantia)</t>
  </si>
  <si>
    <t>NO APLICA</t>
  </si>
  <si>
    <t>&gt;=85%</t>
  </si>
  <si>
    <t>No. de actividades de acciones correctivas y de mejora de la auditoria interna ejecutadas oportunamente / No. de actividades de acciones correctivas y de mejora de la auditoria interna establecidas para el periodo evaluado</t>
  </si>
  <si>
    <t>OBJETIVOS DEL SIG</t>
  </si>
  <si>
    <t>PROCESO</t>
  </si>
  <si>
    <t>INDICADOR</t>
  </si>
  <si>
    <t>TIPO DE INDICADOR</t>
  </si>
  <si>
    <t>FORMULA</t>
  </si>
  <si>
    <t>META</t>
  </si>
  <si>
    <t>RESPONSABLE DEL REPORTE</t>
  </si>
  <si>
    <t>FRECUENCIA DE MEDICIÓN</t>
  </si>
  <si>
    <t xml:space="preserve">RESULTADO </t>
  </si>
  <si>
    <t>CÓDIGO: OD-CAM-024</t>
  </si>
  <si>
    <t xml:space="preserve">TABLERO DE INDICADORES SISTEMA INTEGRADO DE GESTIÓN </t>
  </si>
  <si>
    <t>GESTIÓN DE COBRO</t>
  </si>
  <si>
    <t>&gt;95% anual</t>
  </si>
  <si>
    <t>MARZO DE 2020</t>
  </si>
  <si>
    <t xml:space="preserve">No hay cumplimiento de meta; esta medición corresponde a procesos de la vigencia actual y rezagos de la vigencia anterior; los procesos se adelantan en concordancia con los procedimientos internos de la entidad.   </t>
  </si>
  <si>
    <t xml:space="preserve">Esta medición corresponde a solicitudes de la vigencia actual y rezagos de la vigencia anterior; la Corporación debe mejorar la capacidad técnica para atención a las solicitudes radicadas en las Direcciones Territoriales; deben implementar una acciones correctivas. </t>
  </si>
  <si>
    <t>Se logró dar cumplimiento, teniendo encuenta que esta medición corresponde a solicitudes de la vigencia actual y rezagos de la vigencia anterior; no obstante, se debe  resolver las solicitudes pendientes de vigencias anteriores.</t>
  </si>
  <si>
    <t>VERSIÓN: 02</t>
  </si>
  <si>
    <t>FECHA:     06 JULIO DE 2020</t>
  </si>
  <si>
    <t>4. Fortalecer la capacidad de gestión institucional apoyada en las TIC´s para el ejercicio de la autoridad ambiental y su gobernabilidad, con generación de cambios culturales positivos frente a la importancia de la conservación de los recursos naturales renovables y la participación comunitaria en la gestión ambiental.</t>
  </si>
  <si>
    <t>CUMPLE</t>
  </si>
  <si>
    <t>o</t>
  </si>
  <si>
    <t xml:space="preserve"> No se ha expedido por parte del gobierno normatividad en temas ambientales  de competencia de la corporación y que no sean transitorias a causa de la emergencia, motivo por el cual la entidad   no ha considerado necesario analizarla por lo anterior  se han expedido resoluciones internas que reglamentan  las medidas referente a la emergencia sanitaria</t>
  </si>
  <si>
    <t xml:space="preserve">De acuerdo a las actas de las revisiones llevadas acabo por la subdireccion de calidad y regulacion ambiental a las direcciones territoriales en el periodo de enero a junio se revisaron 118 expedientes que cumplen con la normatividad distribuidos de la siguiente manera 28 de DTS, 31 de DTS, 26 de DTC, 33 de DTN, 31 de DTO. </t>
  </si>
  <si>
    <t>JUNIO DE 2020</t>
  </si>
  <si>
    <t>SEPTIEMBRE DE 2020</t>
  </si>
  <si>
    <t>DICIEMBRE DE 2020</t>
  </si>
  <si>
    <t>En el primer trimestre del año se tuvo un total de 635 kilogramos de resiudos aprovechables que fueron dispuestos de manera adecuada. La mayoría de estos residuos corresponden a papel con un total de 538,7 kilogramos, cartón 49,3 y plastico 25 y 16 de metal.  La disminución de los residuos se debe principalmente a la ejecución de trabajo en casa, por la declaración de emergencia sanitaria</t>
  </si>
  <si>
    <t>Se cumple la meta en el primer periodo se tuvo una disminución en el consumo de 46%, esto debido a la continua gestión en el control del consumo y las acciones que se han emprendido dentro del programa de gestión ambiental, consumo de agua de pozo para riego, uso racional del agua, entre otros factores.</t>
  </si>
  <si>
    <t>76318</t>
  </si>
  <si>
    <t>4300</t>
  </si>
  <si>
    <t>En el primer trimestre del año se dio cumplimiento a la meta, se tiene un total de 76.318 kWh de consumo de energía, y se tuvo un movimiento de 4300 (contratistas, personal de planta y visitantes), lo que refleja cumplimiento de la meta.</t>
  </si>
  <si>
    <t>Durante el primer semestre del año se solicitaron 73 solicitudes de mantenimiento correctivo de equipos, perifésicos, redes, etc. de las cuales se atendio oportunamente el 100% de las solicitudes</t>
  </si>
  <si>
    <t>NO CUMPLE</t>
  </si>
  <si>
    <t xml:space="preserve">Dentro del plan de mantenimiento para el año 2020 se estableció que durante el primer semestre, se realizaría un mantenimiento preventivo da todos los equipos de la Corporación, sin embargo debido a las restricciones impuestas por la emergencia por COVID19, la meta no se cumplió. </t>
  </si>
  <si>
    <t xml:space="preserve">Desde el área de sistemas, se viene cumpliendo con la oportunidad en la solución a solicitudes de soporte. El el periodo se atendieron 1.010 solicitudes a través del sistema ITSM con un promedio de tiempo de solución de 0.19 días, lo que equivale a 4,59 horas. </t>
  </si>
  <si>
    <t xml:space="preserve">El resultado obtenido es bueno, teniendo en cuenta que de los 4188 usuarios facturados, solamente el 1% presentó reclamaciones, superando la meta con 2 puntos porcentuales por debajo de lo establecido en el indicador </t>
  </si>
  <si>
    <t>El cierre se realiò el 27 de Julio y se cumplio oportunamente con el indicador</t>
  </si>
  <si>
    <t>Esta ejecucion corresponde a gastos, existen variables atipicas que no permitieron el cumplimiento del indicador tales como: El Plan de accion de la Corporacion fue aprobado en el mes de mayo,  y la emergencia sanitaria por efectos del covid y declaratoria de cuarentena obligatoria.</t>
  </si>
  <si>
    <t>Las actividades contenidas en el plan de comunicaciones se vienen realizando según lo establecido. Se divulga la información a través de prensa, radio, televisión, carteleras institucionales, página web, correo electrónico, whatsapp, redes sociales, Noticam, CAM al día, entre otros medios. Se cumple con cada una de las 5 categorías establecidas en el plan de comunicaciones.</t>
  </si>
  <si>
    <t xml:space="preserve">No aplica para este periodo debido a que no se ha realizado el proceso de auditoría interna </t>
  </si>
  <si>
    <t>N</t>
  </si>
  <si>
    <t>Para este trimestre no se presentaron proyectos solicitando recursos para cofinanciación por parte de la corporación.</t>
  </si>
  <si>
    <t>Esta medición corresponde a procesos de la vigencia actual y rezagos de vigencias anteriores; no se alcanzó la meta con el personal adscrito a las Direcciones Territoriales, porque el proceso es complejo en relación a la entrega de las notificaciones de algunas personas (presuntos infractores) de los actos administrativos, y la entidad no debe vulnerar los derechos a la defensa. Por lo anterior, estos procesos se dilatan y conllevan a imposibitar el cumplimiento de la meta para este trimestre.</t>
  </si>
  <si>
    <t>Fueron presentados 7 proyectos para solicitud de cofinanciación, a los cuales se les dío respuesta respecto a su elegibilidad en el tiempo establecido, según lo reportado por el profesional de l banco de proyectos de  la corporación.</t>
  </si>
  <si>
    <t>Una vez suscrito en el contrato el proponente allega la documentacion requerida para la legalizacion la cual se radica de manera presencial en la ventanilla unica de radicacion y se aprueba la póliza  a quines se les ha requerido, la oficina de contratacion organiza la carpeta para ser entregada al supervisor delegado.</t>
  </si>
  <si>
    <t>A 31 de marzo de 2020 se suscribieron 86 contratos de los cuales 11 bajo la modalidad de minima cuantia, quedando 75 valor que se toma para el reporte del indicador.
Es importante recalcar que cuando surte un proceso en donde el contratista es un consorcio o union temporal requiere la presentancion del RUT para la elaboracion del contrato informacion que queda plasmada en el mismo, puede darse que se demore mas de 2 dias en razon, por el mismo tramite que deben realizar el contratista ante la DIAN, para este trimestre se suscribio 1 contrato- Consorcio, por lo que no se tendrá en cuenta porque la demora no depende ni esta bajo el control de la corporación.</t>
  </si>
  <si>
    <t>A 30 de junio de 2020 se suscribieron 164 contratos de los cuales 18 bajo la modalidad de minima cuantia, quedando 146 de los cuales 75 son del primer trimestre quedando 71  valor que se toma para el reporte del indicador.
Es importante recalcar que cuando surte un proceso en donde el contratista es un consorcio o union temporal requiere la presentancion del RUT para la elaboracion del contrato informacion que queda plasmada en el mismo, puede darse que se demore mas de 2 dias en razon, por el mismo tramite que deben realizar el contratista ante la DIAN, para este trimestre se suscribio 1 contrato- Consorcio, por lo que no se tendrá en cuenta porque la demora no depende ni esta bajo el control de la corporación.</t>
  </si>
  <si>
    <t>Durante el periodo de la pandemia COVID-19,  los documentos son recepcionados virtualmente, sin embargo no se han generado demoras en la delegación de los mismos.</t>
  </si>
  <si>
    <t>De las 603 solicitudes de desembolso solo 3 que corresponden al 1% se devolvieron porque presentado inconsistencias demostrando la claridad de las instrucciones impartidas para el diligenciamiento de las mismas y el estricto control aplicado lo que minimiza el riesgo de realizar pagos erróneos.</t>
  </si>
  <si>
    <t>Se revisaron 414 ordenes de pago de la  604 a la 1017 de las cuales se devolvieron 17 ordenes de pago asi: 641-878-951 falta solicidtud de desembolso, 693 falta factura,803-850-885-959-973 falta formato no covid,  819 falan documentos.915 falta seguridad social,942 no coincide valor de la solicitud de desembolso con el valor de la orden de pago,943 falta firam subdirector, 1017 falta informes y firmas,1010-1011-1012 falta solicitud de desembolso. No se cumplio en razon a que en este trmestre se empezo a enviar toda la informacion en forma virtual por efectos de la pandemia y la gente no anexaba todos los docuementos respectivos</t>
  </si>
  <si>
    <t>No. De respuestas entre 4 y 5 / No.  Total de respuestas</t>
  </si>
  <si>
    <t>Para el primer trimestre del año se aplicaron 202 encuestas en el Centro de Atención al Ciudadano  y direcciones territoriales, de manera presencial y telefónica, demostrando el alto grado de satisfacción de los usuarios frente a los servicios prestados por la corporación.</t>
  </si>
  <si>
    <t>Total días de atención de requerimiento usuarios interno y externos / Nro de requerimientos solucionados.</t>
  </si>
  <si>
    <t>Durante el primer semestre del año 2020, se presentaron 24 solicitudes, las cuales en total se atendendieron en 1,2 dìas, es decir que estamos siendo eficientes en la atención y solución de requerimientos.</t>
  </si>
  <si>
    <t>El promedio de la calificación obtenida en cada uno de los 5 items de la encuesta de satisfacciòn es de 4,95 implicando que se esta brindando un servicio de excelente calidad.</t>
  </si>
  <si>
    <t xml:space="preserve">Las actividades de los planes de acción establecedidos por las dependencias en las acciones correctivas y de mejora derivadas de la auditoría interna 2019 con fecha de cumplimiento a 30 de marzo se cumplio en un 85%, no se llego al 100% debido a que desde el área de archivo no se ha dado cumplimiento a 3 acitivades.
</t>
  </si>
  <si>
    <t>De acuerdo a T-CAM-006 Programa de Auditorías para la vigencia 2020 se planeo para el primer trimestre del año, la presentación de 8  informes, 3 de regalias y 3 de gestión contractual cargados al SIRECI de la Contraloría General de la Republica, 1 informe del Indice de Desempeño administrativo -  Furag cargado la página de la función Pública y 1 informe de Gestión de PQRSD  correspondiente al primer trimestre del año , los cuales fueron rendidos en su totalidad, de manera oportuna.</t>
  </si>
  <si>
    <t xml:space="preserve">De acuerdo a T-CAM-006 Programa de Auditorías para la vigencia 2020 se planeo para el segundo  trimestre del año, la presentación de 12 informes, 3 de regalias y 3 de gestión contractual cargados al SIRECI de la Contraloría General de la Republica, 1 informe de plan de mejoramiento de la Contraloria, 1 seguimiento al Plan Anticorrupción y de atención al ciudadano, 1 Seguimiento a mapa de riesgos  y   3  informes de Gestión de PQRSD.  </t>
  </si>
  <si>
    <t>&gt; =  a 90</t>
  </si>
  <si>
    <t>Los resultados presentados corresponden a la calificacion de desempeño anual de febrero de 2019 a Enero de 2020, en la cual el promedio supera la meta establecida indicando el alto nivel de competencia que tienen los funcionarios.</t>
  </si>
  <si>
    <t>En la Territorial Norte presenta un mayor numero de días de atención.</t>
  </si>
  <si>
    <t xml:space="preserve">1. Proteger los principales ecosistemas del departamento del Huila, como base de la estructura ecológica principal. 
2. Afianzar el compromiso de las actividades productivas con la sostenibilidad y mitigación del cambio climático para consolidar una economía que sea sostenible, productiva, innovadora y competitiva. 
3. Acompañar los procesos de Ordenamiento y Planificación Territorial, desarrollados por los entes territoriales incluidas las comunidades indígenas, con el fin de que sea incluida la dimensión ambiental, el cambio climático y la gestión del riesgo. </t>
  </si>
  <si>
    <t xml:space="preserve">1. Proteger los principales ecosistemas del departamento del Huila, como base de la estructura ecológica principal. 
4. Fortalecer la capacidad de gestión institucional apoyada en las TIC´s para el ejercicio de la autoridad ambiental y su gobernabilidad, con generación de cambios culturales positivos frente a la importancia de la conservación de los recursos naturales renovables y la participación comunitaria en la gestión ambiental. </t>
  </si>
  <si>
    <t>SUBPROCESO</t>
  </si>
  <si>
    <t>FECHA DE REVISIÓN FORMULACIÓN INDICADORES: ENERO 2020</t>
  </si>
  <si>
    <t>Esta medición corresponde a solicitudes de la vigencia actual y rezagos de la vigencia anterior; la Corporación debe mejorar la capacidad técnica para atención a las solicitudes radicadas en las Direcciones Territoriales.</t>
  </si>
  <si>
    <t>Para este primer semestre del año se presentaron 4 capacitaciones de las cuales 1 no se pudo finalizar satisfactoriamente por la declaración de emergencia sanitaria, por lo que no se tomara en cuenta para el indicador. Las otras 3 se evaluaron para un 100%.</t>
  </si>
  <si>
    <t>Para el segundo trimestre del año se aplicaron 45 encuestas en el Centro de Atención al Ciudadano  y direcciones territoriales para un total de 108 respuestas, de manera telefónica debido a la emergencia sanitaria, demostrando el alto grado de satisfacción de los usuarios frente a los servicios prestados por la corporación.
Es de aclarar que para este trimestre se actualizó la encuesta adicionando una pregunta referente a la percepción de los ciudadanos respecto a las medidas adoptadas por la corporación debido a la emergencia sanitaria.</t>
  </si>
  <si>
    <t>PERIODO</t>
  </si>
  <si>
    <t>FECHA DE REVISIÓN FORMULACIÓN INDICADORES: ____________</t>
  </si>
  <si>
    <t xml:space="preserve">NOMBRE: </t>
  </si>
  <si>
    <t xml:space="preserve">APROBÓ: </t>
  </si>
  <si>
    <t>REVISÓ:</t>
  </si>
  <si>
    <t xml:space="preserve">CARGO: </t>
  </si>
  <si>
    <t>DEYCI MARTINA CABREARA OCHOA</t>
  </si>
  <si>
    <t>JEFE OFICINA DE PLANEACIÓN</t>
  </si>
  <si>
    <t>CARGO:</t>
  </si>
  <si>
    <t>CAMILO AUGUSTO AGUDELO PERDOMO</t>
  </si>
  <si>
    <t xml:space="preserve"> DIRECTOR GENERAL</t>
  </si>
  <si>
    <t xml:space="preserve">La ejecución presupeustal de  los proyectos de inversion  presenta un  avance de 21% con corte a 30 de junio de 2020, lo que indica que no se alcanzó la meta, teniendo en cuenta el retraso que ha tenido la contratación de las diferentes actividades en cada uno de los programas por la declaración de la emergencia sanitaria; asi como la aprobación del plan de acción en el mes de mayo del presente año, el cual define las metas y rubros para cada uno de los programas a proyectos a los cuales deben de ir alineadas todas las actividades que se programen y ejecuten de tal manera que hasta no definir los programas del PAI y su presupuesto; no se pueden planear actividades a ejecutar en cada uno de ellos.  Por tanto se considera que el avance es acorde a la situación de la corporación y se espera que al finalizar el año la meta se cumpla. </t>
  </si>
  <si>
    <t xml:space="preserve">La ejecución física de  los proyectos de inversion  logra avanzar en un 38%, sin embargo no se logra cumplir con la meta, debido al retraso que ha tenido la contratación de las diferentes actividades en cada uno de los programas por la declaración de la emergencia sanitaria; asi como la aprobación del plan de acción en el mes de mayo del presente año, el cual define las metas y rubros para cada uno de los programas a proyectos a los cuales deben de ir alineadas todas las actividades que se programen y ejecuten de tal manera que hasta no definir los programas del PAI y su presupuesto; no se pueden planear actividades a ejecutar en cada uno de ellos.  </t>
  </si>
  <si>
    <t xml:space="preserve">No hay cumplimiento de meta, por la restricción en la realización de la visitas por la situación actual; esta medición corresponde a procesos de la vigencia actual y rezagos de la vigencia anterior; sin embargo en el segundo semestre se ha previsto cumplimiento de la meta y adelantar los procesos en concordancia con la norma y los procedimientos internos de la entidad.   </t>
  </si>
  <si>
    <t xml:space="preserve">Esta medición corresponde a procesos de la vigencia actual y rezagos de vigencias anteriores; no se alcanzó la meta con el personal adscrito a las Direcciones Territoriales, porque el proceso es complejo en relación a la entrega de las notificaciones de algunas personas (presuntos infractores) de los actos administrativos y por la suspensión de terminos en la situación actual y la entidad no debe vulnerar los derechos a la defensa de los presuntos infractores. </t>
  </si>
  <si>
    <t>Con el personal de apoyo adscrito a las Direcciones Territoriales no se ha logrado superar la meta del indicador, por la situación actual de restricción de visitas.</t>
  </si>
  <si>
    <t>Se evidencia incumplimiento del indicador, debido a que disminuyó la cantidad de visitantes, y de contratistas en las oficinas, sin embargo, el uso de aires acondicionados se sigue realizando, asi como el uso de bombillas, y demás que son consumos fijos, y no dependen de la cantidad de personal. Se genera acción correctiva.</t>
  </si>
  <si>
    <t>Las actividades de los planes de acción establecedidos por las dependencias en las acciones correctivas y de mejora derivadas de la auditoría interna 2019 con fecha de cumplimiento al 30 de junio se ejecutaron en un 80% quedan pendientes actividades por realizar relacionadas con : 
El  Programa de Gestión Documental PGD, teniendo en cuenta que  esta contratación se realizó pero se le declaró incumplimiento al contrato y actualmente se encuentra en demanda. 
La finalización de las transferencias del año 2018, esta tarea  no se ha terminado  debido a que en la Corporación por causa de la pandemia no esta trabajando de manera presencial en las instalaciones y esta labor requiere presencialidad.
 Elaborar el procedimiento de Consulta y Préstamo de Documentos del Archivo Central .</t>
  </si>
  <si>
    <t>Para el segundo semestre se realizó la medición de reducción del consumo, de manera acumulada (consumo en el primer y segundo trimestre de 2020), para que en linea de tiempo refleje la realidad en el consumo y debido a que las actividades son similares en todos los trimestres del año. 
No se cumple la meta en el segundo periodo, pues se tuvo una disminución en el consumo de 20% y la meta era de 30%, debido a que se presentó una disminución de consumo en sitios como territorial centro y occidente pero en Sede principal y territorial sur, se evidencia incremento significativo en el consumo de agua. Por lo tanto se genera acción correctiva por el incumplimiento.</t>
  </si>
  <si>
    <t>El indicador de residuos aprovechables se mide de manera acumulada, es decir que para el segundo trimestre se contempla los 635 kilgoramos aprovechables generados en el primer trimestre, más los 36 kilogramos de resiudos del segundo trimestre. Del segundo trimestre los resiudos entregados son: 13 corresponden a papel, 15 a cartón y 8 a PET. La disminución de resiudos aprovechables se debe a la cantidad de personal que se encuentran en la corporación por la emergencia sanitaria. Lo anterior confirma que la cantidad de residuos es proporcional a la cantidad de personas en las instalaciones.  No se genera acción correctiva por este incumplimiento debido a la baja actividad de personas en las instalaciones, se espera en el tercer trimestre incrementar la disposición que no se hizo en el segundo semestre, debido a la depuración de archivo y limpieza de oficinas que realiza cada proceso.</t>
  </si>
  <si>
    <t>La situación actual de la Pandemia, ha ocasionado que en algunos casos haya restricción para realizar las visitas a las zonas afectadas; sin embargo, las direcciones territoriales avanzan en la ejecución de los planes de trabajo establecidos para la atención inmediata.  Así mismo, se realizan seguimientos mensuales permitiendo medir la efectividad y el cumplimiento de la meta establecida.</t>
  </si>
  <si>
    <t>La situación de Emergencia sanitaria declarada por el gobierno nacional como consecuencia del Covid-19, ocasionó la suspensión de los términos de los procesos que están en curso en la Corporación; no obstante, con el personal jurídico de apoyo a las Direcciones Territoriales se ha logrado resolver 1,153 denuncias que estaban en proceso (vigencia anterior 660 y de esta vigencia 493) de un total acumulado de 7.524 denuncias pendientes de resolver.
Las direcciones territoriales avanzan en la ejecución de los planes de trabajo establecidos para adelantar los procesos conforme a la Ley 1333 de 2009 y demás normatividad ambiental vigente; así mismo, se realizan seguimientos mensuales permitiendo medir la efectividad y el cumplimiento de la meta establecida.</t>
  </si>
  <si>
    <t>La situación de Emergencia sanitaria declarada por  el gobierno nacional como consecuencia del Covid-19, ha ocasionado restricción en algunos casos para la realización de las visitas a las zonas afectadas; lo que llevó al aumento de tiempo en la atención.   Se están  construyendo planes de trabajo para la atención inmediata y con seguimientos mensuales que permitan medir la efectividad y el cumplimiento de la meta establecida.</t>
  </si>
  <si>
    <t>Se logró realizar la verificación de cumplimiento a las medidas preventivas impuestas durante al vigencia; se cotinuarán realizando los seguimientos al cumplimiento de los actos administrativos.</t>
  </si>
  <si>
    <t>La situación de Emergencia sanitaria declarada por el gobierno nacional como consecuencia del Covid-19, ocasionó la suspensión de los términos de los procesos que están en curso en la Corporación;  las direcciones territoriales avanzan en la ejecución de los planes de trabajo establecidos para la atención inmediata.   Así mismo, se realizan seguimientos mensuales permitiendo medir la efectividad y el cumplimiento de la meta establecida; manteniendo siempre los procesos en términos de Ley.</t>
  </si>
  <si>
    <t>La información presenta resultados positivos, pese a la situación de Emergencia sanitaria declarada por el gobierno nacional como consecuencia del Covid-19, ocasionando la suspensión de los términos de los procesos que están en curso en la Corporación; sin embargo tiempo después se activaran los sectores productivos, situación que permitió resolver muchos de los procesos que estaban en curso y los nuevos que llegaron; a la fecha de corte han culminado con acto administrativo decisivo 1.138 solicitudes de licencias, permisos  o autorizaciones (409 solicitudes de vigencias anteriores y 729 solicitudes de la vigencia 2020).  No obstante las direcciones territoriales avanzan en la ejecución de sus planes de trabajo para resolver satisfactoriamente los procesos conforme a la normatividad ambiental vigente.  Así mismo, se realizan seguimientos mensuales permitiendo medir la efectividad y el cumplimiento de la meta establecida.</t>
  </si>
  <si>
    <t xml:space="preserve">La situación de Emergencia sanitaria declarada por el gobierno nacional como consecuencia del Covid-19, ocasionó la suspensión de los términos de los procesos que están en curso en la Corporación;  se avanza en la ejecución de los planes de trabajo establecidos para la atención inmediata, con el fin de mejorar el resultado del indicador.  </t>
  </si>
  <si>
    <t>La situación de Emergencia sanitaria declarada por el gobierno nacional como consecuencia del Covid-19, ocasionó la suspensión de los términos de los procesos que están en curso en la Corporación;  las direcciones territoriales avanzan en la ejecución de sus planes de trabajo para realizar la verificación de cumplimiento a los actos administrativo que otorgaron los permisos y/o autorizaciones y que requieren de seguimiento.  Así mismo, se realizan seguimientos mensuales permitiendo medir la efectividad y el cumplimiento de la meta establecida.</t>
  </si>
  <si>
    <t>Durante el trimestre julio-sep de 2020, radicadon en la entidad 7 solicitudes de cofinanciación de recursos y a los cuales se les dio respuesta de la siguiente manera:
20204000111542, recibido en OPL el 30 de Julio, respuesta: 3 de agosto
20204000117942, recibido el OPL el 12 de agosto, respuesta 12 de agosto.
20201010126232, recibido el OPL el 28 de agosto, respuesta 4 de septiembre.
20203100119442, recibido el OPL el 25 de agosto, respuesta 31 de agosto.
20204000144772, recibido el OPL el 17 de sep., respuesta 18 de sep.
202040001440252, recibido el OPL el 17 de sep., respuesta 18 de sep.
20204000146252, recibido el OPL el 18 de sep., respuesta 23 de sep.</t>
  </si>
  <si>
    <t>Se revisaron 714 ordenes de pago de la 1063 a la 1727 de las cuales se devolvieron 5 ordenes de pago asi:  1073 sin firma del jefe en la SD, 1077 documentos incompletos, 1172 faltan soportes, 1174 faltaba seguridad social, 1177 faltaba formulario no covid</t>
  </si>
  <si>
    <t>A 30 de septiembre de 2020 se suscribieron 295 contratos de los cuales 67 bajo la modalidad de minima cuantía, quedando 228 valor que se toma para el reporte del indicador.
Es importante recalcar que cuando surte un proceso en donde el contratista es un consorcio o union temporal requiere la presentancion del RUT para la elaboracion del contrato informacion que queda plasmada en el mismo, puede darse que se demore mas de 2 dias en razon, por el mismo tramite que deben realizar el contratista ante la DIAN.</t>
  </si>
  <si>
    <t>Según informe de auditoria interna año 2020, realizada del 23 al 28 de septiembre de 2020, se evidencia reporte de 1 No conformidad por el uso de documentación obsoleta que se atribuyeron al numeral 7.5.3.1  de la norma ISO 9001 e ISO 14001, hallazgos que fueron tratados con acciones correctivas para eliminar las causas que dieron origen a los mismos.</t>
  </si>
  <si>
    <t>En lo corrido del año, al 30 de septiembre se han entregado en total 1719 kilogramos de residuos aprovechables, lo que arroja cumplimiento de la meta (indicador acumulado). De los residuos aprovechables se han clasificado: 1438 kilogramos de papel, 217 kilogramos de carton, 47 kilogramos de plastico y 16 de metal, lo que refleja el comportamiento adecuado en el uso de estos residuos por parte de funcionarios, teneindo en cuenta que el 84% de los residuos corresponde a papel, debido a las actividades administrativas que se llevan a cabo propias de la razon de ser de la entidad.</t>
  </si>
  <si>
    <t xml:space="preserve">Se identifica que se consumió más en el ultimo periodo que en el anterior, principalmente porque que la empresa de servicios públicos de Neiva incrementó el consumo promedio, se plantearon actividades establecidas en AC en el periodo anterior y en el mes de octubre se realizará el cambio de medidor, lo que permitirá una lectura real del consumo de la corporación.  No se genera nuevamente acción correctiva. </t>
  </si>
  <si>
    <t xml:space="preserve">De acuerdo a T-CAM-006 Programa de Auditorías para la vigencia 2020, se planeo para el tercer  trimestre del año, la presentación de 14 informes: 3 de regalias y 3 de gestión contractual cargados al SIRECI de la Contraloría General de la Republica, 1 informe semestral de control interno, 1 auditoria de caja menor , 1 seguimiento al Plan Anticorrupción y de atención al ciudadano,1 informe del Defensa jurídica  y   3  informes de Gestión de PQRSD, 1 auditoria interna del sistema integrado de gestión.  </t>
  </si>
  <si>
    <t>Para el tercer trimestre del año se tenía 12 actividades pendientes por realizar para dar cumplimieto a las acciones correctivas de la auditoría interna y se realizaron 9 del total de las programadas.  Las actividades que quedaban pendientes relacionadas con El  Programa de Gestión Documental PGD, La finalización de las transferencias del año 2018 y la  Elaborar el procedimiento de Consulta y Préstamo de Documentos del Archivo Central. Por lo anteiror no se cumple la meta del indicador, sin embargo, dado a que en acción correctiva de auditoria interna 2020, se proponen los encuentros conversacionales como herramienta para el seguimiento de temas críticos del SIG como indiidcadores, se establece adicionar dentro de estos el seguimiento al cumplimiento de las acciones correctivas y de mejora, como un control adicional por parte cada una de las dependencias, espernado que esto mejore el nivel de cumplimiento del indicador.
Las actividades no cumplidas de las acciones correctivas y por las cuales se incumple el indicador se reformularon; alineándolas dentro de las nuevas accciones correctivas de gestión documental.</t>
  </si>
  <si>
    <t>Se revisó la fecha de último documento para legalización del contrato y la fecha de delegación del mismo y se evidenció que en ningpun caso fue mayor a tres días, por tal razón se pone como promedio este número de días.</t>
  </si>
  <si>
    <t>Se cumple la meta en el consumo de energía, se mide percápita.  Se realizará en octubre mantenimiento de aires acondicionados y se presentó reclamación a la Eletrificadora del Huila, como se tiene NC abierta se esperara el resultado de las acciones tomadas para evidenciar reducción.
Se contempó en el ingreso los siguientes datos:
En la sede principal ingresan en promedio 35 personas por día (35*20*3) = 2.100 personas en el trimestre.
Para la sede Pitalito, se atienden en promedio 10 usuarios diarios por 20 días por tres meses, y 130 funcionarios al mes; esto es 990 en los tres meses.
En La Plata, se atienen en promedio 20 personas diarias y 4 funcionarios, esto es 480 personas al mes, lo que arroja en total 1440 personas y en la sede Garzón, en promedio son 20 funcionarios a la semana, por 4 semanas, 80 personas al mes, en esta territorial no se atendió al público en los meses de agosto y septiembre y en el mes de octubre se atendieron en total 62 usuarios, para un total de 302 funcionarios.
Se propone cambiar este indicador de consumo de energía por medición de huella de carbono.</t>
  </si>
  <si>
    <t>Para el tercer trimestre se realizaron 58 encuestas distribuidas entre el centro de atención y las direcciones territoriales obteniendo 232 respuestas de las cuales 11 oscilan entre calificación, regular, deficiente y mala.
Con el fin de mejorar la atención al ciudadano para hacerla más oportuna, se creó la política de atención al ciudadano y se tienen los documentos definitivos para estandarizar las actividades de este proceso con el fin de establecer controles adicionales y mejorar los existentes con el fin de volverlos eficaces para una toma de decisiones más objetiva y que apunten a las necesidades reales de la corporación.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</si>
</sst>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0%"/>
    <numFmt numFmtId="165" formatCode="0.0"/>
    <numFmt numFmtId="166" formatCode="&quot;$&quot;\ #,##0"/>
  </numFmts>
  <fonts count="25" x14ac:knownFonts="1">
    <font>
      <sz val="11"/>
      <color theme="1"/>
      <name val="Calibri"/>
      <family val="2"/>
      <scheme val="minor"/>
    </font>
    <font>
      <sz val="11"/>
      <color theme="1"/>
      <name val="Calibri"/>
      <family val="2"/>
      <scheme val="minor"/>
    </font>
    <font>
      <b/>
      <sz val="16"/>
      <name val="Arial"/>
      <family val="2"/>
    </font>
    <font>
      <b/>
      <sz val="13"/>
      <name val="Arial"/>
      <family val="2"/>
    </font>
    <font>
      <sz val="13"/>
      <name val="Arial"/>
      <family val="2"/>
    </font>
    <font>
      <sz val="13"/>
      <color indexed="59"/>
      <name val="Arial"/>
      <family val="2"/>
    </font>
    <font>
      <sz val="10"/>
      <name val="Arial"/>
      <family val="2"/>
    </font>
    <font>
      <sz val="13"/>
      <color theme="1"/>
      <name val="Arial"/>
      <family val="2"/>
    </font>
    <font>
      <sz val="14"/>
      <name val="Arial"/>
      <family val="2"/>
    </font>
    <font>
      <b/>
      <sz val="12"/>
      <color indexed="81"/>
      <name val="Arial"/>
      <family val="2"/>
    </font>
    <font>
      <sz val="12"/>
      <color indexed="81"/>
      <name val="Arial"/>
      <family val="2"/>
    </font>
    <font>
      <sz val="8"/>
      <color indexed="81"/>
      <name val="Tahoma"/>
      <family val="2"/>
    </font>
    <font>
      <sz val="11"/>
      <color indexed="81"/>
      <name val="Tahoma"/>
      <family val="2"/>
    </font>
    <font>
      <sz val="14"/>
      <color theme="1"/>
      <name val="Arial"/>
      <family val="2"/>
    </font>
    <font>
      <sz val="9"/>
      <color indexed="81"/>
      <name val="Tahoma"/>
      <family val="2"/>
    </font>
    <font>
      <b/>
      <sz val="9"/>
      <color indexed="81"/>
      <name val="Tahoma"/>
      <family val="2"/>
    </font>
    <font>
      <b/>
      <sz val="16"/>
      <color theme="1"/>
      <name val="Arial"/>
      <family val="2"/>
    </font>
    <font>
      <b/>
      <sz val="36"/>
      <color theme="1"/>
      <name val="Arial"/>
      <family val="2"/>
    </font>
    <font>
      <sz val="16"/>
      <name val="Arial"/>
      <family val="2"/>
    </font>
    <font>
      <sz val="18"/>
      <name val="Arial"/>
      <family val="2"/>
    </font>
    <font>
      <sz val="18"/>
      <color theme="1"/>
      <name val="Arial"/>
      <family val="2"/>
    </font>
    <font>
      <sz val="12"/>
      <color theme="1"/>
      <name val="Calibri"/>
      <family val="2"/>
      <scheme val="minor"/>
    </font>
    <font>
      <b/>
      <sz val="11"/>
      <color theme="1"/>
      <name val="Calibri"/>
      <family val="2"/>
      <scheme val="minor"/>
    </font>
    <font>
      <i/>
      <sz val="14"/>
      <name val="Arial"/>
      <family val="2"/>
    </font>
    <font>
      <b/>
      <sz val="11"/>
      <color theme="1"/>
      <name val="Arial"/>
      <family val="2"/>
    </font>
  </fonts>
  <fills count="9">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00B050"/>
        <bgColor indexed="64"/>
      </patternFill>
    </fill>
    <fill>
      <patternFill patternType="solid">
        <fgColor rgb="FF7030A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12">
    <xf numFmtId="0" fontId="0" fillId="0" borderId="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9" fontId="6" fillId="0" borderId="0" applyFont="0" applyFill="0" applyBorder="0" applyAlignment="0" applyProtection="0"/>
    <xf numFmtId="44" fontId="1" fillId="0" borderId="0" applyFont="0" applyFill="0" applyBorder="0" applyAlignment="0" applyProtection="0"/>
    <xf numFmtId="0" fontId="21" fillId="0" borderId="0"/>
    <xf numFmtId="9" fontId="21" fillId="0" borderId="0" applyFont="0" applyFill="0" applyBorder="0" applyAlignment="0" applyProtection="0"/>
    <xf numFmtId="44" fontId="1" fillId="0" borderId="0" applyFont="0" applyFill="0" applyBorder="0" applyAlignment="0" applyProtection="0"/>
  </cellStyleXfs>
  <cellXfs count="340">
    <xf numFmtId="0" fontId="0" fillId="0" borderId="0" xfId="0"/>
    <xf numFmtId="0" fontId="0" fillId="0" borderId="0" xfId="0" applyProtection="1">
      <protection locked="0" hidden="1"/>
    </xf>
    <xf numFmtId="164" fontId="4" fillId="0" borderId="2" xfId="2" applyNumberFormat="1" applyFont="1" applyFill="1" applyBorder="1" applyAlignment="1" applyProtection="1">
      <alignment horizontal="justify" vertical="center" wrapText="1"/>
      <protection locked="0"/>
    </xf>
    <xf numFmtId="164" fontId="13" fillId="0" borderId="1" xfId="2" applyNumberFormat="1" applyFont="1" applyFill="1" applyBorder="1" applyAlignment="1" applyProtection="1">
      <alignment horizontal="justify" vertical="center" wrapText="1"/>
      <protection locked="0"/>
    </xf>
    <xf numFmtId="9" fontId="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0" fontId="16" fillId="0" borderId="6" xfId="0" applyFont="1" applyBorder="1" applyProtection="1">
      <protection locked="0"/>
    </xf>
    <xf numFmtId="0" fontId="16" fillId="0" borderId="2" xfId="0" applyFont="1" applyBorder="1" applyProtection="1">
      <protection locked="0"/>
    </xf>
    <xf numFmtId="0" fontId="16" fillId="0" borderId="7" xfId="0" applyFont="1" applyBorder="1" applyProtection="1">
      <protection locked="0"/>
    </xf>
    <xf numFmtId="49" fontId="2" fillId="2" borderId="1"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protection locked="0"/>
    </xf>
    <xf numFmtId="49" fontId="4" fillId="4" borderId="1" xfId="0" applyNumberFormat="1" applyFont="1" applyFill="1" applyBorder="1" applyAlignment="1" applyProtection="1">
      <alignment horizontal="justify" vertical="center" wrapText="1"/>
      <protection locked="0"/>
    </xf>
    <xf numFmtId="49" fontId="4" fillId="4" borderId="1"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164" fontId="4" fillId="0" borderId="1" xfId="1" applyNumberFormat="1" applyFont="1" applyFill="1" applyBorder="1" applyAlignment="1" applyProtection="1">
      <alignment horizontal="justify" vertical="center" wrapText="1"/>
      <protection locked="0"/>
    </xf>
    <xf numFmtId="2" fontId="4" fillId="0" borderId="1" xfId="0" applyNumberFormat="1"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justify" vertical="center" wrapText="1"/>
      <protection locked="0"/>
    </xf>
    <xf numFmtId="49" fontId="4" fillId="3" borderId="2" xfId="0" applyNumberFormat="1" applyFont="1" applyFill="1" applyBorder="1" applyAlignment="1" applyProtection="1">
      <alignment horizontal="justify" vertical="center" wrapText="1"/>
      <protection locked="0"/>
    </xf>
    <xf numFmtId="165" fontId="4" fillId="4" borderId="1" xfId="1" applyNumberFormat="1" applyFont="1" applyFill="1" applyBorder="1" applyAlignment="1" applyProtection="1">
      <alignment horizontal="justify" vertical="center" wrapText="1"/>
      <protection locked="0"/>
    </xf>
    <xf numFmtId="164" fontId="4" fillId="0" borderId="2" xfId="1" applyNumberFormat="1" applyFont="1" applyFill="1" applyBorder="1" applyAlignment="1" applyProtection="1">
      <alignment horizontal="justify" vertical="center" wrapText="1"/>
      <protection locked="0"/>
    </xf>
    <xf numFmtId="166" fontId="4" fillId="0" borderId="1" xfId="0" applyNumberFormat="1" applyFont="1" applyFill="1" applyBorder="1" applyAlignment="1" applyProtection="1">
      <alignment horizontal="center" vertical="center" wrapText="1"/>
      <protection locked="0"/>
    </xf>
    <xf numFmtId="9" fontId="4" fillId="0" borderId="1" xfId="1" applyNumberFormat="1" applyFont="1" applyFill="1" applyBorder="1" applyAlignment="1" applyProtection="1">
      <alignment horizontal="center" vertical="center" wrapText="1"/>
      <protection locked="0"/>
    </xf>
    <xf numFmtId="164" fontId="4" fillId="0" borderId="1" xfId="1" applyNumberFormat="1" applyFont="1" applyFill="1" applyBorder="1" applyAlignment="1" applyProtection="1">
      <alignment horizontal="center" vertical="center" wrapText="1"/>
      <protection locked="0"/>
    </xf>
    <xf numFmtId="166" fontId="4" fillId="5" borderId="1" xfId="0" applyNumberFormat="1"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Protection="1">
      <protection locked="0"/>
    </xf>
    <xf numFmtId="0" fontId="0" fillId="5" borderId="1" xfId="0" applyFill="1" applyBorder="1" applyAlignment="1" applyProtection="1">
      <alignment horizontal="center" vertical="center"/>
      <protection locked="0"/>
    </xf>
    <xf numFmtId="165" fontId="4" fillId="4" borderId="1" xfId="4" applyNumberFormat="1" applyFont="1" applyFill="1" applyBorder="1" applyAlignment="1" applyProtection="1">
      <alignment horizontal="justify" vertical="center" wrapText="1"/>
      <protection locked="0"/>
    </xf>
    <xf numFmtId="9" fontId="4" fillId="0" borderId="1"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9" fontId="4" fillId="0" borderId="1" xfId="1"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protection locked="0"/>
    </xf>
    <xf numFmtId="9" fontId="4" fillId="0" borderId="1" xfId="3"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9" fontId="4" fillId="3" borderId="1" xfId="3" applyFont="1" applyFill="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4" fillId="4" borderId="1" xfId="0" applyFont="1" applyFill="1" applyBorder="1" applyAlignment="1" applyProtection="1">
      <alignment horizontal="left" vertical="center" wrapText="1"/>
      <protection locked="0"/>
    </xf>
    <xf numFmtId="9" fontId="4" fillId="0" borderId="1" xfId="2" applyFont="1" applyFill="1" applyBorder="1" applyAlignment="1" applyProtection="1">
      <alignment horizontal="center" vertical="center" wrapText="1"/>
      <protection locked="0"/>
    </xf>
    <xf numFmtId="9" fontId="4" fillId="4" borderId="1" xfId="2" applyFont="1" applyFill="1" applyBorder="1" applyAlignment="1" applyProtection="1">
      <alignment horizontal="center" vertical="center" wrapText="1"/>
      <protection locked="0"/>
    </xf>
    <xf numFmtId="49" fontId="4" fillId="0" borderId="2" xfId="0" applyNumberFormat="1" applyFont="1" applyFill="1" applyBorder="1" applyAlignment="1" applyProtection="1">
      <alignment horizontal="justify" vertical="center" wrapText="1"/>
      <protection locked="0"/>
    </xf>
    <xf numFmtId="49" fontId="4" fillId="4" borderId="1" xfId="0" applyNumberFormat="1" applyFont="1" applyFill="1" applyBorder="1" applyAlignment="1" applyProtection="1">
      <alignment horizontal="left" vertical="center" wrapText="1"/>
      <protection locked="0"/>
    </xf>
    <xf numFmtId="9" fontId="4" fillId="0" borderId="1" xfId="2"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justify" vertical="center" wrapText="1"/>
      <protection locked="0"/>
    </xf>
    <xf numFmtId="0" fontId="8" fillId="4" borderId="1" xfId="0" applyFont="1" applyFill="1" applyBorder="1" applyAlignment="1" applyProtection="1">
      <alignment horizontal="left" vertical="center" wrapText="1"/>
      <protection locked="0"/>
    </xf>
    <xf numFmtId="164" fontId="4" fillId="0" borderId="1" xfId="3" applyNumberFormat="1" applyFont="1" applyFill="1" applyBorder="1" applyAlignment="1" applyProtection="1">
      <alignment horizontal="justify" vertical="center" wrapText="1"/>
      <protection locked="0"/>
    </xf>
    <xf numFmtId="14" fontId="7" fillId="0" borderId="1" xfId="0" applyNumberFormat="1" applyFont="1" applyBorder="1" applyAlignment="1" applyProtection="1">
      <alignment horizontal="center" vertical="center"/>
      <protection locked="0"/>
    </xf>
    <xf numFmtId="9" fontId="4" fillId="3" borderId="1" xfId="1" applyFont="1" applyFill="1" applyBorder="1" applyAlignment="1" applyProtection="1">
      <alignment horizontal="center" vertical="center" wrapText="1"/>
      <protection locked="0"/>
    </xf>
    <xf numFmtId="10" fontId="4" fillId="0" borderId="1" xfId="4" applyNumberFormat="1" applyFont="1" applyFill="1" applyBorder="1" applyAlignment="1" applyProtection="1">
      <alignment horizontal="center" vertical="center" wrapText="1"/>
      <protection locked="0"/>
    </xf>
    <xf numFmtId="9" fontId="4" fillId="4" borderId="1" xfId="1" applyFont="1" applyFill="1" applyBorder="1" applyAlignment="1" applyProtection="1">
      <alignment horizontal="center" vertical="center" wrapText="1"/>
      <protection locked="0"/>
    </xf>
    <xf numFmtId="9" fontId="4" fillId="4" borderId="1" xfId="1" applyFont="1" applyFill="1" applyBorder="1" applyAlignment="1" applyProtection="1">
      <alignment horizontal="justify" vertical="center" wrapText="1"/>
      <protection locked="0"/>
    </xf>
    <xf numFmtId="49" fontId="4" fillId="4" borderId="1" xfId="0" applyNumberFormat="1" applyFont="1" applyFill="1" applyBorder="1" applyAlignment="1" applyProtection="1">
      <alignment vertical="center" wrapText="1"/>
      <protection locked="0"/>
    </xf>
    <xf numFmtId="164" fontId="4" fillId="0" borderId="1" xfId="5" applyNumberFormat="1" applyFont="1" applyFill="1" applyBorder="1" applyAlignment="1" applyProtection="1">
      <alignment horizontal="justify" vertical="center" wrapText="1"/>
      <protection locked="0"/>
    </xf>
    <xf numFmtId="0" fontId="4" fillId="6" borderId="1" xfId="0" applyFont="1" applyFill="1" applyBorder="1" applyAlignment="1" applyProtection="1">
      <alignment horizontal="center" vertical="center" wrapText="1"/>
      <protection locked="0"/>
    </xf>
    <xf numFmtId="164" fontId="4" fillId="0" borderId="2" xfId="5" applyNumberFormat="1" applyFont="1" applyFill="1" applyBorder="1" applyAlignment="1" applyProtection="1">
      <alignment horizontal="justify" vertical="center" wrapText="1"/>
      <protection locked="0"/>
    </xf>
    <xf numFmtId="0" fontId="0" fillId="7" borderId="1" xfId="0" applyFill="1" applyBorder="1" applyProtection="1">
      <protection locked="0"/>
    </xf>
    <xf numFmtId="164" fontId="4" fillId="7" borderId="2" xfId="1" applyNumberFormat="1" applyFont="1" applyFill="1" applyBorder="1" applyAlignment="1" applyProtection="1">
      <alignment horizontal="justify" vertical="center" wrapText="1"/>
      <protection locked="0"/>
    </xf>
    <xf numFmtId="9" fontId="4" fillId="4" borderId="1" xfId="0" applyNumberFormat="1" applyFont="1" applyFill="1" applyBorder="1" applyAlignment="1" applyProtection="1">
      <alignment horizontal="justify" vertical="center" wrapText="1"/>
      <protection locked="0"/>
    </xf>
    <xf numFmtId="0" fontId="0" fillId="0" borderId="1" xfId="0" applyBorder="1" applyAlignment="1" applyProtection="1">
      <alignment horizontal="center"/>
      <protection locked="0"/>
    </xf>
    <xf numFmtId="10" fontId="4" fillId="4" borderId="1" xfId="0" applyNumberFormat="1" applyFont="1" applyFill="1" applyBorder="1" applyAlignment="1" applyProtection="1">
      <alignment horizontal="justify" vertical="center" wrapText="1"/>
      <protection locked="0"/>
    </xf>
    <xf numFmtId="2" fontId="4" fillId="3" borderId="1"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10" fontId="4" fillId="0" borderId="1" xfId="1" applyNumberFormat="1" applyFont="1" applyFill="1" applyBorder="1" applyAlignment="1" applyProtection="1">
      <alignment horizontal="center" vertical="center" wrapText="1"/>
      <protection locked="0"/>
    </xf>
    <xf numFmtId="0" fontId="4" fillId="3" borderId="2" xfId="0" applyFont="1" applyFill="1" applyBorder="1" applyAlignment="1" applyProtection="1">
      <alignment horizontal="justify" vertical="center" wrapText="1"/>
      <protection locked="0"/>
    </xf>
    <xf numFmtId="166" fontId="4" fillId="3" borderId="1" xfId="0" applyNumberFormat="1" applyFont="1" applyFill="1" applyBorder="1" applyAlignment="1" applyProtection="1">
      <alignment horizontal="center" vertical="center" wrapText="1"/>
      <protection locked="0"/>
    </xf>
    <xf numFmtId="164" fontId="4" fillId="3" borderId="1" xfId="1" applyNumberFormat="1" applyFont="1" applyFill="1" applyBorder="1" applyAlignment="1" applyProtection="1">
      <alignment horizontal="center" vertical="center" wrapText="1"/>
      <protection locked="0"/>
    </xf>
    <xf numFmtId="164" fontId="4" fillId="3" borderId="1" xfId="1" applyNumberFormat="1" applyFont="1" applyFill="1" applyBorder="1" applyAlignment="1" applyProtection="1">
      <alignment horizontal="justify" vertical="center" wrapText="1"/>
      <protection locked="0"/>
    </xf>
    <xf numFmtId="164" fontId="4" fillId="3" borderId="2" xfId="1" applyNumberFormat="1" applyFont="1" applyFill="1" applyBorder="1" applyAlignment="1" applyProtection="1">
      <alignment horizontal="justify" vertical="center" wrapText="1"/>
      <protection locked="0"/>
    </xf>
    <xf numFmtId="1" fontId="7" fillId="0" borderId="1" xfId="1" applyNumberFormat="1" applyFont="1" applyBorder="1" applyAlignment="1" applyProtection="1">
      <alignment horizontal="center" vertical="center"/>
      <protection locked="0"/>
    </xf>
    <xf numFmtId="9" fontId="7" fillId="0" borderId="1" xfId="1" applyFont="1" applyBorder="1" applyAlignment="1" applyProtection="1">
      <alignment horizontal="center" vertical="center"/>
      <protection locked="0"/>
    </xf>
    <xf numFmtId="164" fontId="4" fillId="0" borderId="1" xfId="0" applyNumberFormat="1" applyFont="1" applyFill="1" applyBorder="1" applyAlignment="1" applyProtection="1">
      <alignment horizontal="justify" vertical="center" wrapText="1"/>
      <protection locked="0"/>
    </xf>
    <xf numFmtId="1" fontId="7" fillId="5" borderId="1" xfId="1" applyNumberFormat="1"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3" fontId="4" fillId="0" borderId="1" xfId="0" applyNumberFormat="1" applyFont="1" applyFill="1" applyBorder="1" applyAlignment="1" applyProtection="1">
      <alignment horizontal="center" vertical="center" wrapText="1"/>
      <protection locked="0"/>
    </xf>
    <xf numFmtId="3" fontId="4" fillId="5" borderId="1" xfId="0" applyNumberFormat="1" applyFont="1" applyFill="1" applyBorder="1" applyAlignment="1" applyProtection="1">
      <alignment horizontal="center" vertical="center" wrapText="1"/>
      <protection locked="0"/>
    </xf>
    <xf numFmtId="164" fontId="4" fillId="0" borderId="2" xfId="0" applyNumberFormat="1" applyFont="1" applyFill="1" applyBorder="1" applyAlignment="1" applyProtection="1">
      <alignment horizontal="justify" vertical="center" wrapText="1"/>
      <protection locked="0"/>
    </xf>
    <xf numFmtId="49" fontId="4" fillId="5"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9" fontId="4" fillId="0" borderId="4" xfId="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164" fontId="4" fillId="0" borderId="5" xfId="1" applyNumberFormat="1" applyFont="1" applyFill="1" applyBorder="1" applyAlignment="1" applyProtection="1">
      <alignment horizontal="justify" vertical="center" wrapText="1"/>
      <protection locked="0"/>
    </xf>
    <xf numFmtId="0" fontId="4" fillId="4" borderId="1" xfId="0" applyFont="1" applyFill="1" applyBorder="1" applyAlignment="1" applyProtection="1">
      <alignment horizontal="center" vertical="center" wrapText="1"/>
    </xf>
    <xf numFmtId="9" fontId="4" fillId="0" borderId="1" xfId="1" applyNumberFormat="1" applyFont="1" applyFill="1" applyBorder="1" applyAlignment="1" applyProtection="1">
      <alignment horizontal="center" vertical="center" wrapText="1"/>
    </xf>
    <xf numFmtId="9" fontId="4" fillId="3" borderId="1" xfId="3" applyFont="1" applyFill="1" applyBorder="1" applyAlignment="1" applyProtection="1">
      <alignment horizontal="center" vertical="center" wrapText="1"/>
    </xf>
    <xf numFmtId="9" fontId="4" fillId="4" borderId="1" xfId="2"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9" fontId="4" fillId="0" borderId="1" xfId="2" applyFont="1" applyFill="1" applyBorder="1" applyAlignment="1" applyProtection="1">
      <alignment horizontal="center" vertical="center" wrapText="1"/>
    </xf>
    <xf numFmtId="0" fontId="0" fillId="0" borderId="1" xfId="0" applyBorder="1" applyAlignment="1" applyProtection="1">
      <alignment horizontal="center" vertical="center"/>
    </xf>
    <xf numFmtId="9" fontId="4" fillId="0" borderId="1" xfId="2" applyNumberFormat="1" applyFont="1" applyFill="1" applyBorder="1" applyAlignment="1" applyProtection="1">
      <alignment horizontal="center" vertical="center" wrapText="1"/>
    </xf>
    <xf numFmtId="9" fontId="4" fillId="3" borderId="1" xfId="1" applyFont="1" applyFill="1" applyBorder="1" applyAlignment="1" applyProtection="1">
      <alignment horizontal="center" vertical="center" wrapText="1"/>
    </xf>
    <xf numFmtId="10" fontId="4" fillId="0" borderId="1" xfId="4" applyNumberFormat="1"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0" fontId="0" fillId="7" borderId="1" xfId="0" applyFill="1" applyBorder="1" applyProtection="1"/>
    <xf numFmtId="164" fontId="4" fillId="7" borderId="1" xfId="1" applyNumberFormat="1" applyFont="1" applyFill="1" applyBorder="1" applyAlignment="1" applyProtection="1">
      <alignment horizontal="justify" vertical="center" wrapText="1"/>
    </xf>
    <xf numFmtId="2" fontId="4" fillId="3" borderId="1" xfId="0" applyNumberFormat="1"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164" fontId="4" fillId="3" borderId="1" xfId="1" applyNumberFormat="1" applyFont="1" applyFill="1" applyBorder="1" applyAlignment="1" applyProtection="1">
      <alignment horizontal="center" vertical="center" wrapText="1"/>
    </xf>
    <xf numFmtId="9" fontId="7" fillId="0" borderId="1" xfId="1" applyFont="1" applyBorder="1" applyAlignment="1" applyProtection="1">
      <alignment horizontal="center" vertical="center"/>
    </xf>
    <xf numFmtId="9" fontId="4" fillId="3" borderId="1" xfId="1"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xf>
    <xf numFmtId="9" fontId="4" fillId="0" borderId="4" xfId="1"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10" fontId="7" fillId="5" borderId="1" xfId="1" applyNumberFormat="1" applyFont="1" applyFill="1" applyBorder="1" applyAlignment="1" applyProtection="1">
      <alignment horizontal="center" vertical="center"/>
    </xf>
    <xf numFmtId="0" fontId="4" fillId="0" borderId="2" xfId="0" applyFont="1" applyFill="1" applyBorder="1" applyAlignment="1" applyProtection="1">
      <alignment vertical="center" wrapText="1"/>
      <protection locked="0"/>
    </xf>
    <xf numFmtId="3" fontId="0" fillId="5" borderId="1" xfId="0" applyNumberFormat="1" applyFill="1" applyBorder="1" applyAlignment="1" applyProtection="1">
      <alignment horizontal="center" vertical="center"/>
      <protection locked="0"/>
    </xf>
    <xf numFmtId="3" fontId="0" fillId="5" borderId="0" xfId="0" applyNumberFormat="1" applyFill="1" applyAlignment="1">
      <alignment horizontal="center" vertical="center"/>
    </xf>
    <xf numFmtId="0" fontId="18" fillId="5" borderId="1" xfId="0" applyFont="1" applyFill="1" applyBorder="1" applyAlignment="1" applyProtection="1">
      <alignment horizontal="center" vertical="center" wrapText="1"/>
      <protection locked="0"/>
    </xf>
    <xf numFmtId="49" fontId="4" fillId="0" borderId="11" xfId="0" applyNumberFormat="1" applyFont="1" applyFill="1" applyBorder="1" applyAlignment="1" applyProtection="1">
      <alignment horizontal="justify" vertical="center" wrapText="1"/>
      <protection locked="0" hidden="1"/>
    </xf>
    <xf numFmtId="164" fontId="4" fillId="0" borderId="2" xfId="2" applyNumberFormat="1" applyFont="1" applyFill="1" applyBorder="1" applyAlignment="1" applyProtection="1">
      <alignment horizontal="justify" vertical="center" wrapText="1"/>
      <protection locked="0" hidden="1"/>
    </xf>
    <xf numFmtId="164" fontId="7" fillId="0" borderId="2" xfId="2" applyNumberFormat="1" applyFont="1" applyFill="1" applyBorder="1" applyAlignment="1" applyProtection="1">
      <alignment horizontal="justify" vertical="center" wrapText="1"/>
      <protection locked="0" hidden="1"/>
    </xf>
    <xf numFmtId="164" fontId="7" fillId="0" borderId="2" xfId="2" applyNumberFormat="1" applyFont="1" applyFill="1" applyBorder="1" applyAlignment="1" applyProtection="1">
      <alignment horizontal="justify" vertical="center" wrapText="1"/>
      <protection locked="0"/>
    </xf>
    <xf numFmtId="49" fontId="4" fillId="4" borderId="13" xfId="0" applyNumberFormat="1" applyFont="1" applyFill="1" applyBorder="1" applyAlignment="1" applyProtection="1">
      <alignment horizontal="justify" vertical="center" wrapText="1"/>
      <protection locked="0"/>
    </xf>
    <xf numFmtId="49" fontId="4" fillId="4" borderId="13" xfId="0" applyNumberFormat="1" applyFont="1" applyFill="1" applyBorder="1" applyAlignment="1" applyProtection="1">
      <alignment horizontal="center" vertical="center" wrapText="1"/>
      <protection locked="0"/>
    </xf>
    <xf numFmtId="9" fontId="4" fillId="4" borderId="13" xfId="1" applyFont="1" applyFill="1" applyBorder="1" applyAlignment="1" applyProtection="1">
      <alignment horizontal="justify" vertical="center" wrapText="1"/>
      <protection locked="0"/>
    </xf>
    <xf numFmtId="0" fontId="4" fillId="4" borderId="13"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49" fontId="19" fillId="4" borderId="1" xfId="0" applyNumberFormat="1" applyFont="1" applyFill="1" applyBorder="1" applyAlignment="1" applyProtection="1">
      <alignment vertical="center" wrapText="1"/>
      <protection locked="0"/>
    </xf>
    <xf numFmtId="49" fontId="19" fillId="4" borderId="1" xfId="0" applyNumberFormat="1" applyFont="1" applyFill="1" applyBorder="1" applyAlignment="1" applyProtection="1">
      <alignment horizontal="center" vertical="center" wrapText="1"/>
      <protection locked="0"/>
    </xf>
    <xf numFmtId="9" fontId="19" fillId="4" borderId="1" xfId="1" applyFont="1" applyFill="1" applyBorder="1" applyAlignment="1" applyProtection="1">
      <alignment horizontal="justify" vertical="center" wrapText="1"/>
      <protection locked="0"/>
    </xf>
    <xf numFmtId="0" fontId="19" fillId="4" borderId="1" xfId="0" applyFont="1" applyFill="1" applyBorder="1" applyAlignment="1" applyProtection="1">
      <alignment horizontal="center" vertical="center" wrapText="1"/>
      <protection locked="0"/>
    </xf>
    <xf numFmtId="49" fontId="19" fillId="4" borderId="1" xfId="0" applyNumberFormat="1" applyFont="1" applyFill="1" applyBorder="1" applyAlignment="1" applyProtection="1">
      <alignment horizontal="justify" vertical="center" wrapText="1"/>
      <protection locked="0"/>
    </xf>
    <xf numFmtId="0" fontId="19" fillId="6" borderId="1" xfId="0" applyFont="1" applyFill="1" applyBorder="1" applyAlignment="1" applyProtection="1">
      <alignment horizontal="center" vertical="center" wrapText="1"/>
      <protection locked="0"/>
    </xf>
    <xf numFmtId="3" fontId="19" fillId="5" borderId="1"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164" fontId="19" fillId="0" borderId="2" xfId="0" applyNumberFormat="1" applyFont="1" applyFill="1" applyBorder="1" applyAlignment="1" applyProtection="1">
      <alignment horizontal="justify" vertical="center" wrapText="1"/>
      <protection locked="0"/>
    </xf>
    <xf numFmtId="0" fontId="19" fillId="0" borderId="2" xfId="0" applyFont="1" applyFill="1" applyBorder="1" applyAlignment="1" applyProtection="1">
      <alignment horizontal="justify" vertical="center" wrapText="1"/>
      <protection locked="0"/>
    </xf>
    <xf numFmtId="0" fontId="4" fillId="0" borderId="1" xfId="0" applyFont="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64" fontId="4" fillId="0" borderId="2" xfId="5" applyNumberFormat="1" applyFont="1" applyFill="1" applyBorder="1" applyAlignment="1" applyProtection="1">
      <alignment horizontal="justify" vertical="center" wrapText="1"/>
      <protection locked="0"/>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44" fontId="7" fillId="5" borderId="1" xfId="8" applyFont="1" applyFill="1" applyBorder="1" applyAlignment="1" applyProtection="1">
      <alignment horizontal="center" vertical="center"/>
      <protection locked="0"/>
    </xf>
    <xf numFmtId="1" fontId="19" fillId="0" borderId="1" xfId="1" applyNumberFormat="1" applyFont="1" applyFill="1" applyBorder="1" applyAlignment="1" applyProtection="1">
      <alignment horizontal="center" vertical="center" wrapText="1"/>
    </xf>
    <xf numFmtId="9" fontId="18" fillId="0" borderId="1" xfId="1" applyFont="1" applyFill="1" applyBorder="1" applyAlignment="1" applyProtection="1">
      <alignment horizontal="center" vertical="center" wrapText="1"/>
    </xf>
    <xf numFmtId="9" fontId="18" fillId="4" borderId="1" xfId="2"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164" fontId="13" fillId="0" borderId="1" xfId="2" applyNumberFormat="1" applyFont="1" applyFill="1" applyBorder="1" applyAlignment="1" applyProtection="1">
      <alignment horizontal="justify" vertical="center" wrapText="1"/>
      <protection locked="0"/>
    </xf>
    <xf numFmtId="9" fontId="4" fillId="0" borderId="1" xfId="1" applyFont="1" applyFill="1" applyBorder="1" applyAlignment="1" applyProtection="1">
      <alignment horizontal="center" vertical="center" wrapText="1"/>
    </xf>
    <xf numFmtId="164" fontId="4" fillId="0" borderId="1" xfId="1" applyNumberFormat="1" applyFont="1" applyFill="1" applyBorder="1" applyAlignment="1" applyProtection="1">
      <alignment horizontal="center" vertical="center" wrapText="1"/>
      <protection locked="0"/>
    </xf>
    <xf numFmtId="9" fontId="7" fillId="0" borderId="1" xfId="1" applyFont="1" applyBorder="1" applyAlignment="1" applyProtection="1">
      <alignment horizontal="center" vertical="center"/>
      <protection locked="0"/>
    </xf>
    <xf numFmtId="0" fontId="4" fillId="4" borderId="1" xfId="0" applyFont="1" applyFill="1" applyBorder="1" applyAlignment="1" applyProtection="1">
      <alignment horizontal="center" vertical="center" wrapText="1"/>
    </xf>
    <xf numFmtId="9" fontId="4" fillId="0" borderId="1" xfId="1" applyNumberFormat="1" applyFont="1" applyFill="1" applyBorder="1" applyAlignment="1" applyProtection="1">
      <alignment horizontal="center" vertical="center" wrapText="1"/>
    </xf>
    <xf numFmtId="9" fontId="4" fillId="3" borderId="1" xfId="3" applyFont="1" applyFill="1" applyBorder="1" applyAlignment="1" applyProtection="1">
      <alignment horizontal="center" vertical="center" wrapText="1"/>
    </xf>
    <xf numFmtId="9" fontId="4" fillId="4" borderId="1" xfId="2"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9" fontId="4" fillId="0" borderId="1" xfId="2" applyFont="1" applyFill="1" applyBorder="1" applyAlignment="1" applyProtection="1">
      <alignment horizontal="center" vertical="center" wrapText="1"/>
    </xf>
    <xf numFmtId="0" fontId="0" fillId="0" borderId="1" xfId="0" applyBorder="1" applyAlignment="1" applyProtection="1">
      <alignment horizontal="center" vertical="center"/>
    </xf>
    <xf numFmtId="9" fontId="4" fillId="0" borderId="1" xfId="2" applyNumberFormat="1" applyFont="1" applyFill="1" applyBorder="1" applyAlignment="1" applyProtection="1">
      <alignment horizontal="center" vertical="center" wrapText="1"/>
    </xf>
    <xf numFmtId="9" fontId="4" fillId="3" borderId="1" xfId="1"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4" fillId="4" borderId="1" xfId="9" applyFont="1" applyFill="1" applyBorder="1" applyAlignment="1" applyProtection="1">
      <alignment horizontal="center" vertical="center" wrapText="1"/>
      <protection locked="0"/>
    </xf>
    <xf numFmtId="2" fontId="4" fillId="3" borderId="1" xfId="9" applyNumberFormat="1" applyFont="1" applyFill="1" applyBorder="1" applyAlignment="1" applyProtection="1">
      <alignment horizontal="center" vertical="center" wrapText="1"/>
      <protection locked="0"/>
    </xf>
    <xf numFmtId="164" fontId="4" fillId="0" borderId="1" xfId="5" applyNumberFormat="1" applyFont="1" applyFill="1" applyBorder="1" applyAlignment="1" applyProtection="1">
      <alignment horizontal="justify" vertical="center" wrapText="1"/>
      <protection locked="0"/>
    </xf>
    <xf numFmtId="9" fontId="4" fillId="3" borderId="1" xfId="10" applyFont="1" applyFill="1" applyBorder="1" applyAlignment="1" applyProtection="1">
      <alignment horizontal="center" vertical="center" wrapText="1"/>
      <protection locked="0"/>
    </xf>
    <xf numFmtId="9" fontId="4" fillId="0" borderId="1" xfId="1" applyFont="1" applyFill="1" applyBorder="1" applyAlignment="1" applyProtection="1">
      <alignment horizontal="center" vertical="center" wrapText="1"/>
      <protection locked="0"/>
    </xf>
    <xf numFmtId="10" fontId="4" fillId="0" borderId="1" xfId="4"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164" fontId="4" fillId="0" borderId="1" xfId="1" applyNumberFormat="1" applyFont="1" applyFill="1" applyBorder="1" applyAlignment="1" applyProtection="1">
      <alignment horizontal="justify" vertical="center" wrapText="1"/>
      <protection locked="0"/>
    </xf>
    <xf numFmtId="166" fontId="4" fillId="0" borderId="1"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wrapText="1"/>
      <protection locked="0"/>
    </xf>
    <xf numFmtId="164" fontId="7" fillId="0" borderId="1" xfId="1" applyNumberFormat="1" applyFont="1" applyBorder="1" applyAlignment="1" applyProtection="1">
      <alignment horizontal="center" vertical="center"/>
      <protection locked="0"/>
    </xf>
    <xf numFmtId="165" fontId="4" fillId="0" borderId="1" xfId="0" applyNumberFormat="1" applyFont="1" applyFill="1" applyBorder="1" applyAlignment="1" applyProtection="1">
      <alignment horizontal="center" vertical="center" wrapText="1"/>
    </xf>
    <xf numFmtId="1" fontId="4"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1" fontId="7" fillId="0" borderId="1" xfId="1" applyNumberFormat="1" applyFont="1" applyFill="1" applyBorder="1" applyAlignment="1" applyProtection="1">
      <alignment horizontal="center" vertical="center"/>
      <protection locked="0"/>
    </xf>
    <xf numFmtId="3" fontId="4" fillId="0" borderId="1" xfId="0" applyNumberFormat="1" applyFont="1" applyFill="1" applyBorder="1" applyAlignment="1" applyProtection="1">
      <alignment horizontal="center" vertical="center" wrapText="1"/>
    </xf>
    <xf numFmtId="44" fontId="7" fillId="0" borderId="1" xfId="8"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4" fillId="0" borderId="1" xfId="9" applyFont="1" applyFill="1" applyBorder="1" applyAlignment="1" applyProtection="1">
      <alignment horizontal="center" vertical="center" wrapText="1"/>
      <protection locked="0"/>
    </xf>
    <xf numFmtId="0" fontId="0" fillId="0" borderId="1" xfId="0" applyFill="1" applyBorder="1" applyProtection="1">
      <protection locked="0"/>
    </xf>
    <xf numFmtId="0" fontId="17" fillId="0" borderId="0" xfId="0" applyFont="1" applyBorder="1" applyAlignment="1" applyProtection="1">
      <protection locked="0"/>
    </xf>
    <xf numFmtId="0" fontId="17" fillId="0" borderId="8" xfId="0" applyFont="1" applyBorder="1" applyAlignment="1" applyProtection="1">
      <protection locked="0"/>
    </xf>
    <xf numFmtId="0" fontId="17" fillId="0" borderId="9" xfId="0" applyFont="1" applyBorder="1" applyAlignment="1" applyProtection="1">
      <protection locked="0"/>
    </xf>
    <xf numFmtId="0" fontId="17" fillId="0" borderId="10" xfId="0" applyFont="1" applyBorder="1" applyAlignment="1" applyProtection="1">
      <protection locked="0"/>
    </xf>
    <xf numFmtId="0" fontId="23" fillId="0" borderId="1" xfId="0"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justify" vertical="center" wrapText="1"/>
      <protection locked="0"/>
    </xf>
    <xf numFmtId="0" fontId="16" fillId="0" borderId="1" xfId="0" applyFont="1" applyBorder="1" applyProtection="1">
      <protection locked="0"/>
    </xf>
    <xf numFmtId="0" fontId="0" fillId="0" borderId="1" xfId="0" applyBorder="1"/>
    <xf numFmtId="0" fontId="0" fillId="0" borderId="1" xfId="0" applyBorder="1" applyProtection="1">
      <protection locked="0" hidden="1"/>
    </xf>
    <xf numFmtId="0" fontId="0" fillId="0" borderId="13" xfId="0" applyBorder="1" applyProtection="1">
      <protection locked="0" hidden="1"/>
    </xf>
    <xf numFmtId="0" fontId="7" fillId="0" borderId="1" xfId="0" applyFont="1" applyBorder="1" applyAlignment="1" applyProtection="1">
      <alignment wrapText="1"/>
      <protection locked="0"/>
    </xf>
    <xf numFmtId="164" fontId="7" fillId="0" borderId="1" xfId="2" applyNumberFormat="1" applyFont="1" applyFill="1" applyBorder="1" applyAlignment="1" applyProtection="1">
      <alignment horizontal="justify" vertical="center" wrapText="1"/>
      <protection locked="0"/>
    </xf>
    <xf numFmtId="1" fontId="4" fillId="0" borderId="1" xfId="1" applyNumberFormat="1" applyFont="1" applyFill="1" applyBorder="1" applyAlignment="1" applyProtection="1">
      <alignment horizontal="center" vertical="center" wrapText="1"/>
    </xf>
    <xf numFmtId="49" fontId="4" fillId="4" borderId="14" xfId="0" applyNumberFormat="1" applyFont="1" applyFill="1" applyBorder="1" applyAlignment="1" applyProtection="1">
      <alignment horizontal="center" vertical="center" wrapText="1"/>
      <protection locked="0"/>
    </xf>
    <xf numFmtId="9" fontId="5" fillId="4" borderId="14" xfId="0" applyNumberFormat="1" applyFont="1" applyFill="1" applyBorder="1" applyAlignment="1" applyProtection="1">
      <alignment horizontal="center" vertical="center" wrapText="1"/>
      <protection locked="0"/>
    </xf>
    <xf numFmtId="164" fontId="4" fillId="0" borderId="14" xfId="1" applyNumberFormat="1" applyFont="1" applyFill="1" applyBorder="1" applyAlignment="1" applyProtection="1">
      <alignment horizontal="justify" vertical="center" wrapText="1"/>
      <protection locked="0"/>
    </xf>
    <xf numFmtId="9" fontId="4" fillId="4" borderId="14" xfId="0" applyNumberFormat="1"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49" fontId="4" fillId="0" borderId="17" xfId="0" applyNumberFormat="1" applyFont="1" applyFill="1" applyBorder="1" applyAlignment="1" applyProtection="1">
      <alignment horizontal="justify" vertical="center" wrapText="1"/>
      <protection locked="0" hidden="1"/>
    </xf>
    <xf numFmtId="164" fontId="4" fillId="0" borderId="14" xfId="2" applyNumberFormat="1" applyFont="1" applyFill="1" applyBorder="1" applyAlignment="1" applyProtection="1">
      <alignment horizontal="justify" vertical="center" wrapText="1"/>
      <protection locked="0" hidden="1"/>
    </xf>
    <xf numFmtId="164" fontId="7" fillId="0" borderId="14" xfId="2" applyNumberFormat="1" applyFont="1" applyFill="1" applyBorder="1" applyAlignment="1" applyProtection="1">
      <alignment horizontal="justify" vertical="center" wrapText="1"/>
      <protection locked="0" hidden="1"/>
    </xf>
    <xf numFmtId="164" fontId="7" fillId="0" borderId="14" xfId="2" applyNumberFormat="1" applyFont="1" applyFill="1" applyBorder="1" applyAlignment="1" applyProtection="1">
      <alignment horizontal="justify" vertical="center" wrapText="1"/>
      <protection locked="0"/>
    </xf>
    <xf numFmtId="164" fontId="4" fillId="0" borderId="14" xfId="3" applyNumberFormat="1" applyFont="1" applyFill="1" applyBorder="1" applyAlignment="1" applyProtection="1">
      <alignment horizontal="justify" vertical="center" wrapText="1"/>
      <protection locked="0"/>
    </xf>
    <xf numFmtId="164" fontId="4" fillId="0" borderId="14" xfId="5" applyNumberFormat="1" applyFont="1" applyFill="1" applyBorder="1" applyAlignment="1" applyProtection="1">
      <alignment horizontal="justify" vertical="center" wrapText="1"/>
      <protection locked="0"/>
    </xf>
    <xf numFmtId="0" fontId="4" fillId="4" borderId="14" xfId="0" applyNumberFormat="1" applyFont="1" applyFill="1" applyBorder="1" applyAlignment="1" applyProtection="1">
      <alignment horizontal="center" vertical="center"/>
      <protection locked="0"/>
    </xf>
    <xf numFmtId="9" fontId="4" fillId="4" borderId="14" xfId="0" applyNumberFormat="1" applyFont="1" applyFill="1" applyBorder="1" applyAlignment="1" applyProtection="1">
      <alignment horizontal="center" vertical="center"/>
      <protection locked="0"/>
    </xf>
    <xf numFmtId="9" fontId="4" fillId="4" borderId="14" xfId="1" applyFont="1" applyFill="1" applyBorder="1" applyAlignment="1" applyProtection="1">
      <alignment horizontal="center" vertical="center" wrapText="1"/>
      <protection locked="0"/>
    </xf>
    <xf numFmtId="0" fontId="4" fillId="0" borderId="14" xfId="0" applyFont="1" applyFill="1" applyBorder="1" applyAlignment="1" applyProtection="1">
      <alignment horizontal="justify" vertical="center" wrapText="1"/>
      <protection locked="0"/>
    </xf>
    <xf numFmtId="0" fontId="4" fillId="4" borderId="14" xfId="0" applyFont="1" applyFill="1" applyBorder="1" applyAlignment="1" applyProtection="1">
      <alignment horizontal="center" vertical="center" wrapText="1"/>
      <protection locked="0"/>
    </xf>
    <xf numFmtId="165" fontId="4" fillId="4" borderId="14" xfId="0" applyNumberFormat="1" applyFont="1" applyFill="1" applyBorder="1" applyAlignment="1" applyProtection="1">
      <alignment horizontal="center" vertical="center" wrapText="1"/>
      <protection locked="0"/>
    </xf>
    <xf numFmtId="9" fontId="20" fillId="4" borderId="14" xfId="0" applyNumberFormat="1" applyFont="1" applyFill="1" applyBorder="1" applyAlignment="1" applyProtection="1">
      <alignment horizontal="center" vertical="center" wrapText="1"/>
      <protection locked="0"/>
    </xf>
    <xf numFmtId="9" fontId="19" fillId="4" borderId="14" xfId="0" applyNumberFormat="1" applyFont="1" applyFill="1" applyBorder="1" applyAlignment="1" applyProtection="1">
      <alignment horizontal="center" vertical="center" wrapText="1"/>
      <protection locked="0"/>
    </xf>
    <xf numFmtId="9" fontId="4" fillId="4" borderId="18" xfId="1" applyFont="1" applyFill="1" applyBorder="1" applyAlignment="1" applyProtection="1">
      <alignment horizontal="center" vertical="center" wrapText="1"/>
      <protection locked="0"/>
    </xf>
    <xf numFmtId="164" fontId="4" fillId="0" borderId="14" xfId="0" applyNumberFormat="1" applyFont="1" applyFill="1" applyBorder="1" applyAlignment="1" applyProtection="1">
      <alignment horizontal="justify" vertical="center" wrapText="1"/>
      <protection locked="0"/>
    </xf>
    <xf numFmtId="164" fontId="4" fillId="0" borderId="19" xfId="1" applyNumberFormat="1" applyFont="1" applyFill="1" applyBorder="1" applyAlignment="1" applyProtection="1">
      <alignment horizontal="justify" vertical="center" wrapText="1"/>
      <protection locked="0"/>
    </xf>
    <xf numFmtId="0" fontId="4" fillId="0" borderId="16" xfId="0" applyFont="1" applyFill="1" applyBorder="1" applyAlignment="1" applyProtection="1">
      <alignment horizontal="center" vertical="center" wrapText="1"/>
      <protection locked="0"/>
    </xf>
    <xf numFmtId="166" fontId="4" fillId="0" borderId="16" xfId="0" applyNumberFormat="1"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7" fillId="0" borderId="16" xfId="0" applyFont="1" applyBorder="1" applyAlignment="1" applyProtection="1">
      <alignment horizontal="center" vertical="center"/>
      <protection locked="0"/>
    </xf>
    <xf numFmtId="0" fontId="4" fillId="5" borderId="16" xfId="0" applyFont="1" applyFill="1" applyBorder="1" applyAlignment="1" applyProtection="1">
      <alignment horizontal="center" vertical="center" wrapText="1"/>
      <protection locked="0"/>
    </xf>
    <xf numFmtId="14" fontId="7" fillId="0" borderId="16" xfId="0" applyNumberFormat="1" applyFont="1" applyBorder="1" applyAlignment="1" applyProtection="1">
      <alignment horizontal="center" vertical="center"/>
      <protection locked="0"/>
    </xf>
    <xf numFmtId="0" fontId="4" fillId="3" borderId="16" xfId="0" applyFont="1" applyFill="1" applyBorder="1" applyAlignment="1" applyProtection="1">
      <alignment horizontal="center" vertical="center" wrapText="1"/>
      <protection locked="0"/>
    </xf>
    <xf numFmtId="0" fontId="0" fillId="0" borderId="16" xfId="0" applyBorder="1" applyProtection="1">
      <protection locked="0"/>
    </xf>
    <xf numFmtId="166" fontId="4" fillId="3" borderId="16" xfId="0" applyNumberFormat="1" applyFont="1" applyFill="1" applyBorder="1" applyAlignment="1" applyProtection="1">
      <alignment horizontal="center" vertical="center" wrapText="1"/>
      <protection locked="0"/>
    </xf>
    <xf numFmtId="1" fontId="7" fillId="0" borderId="16" xfId="1" applyNumberFormat="1" applyFont="1" applyBorder="1" applyAlignment="1" applyProtection="1">
      <alignment horizontal="center" vertical="center"/>
      <protection locked="0"/>
    </xf>
    <xf numFmtId="1" fontId="7" fillId="0" borderId="16" xfId="1" applyNumberFormat="1" applyFont="1" applyFill="1" applyBorder="1" applyAlignment="1" applyProtection="1">
      <alignment horizontal="center" vertical="center"/>
      <protection locked="0"/>
    </xf>
    <xf numFmtId="49" fontId="4" fillId="0" borderId="16" xfId="0" applyNumberFormat="1" applyFont="1" applyFill="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49" fontId="4" fillId="5" borderId="16" xfId="0" applyNumberFormat="1" applyFont="1" applyFill="1" applyBorder="1" applyAlignment="1" applyProtection="1">
      <alignment horizontal="center" vertical="center" wrapText="1"/>
      <protection locked="0"/>
    </xf>
    <xf numFmtId="0" fontId="4" fillId="5" borderId="20" xfId="0" applyFont="1" applyFill="1" applyBorder="1" applyAlignment="1" applyProtection="1">
      <alignment horizontal="center" vertical="center" wrapText="1"/>
      <protection locked="0"/>
    </xf>
    <xf numFmtId="165" fontId="4" fillId="4" borderId="13" xfId="1" applyNumberFormat="1" applyFont="1" applyFill="1" applyBorder="1" applyAlignment="1" applyProtection="1">
      <alignment horizontal="justify" vertical="center" wrapText="1"/>
      <protection locked="0"/>
    </xf>
    <xf numFmtId="0" fontId="0" fillId="0" borderId="13" xfId="0"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4" fontId="4" fillId="0" borderId="13" xfId="1" applyNumberFormat="1" applyFont="1" applyFill="1" applyBorder="1" applyAlignment="1" applyProtection="1">
      <alignment horizontal="justify" vertical="center" wrapText="1"/>
      <protection locked="0"/>
    </xf>
    <xf numFmtId="0" fontId="0" fillId="0" borderId="13" xfId="0" applyBorder="1" applyProtection="1">
      <protection locked="0"/>
    </xf>
    <xf numFmtId="164" fontId="4" fillId="0" borderId="13" xfId="1" applyNumberFormat="1" applyFont="1" applyFill="1" applyBorder="1" applyAlignment="1" applyProtection="1">
      <alignment horizontal="center" vertical="center" wrapText="1"/>
      <protection locked="0"/>
    </xf>
    <xf numFmtId="0" fontId="0" fillId="0" borderId="13" xfId="0" applyFill="1" applyBorder="1" applyProtection="1">
      <protection locked="0"/>
    </xf>
    <xf numFmtId="0" fontId="4" fillId="0" borderId="1" xfId="0" applyFont="1" applyFill="1" applyBorder="1" applyAlignment="1" applyProtection="1">
      <alignment vertical="center" wrapText="1"/>
      <protection locked="0"/>
    </xf>
    <xf numFmtId="49" fontId="4" fillId="0" borderId="1" xfId="0" applyNumberFormat="1" applyFont="1" applyBorder="1" applyAlignment="1" applyProtection="1">
      <alignment horizontal="justify" vertical="center" wrapText="1"/>
      <protection locked="0" hidden="1"/>
    </xf>
    <xf numFmtId="164" fontId="4" fillId="0" borderId="1" xfId="2" applyNumberFormat="1" applyFont="1" applyFill="1" applyBorder="1" applyAlignment="1" applyProtection="1">
      <alignment horizontal="justify" vertical="center" wrapText="1"/>
      <protection locked="0" hidden="1"/>
    </xf>
    <xf numFmtId="164" fontId="7" fillId="0" borderId="1" xfId="2" applyNumberFormat="1" applyFont="1" applyFill="1" applyBorder="1" applyAlignment="1" applyProtection="1">
      <alignment horizontal="justify" vertical="center" wrapText="1"/>
      <protection locked="0" hidden="1"/>
    </xf>
    <xf numFmtId="0" fontId="4" fillId="3" borderId="1" xfId="0" applyFont="1" applyFill="1" applyBorder="1" applyAlignment="1" applyProtection="1">
      <alignment horizontal="justify" vertical="center" wrapText="1"/>
      <protection locked="0"/>
    </xf>
    <xf numFmtId="164" fontId="4" fillId="0" borderId="1" xfId="0" applyNumberFormat="1" applyFont="1" applyBorder="1" applyAlignment="1" applyProtection="1">
      <alignment horizontal="justify" vertical="center" wrapText="1"/>
      <protection locked="0"/>
    </xf>
    <xf numFmtId="0" fontId="4" fillId="0" borderId="1" xfId="0" applyFont="1" applyBorder="1" applyAlignment="1" applyProtection="1">
      <alignment horizontal="justify" vertical="center" wrapText="1"/>
      <protection locked="0"/>
    </xf>
    <xf numFmtId="49" fontId="4" fillId="4" borderId="1"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justify" vertical="center" wrapText="1"/>
      <protection locked="0"/>
    </xf>
    <xf numFmtId="49" fontId="2" fillId="2" borderId="1"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0" fillId="0" borderId="21" xfId="0" applyBorder="1" applyProtection="1">
      <protection locked="0"/>
    </xf>
    <xf numFmtId="0" fontId="17" fillId="0" borderId="22" xfId="0" applyFont="1" applyBorder="1" applyAlignment="1" applyProtection="1">
      <protection locked="0"/>
    </xf>
    <xf numFmtId="0" fontId="16" fillId="0" borderId="23" xfId="0" applyFont="1" applyBorder="1" applyAlignment="1" applyProtection="1">
      <alignment wrapText="1"/>
      <protection locked="0"/>
    </xf>
    <xf numFmtId="49" fontId="2" fillId="2" borderId="16" xfId="0" applyNumberFormat="1" applyFont="1" applyFill="1" applyBorder="1" applyAlignment="1" applyProtection="1">
      <alignment horizontal="center" vertical="center" wrapText="1"/>
      <protection locked="0"/>
    </xf>
    <xf numFmtId="0" fontId="4" fillId="4" borderId="3" xfId="0" applyFont="1" applyFill="1" applyBorder="1" applyAlignment="1" applyProtection="1">
      <alignment horizontal="justify" vertical="center" wrapText="1"/>
      <protection locked="0"/>
    </xf>
    <xf numFmtId="0" fontId="4" fillId="4" borderId="3" xfId="0" applyFont="1" applyFill="1" applyBorder="1" applyAlignment="1" applyProtection="1">
      <alignment horizontal="center" vertical="center" wrapText="1"/>
      <protection locked="0"/>
    </xf>
    <xf numFmtId="9" fontId="4" fillId="4" borderId="3" xfId="0" applyNumberFormat="1" applyFont="1" applyFill="1" applyBorder="1" applyAlignment="1" applyProtection="1">
      <alignment horizontal="center" vertical="center" wrapText="1"/>
      <protection locked="0"/>
    </xf>
    <xf numFmtId="165" fontId="4" fillId="4" borderId="3" xfId="1" applyNumberFormat="1" applyFont="1" applyFill="1" applyBorder="1" applyAlignment="1" applyProtection="1">
      <alignment horizontal="justify" vertical="center" wrapText="1"/>
      <protection locked="0"/>
    </xf>
    <xf numFmtId="0" fontId="0" fillId="0" borderId="3" xfId="0"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164" fontId="4" fillId="0" borderId="3" xfId="1" applyNumberFormat="1" applyFont="1" applyFill="1" applyBorder="1" applyAlignment="1" applyProtection="1">
      <alignment horizontal="justify" vertical="center" wrapText="1"/>
      <protection locked="0"/>
    </xf>
    <xf numFmtId="0" fontId="0" fillId="0" borderId="3" xfId="0" applyBorder="1" applyProtection="1">
      <protection locked="0"/>
    </xf>
    <xf numFmtId="49" fontId="4" fillId="4" borderId="3" xfId="0" applyNumberFormat="1" applyFont="1" applyFill="1" applyBorder="1" applyAlignment="1" applyProtection="1">
      <alignment horizontal="justify" vertical="center" wrapText="1"/>
      <protection locked="0"/>
    </xf>
    <xf numFmtId="49" fontId="4" fillId="4" borderId="3" xfId="0" applyNumberFormat="1" applyFont="1" applyFill="1" applyBorder="1" applyAlignment="1" applyProtection="1">
      <alignment horizontal="center" vertical="center" wrapText="1"/>
      <protection locked="0"/>
    </xf>
    <xf numFmtId="9" fontId="4" fillId="4" borderId="3" xfId="1" applyFont="1" applyFill="1" applyBorder="1" applyAlignment="1" applyProtection="1">
      <alignment horizontal="center" vertical="center" wrapText="1"/>
      <protection locked="0"/>
    </xf>
    <xf numFmtId="9" fontId="4" fillId="4" borderId="3" xfId="1" applyFont="1" applyFill="1" applyBorder="1" applyAlignment="1" applyProtection="1">
      <alignment horizontal="justify" vertical="center" wrapText="1"/>
      <protection locked="0"/>
    </xf>
    <xf numFmtId="164" fontId="4" fillId="0" borderId="3" xfId="1" applyNumberFormat="1" applyFont="1" applyFill="1" applyBorder="1" applyAlignment="1" applyProtection="1">
      <alignment horizontal="center" vertical="center" wrapText="1"/>
      <protection locked="0"/>
    </xf>
    <xf numFmtId="9" fontId="4" fillId="4" borderId="12" xfId="0" applyNumberFormat="1" applyFont="1" applyFill="1" applyBorder="1" applyAlignment="1" applyProtection="1">
      <alignment horizontal="justify" vertical="center" wrapText="1"/>
      <protection locked="0"/>
    </xf>
    <xf numFmtId="0" fontId="4" fillId="4" borderId="12" xfId="0" applyFont="1" applyFill="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164" fontId="4" fillId="0" borderId="12" xfId="1" applyNumberFormat="1" applyFont="1" applyFill="1" applyBorder="1" applyAlignment="1" applyProtection="1">
      <alignment horizontal="justify" vertical="center" wrapText="1"/>
      <protection locked="0"/>
    </xf>
    <xf numFmtId="0" fontId="0" fillId="0" borderId="12" xfId="0" applyBorder="1" applyProtection="1">
      <protection locked="0"/>
    </xf>
    <xf numFmtId="10" fontId="4" fillId="4" borderId="12" xfId="0" applyNumberFormat="1" applyFont="1" applyFill="1" applyBorder="1" applyAlignment="1" applyProtection="1">
      <alignment horizontal="justify" vertical="center" wrapText="1"/>
      <protection locked="0"/>
    </xf>
    <xf numFmtId="0" fontId="21" fillId="0" borderId="12" xfId="9" applyFill="1" applyBorder="1" applyAlignment="1" applyProtection="1">
      <alignment horizontal="center"/>
      <protection locked="0"/>
    </xf>
    <xf numFmtId="0" fontId="21" fillId="0" borderId="12" xfId="9" applyBorder="1" applyAlignment="1" applyProtection="1">
      <alignment horizontal="center"/>
      <protection locked="0"/>
    </xf>
    <xf numFmtId="164" fontId="4" fillId="0" borderId="12" xfId="10" applyNumberFormat="1" applyFont="1" applyFill="1" applyBorder="1" applyAlignment="1" applyProtection="1">
      <alignment horizontal="justify" vertical="center" wrapText="1"/>
      <protection locked="0"/>
    </xf>
    <xf numFmtId="0" fontId="21" fillId="0" borderId="12" xfId="9" applyBorder="1" applyProtection="1">
      <protection locked="0"/>
    </xf>
    <xf numFmtId="0" fontId="0" fillId="0" borderId="3" xfId="0" applyFill="1" applyBorder="1" applyProtection="1">
      <protection locked="0"/>
    </xf>
    <xf numFmtId="49" fontId="4" fillId="4" borderId="12" xfId="0" applyNumberFormat="1" applyFont="1" applyFill="1" applyBorder="1" applyAlignment="1" applyProtection="1">
      <alignment horizontal="justify" vertical="center" wrapText="1"/>
      <protection locked="0"/>
    </xf>
    <xf numFmtId="0" fontId="0" fillId="0" borderId="12" xfId="0" applyFill="1" applyBorder="1" applyAlignment="1" applyProtection="1">
      <alignment vertical="center"/>
      <protection locked="0"/>
    </xf>
    <xf numFmtId="0" fontId="0" fillId="0" borderId="12" xfId="0"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4" fillId="4" borderId="13" xfId="0" applyFont="1" applyFill="1" applyBorder="1" applyAlignment="1" applyProtection="1">
      <alignment horizontal="justify" vertical="center" wrapText="1"/>
      <protection locked="0"/>
    </xf>
    <xf numFmtId="9" fontId="5" fillId="4" borderId="13" xfId="0" applyNumberFormat="1" applyFont="1" applyFill="1" applyBorder="1" applyAlignment="1" applyProtection="1">
      <alignment horizontal="center" vertical="center" wrapText="1"/>
      <protection locked="0"/>
    </xf>
    <xf numFmtId="9" fontId="4" fillId="4" borderId="13" xfId="1" applyFont="1" applyFill="1" applyBorder="1" applyAlignment="1" applyProtection="1">
      <alignment horizontal="center" vertical="center" wrapText="1"/>
      <protection locked="0"/>
    </xf>
    <xf numFmtId="0" fontId="4" fillId="4" borderId="12" xfId="0" applyFont="1" applyFill="1" applyBorder="1" applyAlignment="1" applyProtection="1">
      <alignment horizontal="justify" vertical="center" wrapText="1"/>
      <protection locked="0"/>
    </xf>
    <xf numFmtId="49" fontId="4" fillId="4" borderId="12" xfId="0" applyNumberFormat="1" applyFont="1" applyFill="1" applyBorder="1" applyAlignment="1" applyProtection="1">
      <alignment horizontal="center" vertical="center" wrapText="1"/>
      <protection locked="0"/>
    </xf>
    <xf numFmtId="9" fontId="4" fillId="4" borderId="12" xfId="0" applyNumberFormat="1" applyFont="1" applyFill="1" applyBorder="1" applyAlignment="1" applyProtection="1">
      <alignment horizontal="center" vertical="center"/>
      <protection locked="0"/>
    </xf>
    <xf numFmtId="9" fontId="4" fillId="4" borderId="12" xfId="0" applyNumberFormat="1" applyFont="1" applyFill="1" applyBorder="1" applyAlignment="1" applyProtection="1">
      <alignment horizontal="center" vertical="center" wrapText="1"/>
      <protection locked="0"/>
    </xf>
    <xf numFmtId="1" fontId="7" fillId="5" borderId="16" xfId="1"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vertical="center" wrapText="1"/>
      <protection locked="0"/>
    </xf>
    <xf numFmtId="49" fontId="2" fillId="2" borderId="15" xfId="0" applyNumberFormat="1" applyFont="1" applyFill="1" applyBorder="1" applyAlignment="1" applyProtection="1">
      <alignment vertical="center" wrapText="1"/>
      <protection locked="0"/>
    </xf>
    <xf numFmtId="49" fontId="2" fillId="2" borderId="16" xfId="0" applyNumberFormat="1" applyFont="1" applyFill="1" applyBorder="1" applyAlignment="1" applyProtection="1">
      <alignment vertical="center" wrapText="1"/>
      <protection locked="0"/>
    </xf>
    <xf numFmtId="164" fontId="4" fillId="0" borderId="1" xfId="1" applyNumberFormat="1"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protection locked="0"/>
    </xf>
    <xf numFmtId="165" fontId="4" fillId="0" borderId="1" xfId="0" applyNumberFormat="1" applyFont="1" applyFill="1" applyBorder="1" applyAlignment="1" applyProtection="1">
      <alignment horizontal="center" vertical="center" wrapText="1"/>
      <protection locked="0"/>
    </xf>
    <xf numFmtId="1" fontId="4" fillId="0" borderId="1" xfId="0" applyNumberFormat="1"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center" wrapText="1"/>
      <protection locked="0"/>
    </xf>
    <xf numFmtId="9" fontId="4" fillId="6" borderId="1" xfId="1" applyFont="1" applyFill="1" applyBorder="1" applyAlignment="1" applyProtection="1">
      <alignment horizontal="center" vertical="center" wrapText="1"/>
    </xf>
    <xf numFmtId="49" fontId="2" fillId="2" borderId="1" xfId="0" applyNumberFormat="1" applyFont="1" applyFill="1" applyBorder="1" applyAlignment="1" applyProtection="1">
      <alignment vertical="center" wrapText="1"/>
      <protection locked="0"/>
    </xf>
    <xf numFmtId="0" fontId="4" fillId="0" borderId="2" xfId="0" applyFont="1" applyFill="1" applyBorder="1" applyAlignment="1" applyProtection="1">
      <alignment horizontal="justify" vertical="center" wrapText="1"/>
      <protection locked="0"/>
    </xf>
    <xf numFmtId="49" fontId="2" fillId="2" borderId="1"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49" fontId="2" fillId="2" borderId="16"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49" fontId="3" fillId="3" borderId="1" xfId="0" applyNumberFormat="1" applyFont="1" applyFill="1" applyBorder="1" applyAlignment="1" applyProtection="1">
      <alignment horizontal="center" vertical="center" wrapText="1"/>
      <protection locked="0"/>
    </xf>
    <xf numFmtId="0" fontId="23" fillId="0" borderId="1" xfId="0" applyFont="1" applyFill="1" applyBorder="1" applyAlignment="1" applyProtection="1">
      <alignment horizontal="left" vertical="center" wrapText="1"/>
      <protection locked="0"/>
    </xf>
    <xf numFmtId="0" fontId="23" fillId="0" borderId="13" xfId="0" applyFont="1" applyFill="1" applyBorder="1" applyAlignment="1" applyProtection="1">
      <alignment horizontal="left" vertical="center" wrapText="1"/>
      <protection locked="0"/>
    </xf>
    <xf numFmtId="0" fontId="23" fillId="0" borderId="3" xfId="0" applyFont="1" applyFill="1" applyBorder="1" applyAlignment="1" applyProtection="1">
      <alignment horizontal="left" vertical="center" wrapText="1"/>
      <protection locked="0"/>
    </xf>
    <xf numFmtId="0" fontId="17" fillId="0" borderId="16" xfId="0" applyFont="1" applyBorder="1" applyAlignment="1" applyProtection="1">
      <alignment horizontal="center"/>
      <protection locked="0"/>
    </xf>
    <xf numFmtId="0" fontId="17" fillId="0" borderId="1" xfId="0" applyFont="1" applyBorder="1" applyAlignment="1" applyProtection="1">
      <alignment horizontal="center"/>
      <protection locked="0"/>
    </xf>
    <xf numFmtId="0" fontId="17" fillId="0" borderId="0" xfId="0" applyFont="1" applyBorder="1" applyAlignment="1" applyProtection="1">
      <alignment horizontal="center"/>
      <protection locked="0"/>
    </xf>
    <xf numFmtId="0" fontId="17" fillId="0" borderId="9" xfId="0" applyFont="1" applyBorder="1" applyAlignment="1" applyProtection="1">
      <alignment horizontal="center"/>
      <protection locked="0"/>
    </xf>
    <xf numFmtId="0" fontId="23" fillId="0" borderId="1" xfId="0" applyFont="1" applyFill="1" applyBorder="1" applyAlignment="1" applyProtection="1">
      <alignment horizontal="center" vertical="center" wrapText="1"/>
      <protection locked="0"/>
    </xf>
    <xf numFmtId="0" fontId="23" fillId="0" borderId="13" xfId="0"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vertical="center" wrapText="1"/>
      <protection locked="0"/>
    </xf>
    <xf numFmtId="0" fontId="23" fillId="0" borderId="1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49" fontId="4" fillId="4" borderId="1"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justify" vertical="center" wrapText="1"/>
      <protection locked="0"/>
    </xf>
    <xf numFmtId="0" fontId="4" fillId="4" borderId="12" xfId="0" applyFont="1" applyFill="1" applyBorder="1" applyAlignment="1" applyProtection="1">
      <alignment horizontal="justify" vertical="center" wrapText="1"/>
      <protection locked="0"/>
    </xf>
    <xf numFmtId="0" fontId="3" fillId="3" borderId="3" xfId="0" applyFont="1" applyFill="1" applyBorder="1" applyAlignment="1" applyProtection="1">
      <alignment vertical="center" wrapText="1"/>
      <protection locked="0"/>
    </xf>
    <xf numFmtId="0" fontId="3" fillId="3" borderId="12" xfId="0" applyFont="1" applyFill="1" applyBorder="1" applyAlignment="1" applyProtection="1">
      <alignment vertical="center" wrapText="1"/>
      <protection locked="0"/>
    </xf>
    <xf numFmtId="0" fontId="3" fillId="3" borderId="13" xfId="0" applyFont="1" applyFill="1" applyBorder="1" applyAlignment="1" applyProtection="1">
      <alignment vertical="center" wrapText="1"/>
      <protection locked="0"/>
    </xf>
    <xf numFmtId="0" fontId="22" fillId="0" borderId="3" xfId="0" applyFont="1" applyBorder="1" applyAlignment="1" applyProtection="1">
      <alignment horizontal="center" vertical="center" wrapText="1"/>
      <protection locked="0" hidden="1"/>
    </xf>
    <xf numFmtId="0" fontId="22" fillId="0" borderId="12" xfId="0" applyFont="1" applyBorder="1" applyAlignment="1" applyProtection="1">
      <alignment horizontal="center" vertical="center" wrapText="1"/>
      <protection locked="0" hidden="1"/>
    </xf>
    <xf numFmtId="0" fontId="22" fillId="0" borderId="1" xfId="0" applyFont="1" applyBorder="1" applyAlignment="1" applyProtection="1">
      <alignment horizontal="center" vertical="center" wrapText="1"/>
      <protection locked="0" hidden="1"/>
    </xf>
    <xf numFmtId="0" fontId="17" fillId="0" borderId="1"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0" fillId="0" borderId="1" xfId="0" applyBorder="1" applyAlignment="1" applyProtection="1">
      <alignment horizontal="center"/>
      <protection locked="0" hidden="1"/>
    </xf>
    <xf numFmtId="0" fontId="0" fillId="0" borderId="14" xfId="0" applyBorder="1" applyAlignment="1" applyProtection="1">
      <alignment horizontal="left"/>
      <protection locked="0" hidden="1"/>
    </xf>
    <xf numFmtId="0" fontId="0" fillId="0" borderId="15" xfId="0" applyBorder="1" applyAlignment="1" applyProtection="1">
      <alignment horizontal="left"/>
      <protection locked="0" hidden="1"/>
    </xf>
    <xf numFmtId="0" fontId="0" fillId="0" borderId="16" xfId="0" applyBorder="1" applyAlignment="1" applyProtection="1">
      <alignment horizontal="left"/>
      <protection locked="0" hidden="1"/>
    </xf>
  </cellXfs>
  <cellStyles count="12">
    <cellStyle name="Moneda" xfId="8" builtinId="4"/>
    <cellStyle name="Moneda 2" xfId="11" xr:uid="{00000000-0005-0000-0000-000001000000}"/>
    <cellStyle name="Normal" xfId="0" builtinId="0"/>
    <cellStyle name="Normal 2" xfId="9" xr:uid="{00000000-0005-0000-0000-000003000000}"/>
    <cellStyle name="Normal 3" xfId="6" xr:uid="{00000000-0005-0000-0000-000004000000}"/>
    <cellStyle name="Porcentaje" xfId="1" builtinId="5"/>
    <cellStyle name="Porcentaje 2" xfId="4" xr:uid="{00000000-0005-0000-0000-000006000000}"/>
    <cellStyle name="Porcentaje 3" xfId="10" xr:uid="{00000000-0005-0000-0000-000007000000}"/>
    <cellStyle name="Porcentaje 3 2" xfId="2" xr:uid="{00000000-0005-0000-0000-000008000000}"/>
    <cellStyle name="Porcentaje 5" xfId="3" xr:uid="{00000000-0005-0000-0000-000009000000}"/>
    <cellStyle name="Porcentaje 5 2" xfId="7" xr:uid="{00000000-0005-0000-0000-00000A000000}"/>
    <cellStyle name="Porcentaje 6" xfId="5" xr:uid="{00000000-0005-0000-0000-00000B000000}"/>
  </cellStyles>
  <dxfs count="199">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797719</xdr:colOff>
      <xdr:row>12</xdr:row>
      <xdr:rowOff>142749</xdr:rowOff>
    </xdr:from>
    <xdr:to>
      <xdr:col>9</xdr:col>
      <xdr:colOff>2166937</xdr:colOff>
      <xdr:row>21</xdr:row>
      <xdr:rowOff>61913</xdr:rowOff>
    </xdr:to>
    <xdr:pic>
      <xdr:nvPicPr>
        <xdr:cNvPr id="3" name="Imagen 2">
          <a:extLst>
            <a:ext uri="{FF2B5EF4-FFF2-40B4-BE49-F238E27FC236}">
              <a16:creationId xmlns:a16="http://schemas.microsoft.com/office/drawing/2014/main" id="{BC149452-3CAA-4EE0-8CD3-30AA4B5288BD}"/>
            </a:ext>
          </a:extLst>
        </xdr:cNvPr>
        <xdr:cNvPicPr>
          <a:picLocks noChangeAspect="1"/>
        </xdr:cNvPicPr>
      </xdr:nvPicPr>
      <xdr:blipFill rotWithShape="1">
        <a:blip xmlns:r="http://schemas.openxmlformats.org/officeDocument/2006/relationships" r:embed="rId1"/>
        <a:srcRect l="7468" t="51960" r="44210" b="32543"/>
        <a:stretch/>
      </xdr:blipFill>
      <xdr:spPr>
        <a:xfrm>
          <a:off x="7703344" y="4929062"/>
          <a:ext cx="9060656" cy="1633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666750</xdr:colOff>
      <xdr:row>17</xdr:row>
      <xdr:rowOff>76200</xdr:rowOff>
    </xdr:from>
    <xdr:to>
      <xdr:col>8</xdr:col>
      <xdr:colOff>723900</xdr:colOff>
      <xdr:row>23</xdr:row>
      <xdr:rowOff>66675</xdr:rowOff>
    </xdr:to>
    <xdr:pic>
      <xdr:nvPicPr>
        <xdr:cNvPr id="2" name="Imagen 1">
          <a:extLst>
            <a:ext uri="{FF2B5EF4-FFF2-40B4-BE49-F238E27FC236}">
              <a16:creationId xmlns:a16="http://schemas.microsoft.com/office/drawing/2014/main" id="{1F54BE29-C22E-44B3-A340-E177CEDBB248}"/>
            </a:ext>
          </a:extLst>
        </xdr:cNvPr>
        <xdr:cNvPicPr>
          <a:picLocks noChangeAspect="1"/>
        </xdr:cNvPicPr>
      </xdr:nvPicPr>
      <xdr:blipFill rotWithShape="1">
        <a:blip xmlns:r="http://schemas.openxmlformats.org/officeDocument/2006/relationships" r:embed="rId1"/>
        <a:srcRect l="7468" t="51960" r="44210" b="32543"/>
        <a:stretch/>
      </xdr:blipFill>
      <xdr:spPr>
        <a:xfrm>
          <a:off x="1428750" y="3800475"/>
          <a:ext cx="6286500" cy="11334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D49"/>
  <sheetViews>
    <sheetView tabSelected="1" topLeftCell="I47" zoomScale="80" zoomScaleNormal="80" workbookViewId="0">
      <selection activeCell="X47" sqref="X47"/>
    </sheetView>
  </sheetViews>
  <sheetFormatPr baseColWidth="10" defaultColWidth="11.42578125" defaultRowHeight="15" x14ac:dyDescent="0.25"/>
  <cols>
    <col min="1" max="1" width="44.42578125" style="1" customWidth="1"/>
    <col min="2" max="2" width="27.7109375" style="1" customWidth="1"/>
    <col min="3" max="3" width="28.5703125" style="1" customWidth="1"/>
    <col min="4" max="4" width="31.140625" style="1" customWidth="1"/>
    <col min="5" max="5" width="14.5703125" style="1" customWidth="1"/>
    <col min="6" max="6" width="33.28515625" style="1" customWidth="1"/>
    <col min="7" max="7" width="21.28515625" style="1" customWidth="1"/>
    <col min="8" max="8" width="19.42578125" style="1" customWidth="1"/>
    <col min="9" max="9" width="18.85546875" style="1" customWidth="1"/>
    <col min="10" max="10" width="19.7109375" style="1" customWidth="1"/>
    <col min="11" max="11" width="25.5703125" style="1" hidden="1" customWidth="1"/>
    <col min="12" max="12" width="29.7109375" style="1" hidden="1" customWidth="1"/>
    <col min="13" max="13" width="17.85546875" style="1" hidden="1" customWidth="1"/>
    <col min="14" max="14" width="20" style="1" hidden="1" customWidth="1"/>
    <col min="15" max="15" width="84" style="1" hidden="1" customWidth="1"/>
    <col min="16" max="16" width="25.5703125" style="1" hidden="1" customWidth="1"/>
    <col min="17" max="17" width="31" style="1" hidden="1" customWidth="1"/>
    <col min="18" max="18" width="13.140625" style="1" hidden="1" customWidth="1"/>
    <col min="19" max="19" width="17.85546875" style="1" hidden="1" customWidth="1"/>
    <col min="20" max="20" width="89.5703125" style="1" hidden="1" customWidth="1"/>
    <col min="21" max="21" width="27.42578125" style="1" customWidth="1"/>
    <col min="22" max="22" width="31.7109375" style="1" customWidth="1"/>
    <col min="23" max="23" width="10.42578125" style="1" customWidth="1"/>
    <col min="24" max="24" width="33" style="1" customWidth="1"/>
    <col min="25" max="25" width="84.85546875" style="1" customWidth="1"/>
    <col min="26" max="26" width="25.28515625" style="1" hidden="1" customWidth="1"/>
    <col min="27" max="27" width="29.85546875" style="1" hidden="1" customWidth="1"/>
    <col min="28" max="29" width="25.28515625" style="1" hidden="1" customWidth="1"/>
    <col min="30" max="30" width="77.85546875" style="1" hidden="1" customWidth="1"/>
    <col min="31" max="16384" width="11.42578125" style="1"/>
  </cols>
  <sheetData>
    <row r="1" spans="1:30" ht="45" customHeight="1" x14ac:dyDescent="0.6">
      <c r="A1" s="245"/>
      <c r="B1" s="246"/>
      <c r="C1" s="315" t="s">
        <v>202</v>
      </c>
      <c r="D1" s="316"/>
      <c r="E1" s="316"/>
      <c r="F1" s="316"/>
      <c r="G1" s="316"/>
      <c r="H1" s="316"/>
      <c r="I1" s="316"/>
      <c r="J1" s="316"/>
      <c r="K1" s="317"/>
      <c r="L1" s="317"/>
      <c r="M1" s="317"/>
      <c r="N1" s="317"/>
      <c r="O1" s="317"/>
      <c r="P1" s="316"/>
      <c r="Q1" s="316"/>
      <c r="R1" s="316"/>
      <c r="S1" s="316"/>
      <c r="T1" s="182" t="s">
        <v>201</v>
      </c>
      <c r="U1" s="174"/>
      <c r="V1" s="174"/>
      <c r="W1" s="174"/>
      <c r="X1" s="174"/>
      <c r="Y1" s="174"/>
      <c r="Z1" s="174"/>
      <c r="AA1" s="174"/>
      <c r="AB1" s="174"/>
      <c r="AC1" s="175"/>
      <c r="AD1" s="6" t="s">
        <v>201</v>
      </c>
    </row>
    <row r="2" spans="1:30" ht="37.5" customHeight="1" x14ac:dyDescent="0.6">
      <c r="A2" s="247"/>
      <c r="B2" s="174"/>
      <c r="C2" s="315"/>
      <c r="D2" s="316"/>
      <c r="E2" s="316"/>
      <c r="F2" s="316"/>
      <c r="G2" s="316"/>
      <c r="H2" s="316"/>
      <c r="I2" s="316"/>
      <c r="J2" s="316"/>
      <c r="K2" s="317"/>
      <c r="L2" s="317"/>
      <c r="M2" s="317"/>
      <c r="N2" s="317"/>
      <c r="O2" s="317"/>
      <c r="P2" s="316"/>
      <c r="Q2" s="316"/>
      <c r="R2" s="316"/>
      <c r="S2" s="316"/>
      <c r="T2" s="182" t="s">
        <v>209</v>
      </c>
      <c r="U2" s="174"/>
      <c r="V2" s="174"/>
      <c r="W2" s="174"/>
      <c r="X2" s="174"/>
      <c r="Y2" s="174"/>
      <c r="Z2" s="174"/>
      <c r="AA2" s="174"/>
      <c r="AB2" s="174"/>
      <c r="AC2" s="175"/>
      <c r="AD2" s="7" t="s">
        <v>209</v>
      </c>
    </row>
    <row r="3" spans="1:30" ht="42" customHeight="1" x14ac:dyDescent="0.6">
      <c r="A3" s="305" t="s">
        <v>257</v>
      </c>
      <c r="B3" s="305"/>
      <c r="C3" s="316"/>
      <c r="D3" s="316"/>
      <c r="E3" s="316"/>
      <c r="F3" s="316"/>
      <c r="G3" s="316"/>
      <c r="H3" s="316"/>
      <c r="I3" s="316"/>
      <c r="J3" s="316"/>
      <c r="K3" s="318"/>
      <c r="L3" s="318"/>
      <c r="M3" s="318"/>
      <c r="N3" s="318"/>
      <c r="O3" s="318"/>
      <c r="P3" s="316"/>
      <c r="Q3" s="316"/>
      <c r="R3" s="316"/>
      <c r="S3" s="316"/>
      <c r="T3" s="182" t="s">
        <v>210</v>
      </c>
      <c r="U3" s="176"/>
      <c r="V3" s="176"/>
      <c r="W3" s="176"/>
      <c r="X3" s="176"/>
      <c r="Y3" s="176"/>
      <c r="Z3" s="176"/>
      <c r="AA3" s="176"/>
      <c r="AB3" s="176"/>
      <c r="AC3" s="177"/>
      <c r="AD3" s="8" t="s">
        <v>210</v>
      </c>
    </row>
    <row r="4" spans="1:30" ht="90.75" customHeight="1" x14ac:dyDescent="0.25">
      <c r="A4" s="323" t="s">
        <v>192</v>
      </c>
      <c r="B4" s="304" t="s">
        <v>193</v>
      </c>
      <c r="C4" s="304" t="s">
        <v>256</v>
      </c>
      <c r="D4" s="304" t="s">
        <v>194</v>
      </c>
      <c r="E4" s="304" t="s">
        <v>195</v>
      </c>
      <c r="F4" s="304" t="s">
        <v>196</v>
      </c>
      <c r="G4" s="304" t="s">
        <v>107</v>
      </c>
      <c r="H4" s="297" t="s">
        <v>197</v>
      </c>
      <c r="I4" s="297" t="s">
        <v>198</v>
      </c>
      <c r="J4" s="297" t="s">
        <v>199</v>
      </c>
      <c r="K4" s="303" t="s">
        <v>205</v>
      </c>
      <c r="L4" s="297"/>
      <c r="M4" s="297"/>
      <c r="N4" s="297"/>
      <c r="O4" s="297"/>
      <c r="P4" s="286" t="s">
        <v>216</v>
      </c>
      <c r="Q4" s="287"/>
      <c r="R4" s="287"/>
      <c r="S4" s="287"/>
      <c r="T4" s="288"/>
      <c r="U4" s="303" t="s">
        <v>217</v>
      </c>
      <c r="V4" s="297"/>
      <c r="W4" s="297"/>
      <c r="X4" s="297"/>
      <c r="Y4" s="298"/>
      <c r="Z4" s="297" t="s">
        <v>218</v>
      </c>
      <c r="AA4" s="297"/>
      <c r="AB4" s="297"/>
      <c r="AC4" s="297"/>
      <c r="AD4" s="298"/>
    </row>
    <row r="5" spans="1:30" ht="32.25" customHeight="1" x14ac:dyDescent="0.25">
      <c r="A5" s="324"/>
      <c r="B5" s="304"/>
      <c r="C5" s="304"/>
      <c r="D5" s="304"/>
      <c r="E5" s="304"/>
      <c r="F5" s="304"/>
      <c r="G5" s="304"/>
      <c r="H5" s="297"/>
      <c r="I5" s="297"/>
      <c r="J5" s="297"/>
      <c r="K5" s="248" t="s">
        <v>105</v>
      </c>
      <c r="L5" s="9" t="s">
        <v>106</v>
      </c>
      <c r="M5" s="297" t="s">
        <v>200</v>
      </c>
      <c r="N5" s="297"/>
      <c r="O5" s="9" t="s">
        <v>0</v>
      </c>
      <c r="P5" s="243" t="s">
        <v>105</v>
      </c>
      <c r="Q5" s="243" t="s">
        <v>106</v>
      </c>
      <c r="R5" s="295" t="s">
        <v>200</v>
      </c>
      <c r="S5" s="295"/>
      <c r="T5" s="243" t="s">
        <v>0</v>
      </c>
      <c r="U5" s="248" t="s">
        <v>105</v>
      </c>
      <c r="V5" s="9" t="s">
        <v>106</v>
      </c>
      <c r="W5" s="295" t="s">
        <v>200</v>
      </c>
      <c r="X5" s="295"/>
      <c r="Y5" s="10" t="s">
        <v>0</v>
      </c>
      <c r="Z5" s="9" t="s">
        <v>105</v>
      </c>
      <c r="AA5" s="9" t="s">
        <v>106</v>
      </c>
      <c r="AB5" s="297" t="s">
        <v>200</v>
      </c>
      <c r="AC5" s="297"/>
      <c r="AD5" s="10" t="s">
        <v>0</v>
      </c>
    </row>
    <row r="6" spans="1:30" ht="103.5" hidden="1" customHeight="1" x14ac:dyDescent="0.25">
      <c r="A6" s="312" t="s">
        <v>254</v>
      </c>
      <c r="B6" s="300" t="s">
        <v>1</v>
      </c>
      <c r="C6" s="300" t="s">
        <v>2</v>
      </c>
      <c r="D6" s="11" t="s">
        <v>3</v>
      </c>
      <c r="E6" s="241" t="s">
        <v>4</v>
      </c>
      <c r="F6" s="11" t="s">
        <v>245</v>
      </c>
      <c r="G6" s="11" t="s">
        <v>119</v>
      </c>
      <c r="H6" s="189" t="s">
        <v>155</v>
      </c>
      <c r="I6" s="11" t="s">
        <v>5</v>
      </c>
      <c r="J6" s="244" t="s">
        <v>6</v>
      </c>
      <c r="K6" s="211"/>
      <c r="L6" s="160"/>
      <c r="M6" s="132" t="e">
        <f>(K6/L6)</f>
        <v>#DIV/0!</v>
      </c>
      <c r="N6" s="132" t="e">
        <f>IF(OR(M42&gt;4.5,M42=4.5),"CUMPLE","NO CUMPLE")</f>
        <v>#VALUE!</v>
      </c>
      <c r="O6" s="191" t="s">
        <v>172</v>
      </c>
      <c r="P6" s="160">
        <v>28.8</v>
      </c>
      <c r="Q6" s="160">
        <v>24</v>
      </c>
      <c r="R6" s="17">
        <f>P6/Q6</f>
        <v>1.2</v>
      </c>
      <c r="S6" s="244" t="str">
        <f>IF(R6&lt;3,"CUMPLE","NO CUMPLE")</f>
        <v>CUMPLE</v>
      </c>
      <c r="T6" s="186" t="s">
        <v>246</v>
      </c>
      <c r="U6" s="211"/>
      <c r="V6" s="15"/>
      <c r="W6" s="17" t="e">
        <f>U6/V6</f>
        <v>#DIV/0!</v>
      </c>
      <c r="X6" s="13" t="e">
        <f>IF(W6&lt;3,"CUMPLE","NO CUMPLE")</f>
        <v>#DIV/0!</v>
      </c>
      <c r="Y6" s="19" t="s">
        <v>172</v>
      </c>
      <c r="Z6" s="14"/>
      <c r="AA6" s="14"/>
      <c r="AB6" s="5" t="e">
        <f>Z6/AA6</f>
        <v>#DIV/0!</v>
      </c>
      <c r="AC6" s="83" t="e">
        <f>IF(AB6&lt;=3,"CUMPLE","NO CUMPLE")</f>
        <v>#DIV/0!</v>
      </c>
      <c r="AD6" s="18"/>
    </row>
    <row r="7" spans="1:30" ht="103.5" hidden="1" customHeight="1" x14ac:dyDescent="0.25">
      <c r="A7" s="312"/>
      <c r="B7" s="300"/>
      <c r="C7" s="300"/>
      <c r="D7" s="11" t="s">
        <v>8</v>
      </c>
      <c r="E7" s="241" t="s">
        <v>9</v>
      </c>
      <c r="F7" s="11" t="s">
        <v>10</v>
      </c>
      <c r="G7" s="11" t="s">
        <v>119</v>
      </c>
      <c r="H7" s="189" t="s">
        <v>120</v>
      </c>
      <c r="I7" s="20" t="s">
        <v>5</v>
      </c>
      <c r="J7" s="244" t="s">
        <v>6</v>
      </c>
      <c r="K7" s="211"/>
      <c r="L7" s="160"/>
      <c r="M7" s="17" t="e">
        <f>(K7/L7)</f>
        <v>#DIV/0!</v>
      </c>
      <c r="N7" s="15" t="s">
        <v>233</v>
      </c>
      <c r="O7" s="191" t="s">
        <v>172</v>
      </c>
      <c r="P7" s="160">
        <v>24.76</v>
      </c>
      <c r="Q7" s="160">
        <v>5</v>
      </c>
      <c r="R7" s="17">
        <f>P7/Q7</f>
        <v>4.952</v>
      </c>
      <c r="S7" s="244" t="str">
        <f>IF(R7&gt;=4.5,"CUMPLE","NO CUMPLE")</f>
        <v>CUMPLE</v>
      </c>
      <c r="T7" s="186" t="s">
        <v>247</v>
      </c>
      <c r="U7" s="211"/>
      <c r="V7" s="15"/>
      <c r="W7" s="17" t="e">
        <f>U7/V7</f>
        <v>#DIV/0!</v>
      </c>
      <c r="X7" s="13" t="e">
        <f>IF(W7&gt;=4.5,"CUMPLE","NO CUMPLE")</f>
        <v>#DIV/0!</v>
      </c>
      <c r="Y7" s="21" t="s">
        <v>172</v>
      </c>
      <c r="Z7" s="14"/>
      <c r="AA7" s="14"/>
      <c r="AB7" s="5" t="e">
        <f>Z7/AA7</f>
        <v>#DIV/0!</v>
      </c>
      <c r="AC7" s="83" t="e">
        <f>IF(AB7&gt;=4.5,"CUMPLE","NO CUMPLE")</f>
        <v>#DIV/0!</v>
      </c>
      <c r="AD7" s="18"/>
    </row>
    <row r="8" spans="1:30" ht="214.5" hidden="1" customHeight="1" x14ac:dyDescent="0.25">
      <c r="A8" s="312"/>
      <c r="B8" s="300"/>
      <c r="C8" s="300" t="s">
        <v>11</v>
      </c>
      <c r="D8" s="242" t="s">
        <v>12</v>
      </c>
      <c r="E8" s="244" t="s">
        <v>9</v>
      </c>
      <c r="F8" s="242" t="s">
        <v>13</v>
      </c>
      <c r="G8" s="242" t="s">
        <v>12</v>
      </c>
      <c r="H8" s="190" t="s">
        <v>159</v>
      </c>
      <c r="I8" s="20" t="s">
        <v>15</v>
      </c>
      <c r="J8" s="244" t="s">
        <v>6</v>
      </c>
      <c r="K8" s="211"/>
      <c r="L8" s="160"/>
      <c r="M8" s="15" t="e">
        <f>(K8/L8)</f>
        <v>#DIV/0!</v>
      </c>
      <c r="N8" s="15" t="s">
        <v>7</v>
      </c>
      <c r="O8" s="191" t="s">
        <v>172</v>
      </c>
      <c r="P8" s="170">
        <v>4944447479</v>
      </c>
      <c r="Q8" s="170">
        <v>23359601713</v>
      </c>
      <c r="R8" s="23">
        <f>P8/Q8</f>
        <v>0.21166660030202203</v>
      </c>
      <c r="S8" s="244" t="str">
        <f>IF(R8&gt;=48%,"CUMPLE","NO CUMPLE")</f>
        <v>NO CUMPLE</v>
      </c>
      <c r="T8" s="18" t="s">
        <v>272</v>
      </c>
      <c r="U8" s="212"/>
      <c r="V8" s="22"/>
      <c r="W8" s="24" t="e">
        <f>U8/V8</f>
        <v>#DIV/0!</v>
      </c>
      <c r="X8" s="13" t="e">
        <f>IF(W8&gt;=48%,"CUMPLE","NO CUMPLE")</f>
        <v>#DIV/0!</v>
      </c>
      <c r="Y8" s="21" t="s">
        <v>172</v>
      </c>
      <c r="Z8" s="134"/>
      <c r="AA8" s="134"/>
      <c r="AB8" s="4" t="e">
        <f>'Tablero indicadores SIG'!Z8/'Tablero indicadores SIG'!AA8</f>
        <v>#DIV/0!</v>
      </c>
      <c r="AC8" s="83" t="e">
        <f>IF(AB8&gt;=95%,"CUMPLE","NO CUMPLE")</f>
        <v>#DIV/0!</v>
      </c>
      <c r="AD8" s="18"/>
    </row>
    <row r="9" spans="1:30" ht="103.5" hidden="1" customHeight="1" x14ac:dyDescent="0.25">
      <c r="A9" s="313"/>
      <c r="B9" s="301"/>
      <c r="C9" s="301"/>
      <c r="D9" s="278" t="s">
        <v>16</v>
      </c>
      <c r="E9" s="116" t="s">
        <v>9</v>
      </c>
      <c r="F9" s="278" t="s">
        <v>17</v>
      </c>
      <c r="G9" s="278" t="s">
        <v>161</v>
      </c>
      <c r="H9" s="279" t="s">
        <v>18</v>
      </c>
      <c r="I9" s="227" t="s">
        <v>15</v>
      </c>
      <c r="J9" s="116" t="s">
        <v>19</v>
      </c>
      <c r="K9" s="160"/>
      <c r="L9" s="160"/>
      <c r="M9" s="15" t="e">
        <f>(K9/L9)</f>
        <v>#DIV/0!</v>
      </c>
      <c r="N9" s="15" t="s">
        <v>7</v>
      </c>
      <c r="O9" s="161" t="s">
        <v>172</v>
      </c>
      <c r="P9" s="228" t="s">
        <v>182</v>
      </c>
      <c r="Q9" s="228" t="s">
        <v>182</v>
      </c>
      <c r="R9" s="229" t="s">
        <v>182</v>
      </c>
      <c r="S9" s="230" t="s">
        <v>172</v>
      </c>
      <c r="T9" s="231"/>
      <c r="U9" s="26"/>
      <c r="V9" s="26"/>
      <c r="W9" s="26" t="s">
        <v>182</v>
      </c>
      <c r="X9" s="16" t="s">
        <v>172</v>
      </c>
      <c r="Y9" s="21" t="s">
        <v>172</v>
      </c>
      <c r="Z9" s="28"/>
      <c r="AA9" s="28"/>
      <c r="AB9" s="84" t="e">
        <f>Z9/AA9</f>
        <v>#DIV/0!</v>
      </c>
      <c r="AC9" s="83" t="e">
        <f>IF(AB9&lt;40%,"CUMPLE","NO CUMPLE")</f>
        <v>#DIV/0!</v>
      </c>
      <c r="AD9" s="18"/>
    </row>
    <row r="10" spans="1:30" ht="103.5" hidden="1" customHeight="1" x14ac:dyDescent="0.25">
      <c r="A10" s="314"/>
      <c r="B10" s="302"/>
      <c r="C10" s="302"/>
      <c r="D10" s="249" t="s">
        <v>20</v>
      </c>
      <c r="E10" s="250" t="s">
        <v>9</v>
      </c>
      <c r="F10" s="249" t="s">
        <v>21</v>
      </c>
      <c r="G10" s="249" t="s">
        <v>161</v>
      </c>
      <c r="H10" s="251" t="s">
        <v>22</v>
      </c>
      <c r="I10" s="252" t="s">
        <v>23</v>
      </c>
      <c r="J10" s="250" t="s">
        <v>19</v>
      </c>
      <c r="K10" s="160"/>
      <c r="L10" s="160"/>
      <c r="M10" s="15" t="e">
        <f>(K10/L10)</f>
        <v>#DIV/0!</v>
      </c>
      <c r="N10" s="15" t="s">
        <v>7</v>
      </c>
      <c r="O10" s="161" t="s">
        <v>172</v>
      </c>
      <c r="P10" s="253" t="s">
        <v>182</v>
      </c>
      <c r="Q10" s="253" t="s">
        <v>182</v>
      </c>
      <c r="R10" s="254" t="s">
        <v>182</v>
      </c>
      <c r="S10" s="255" t="s">
        <v>172</v>
      </c>
      <c r="T10" s="256"/>
      <c r="U10" s="26"/>
      <c r="V10" s="26"/>
      <c r="W10" s="26" t="s">
        <v>182</v>
      </c>
      <c r="X10" s="16" t="s">
        <v>172</v>
      </c>
      <c r="Y10" s="21" t="s">
        <v>172</v>
      </c>
      <c r="Z10" s="28"/>
      <c r="AA10" s="28"/>
      <c r="AB10" s="84" t="e">
        <f>Z10/AA10</f>
        <v>#DIV/0!</v>
      </c>
      <c r="AC10" s="83" t="e">
        <f>IF(AB10&gt;30%,"CUMPLE","NO CUMPLE")</f>
        <v>#DIV/0!</v>
      </c>
      <c r="AD10" s="21"/>
    </row>
    <row r="11" spans="1:30" ht="103.5" hidden="1" customHeight="1" x14ac:dyDescent="0.25">
      <c r="A11" s="312"/>
      <c r="B11" s="300"/>
      <c r="C11" s="300"/>
      <c r="D11" s="242" t="s">
        <v>24</v>
      </c>
      <c r="E11" s="244" t="s">
        <v>9</v>
      </c>
      <c r="F11" s="242" t="s">
        <v>183</v>
      </c>
      <c r="G11" s="242" t="s">
        <v>24</v>
      </c>
      <c r="H11" s="192" t="s">
        <v>160</v>
      </c>
      <c r="I11" s="29" t="s">
        <v>26</v>
      </c>
      <c r="J11" s="244" t="s">
        <v>6</v>
      </c>
      <c r="K11" s="211" t="s">
        <v>7</v>
      </c>
      <c r="L11" s="160" t="s">
        <v>7</v>
      </c>
      <c r="M11" s="30" t="s">
        <v>7</v>
      </c>
      <c r="N11" s="15" t="s">
        <v>7</v>
      </c>
      <c r="O11" s="191" t="s">
        <v>172</v>
      </c>
      <c r="P11" s="171">
        <v>152.80000000000001</v>
      </c>
      <c r="Q11" s="171">
        <v>4</v>
      </c>
      <c r="R11" s="141">
        <f>(P11/Q11)/100</f>
        <v>0.38200000000000001</v>
      </c>
      <c r="S11" s="144" t="str">
        <f>IF(R11&gt;=80%,"CUMPLE","NO CUMPLE")</f>
        <v>NO CUMPLE</v>
      </c>
      <c r="T11" s="181" t="s">
        <v>273</v>
      </c>
      <c r="U11" s="214"/>
      <c r="V11" s="31"/>
      <c r="W11" s="32" t="e">
        <f>(U11/V11)/100</f>
        <v>#DIV/0!</v>
      </c>
      <c r="X11" s="13" t="e">
        <f>IF(W11&gt;=40%,"CUMPLE","NO CUMPLE")</f>
        <v>#DIV/0!</v>
      </c>
      <c r="Y11" s="21" t="s">
        <v>172</v>
      </c>
      <c r="Z11" s="33"/>
      <c r="AA11" s="33"/>
      <c r="AB11" s="4" t="e">
        <f>(Z11/AA11)/100</f>
        <v>#DIV/0!</v>
      </c>
      <c r="AC11" s="83" t="e">
        <f>IF(AB11&gt;=80%,"CUMPLE","NO CUMPLE")</f>
        <v>#DIV/0!</v>
      </c>
      <c r="AD11" s="18"/>
    </row>
    <row r="12" spans="1:30" ht="260.25" customHeight="1" thickBot="1" x14ac:dyDescent="0.3">
      <c r="A12" s="312"/>
      <c r="B12" s="300"/>
      <c r="C12" s="300"/>
      <c r="D12" s="242" t="s">
        <v>27</v>
      </c>
      <c r="E12" s="244" t="s">
        <v>4</v>
      </c>
      <c r="F12" s="242" t="s">
        <v>141</v>
      </c>
      <c r="G12" s="242" t="s">
        <v>162</v>
      </c>
      <c r="H12" s="192">
        <v>1</v>
      </c>
      <c r="I12" s="20" t="s">
        <v>145</v>
      </c>
      <c r="J12" s="244" t="s">
        <v>28</v>
      </c>
      <c r="K12" s="211">
        <v>7</v>
      </c>
      <c r="L12" s="160">
        <v>7</v>
      </c>
      <c r="M12" s="32">
        <f>(K12/L12)</f>
        <v>1</v>
      </c>
      <c r="N12" s="34" t="str">
        <f>IF(M12=100%,"CUMPLE","NO CUMPLE")</f>
        <v>CUMPLE</v>
      </c>
      <c r="O12" s="191" t="s">
        <v>236</v>
      </c>
      <c r="P12" s="160">
        <v>0</v>
      </c>
      <c r="Q12" s="160">
        <v>0</v>
      </c>
      <c r="R12" s="145" t="e">
        <f>P12/Q12</f>
        <v>#DIV/0!</v>
      </c>
      <c r="S12" s="146" t="e">
        <f>IF(R12=100%,"CUMPLE","NO CUMPLE")</f>
        <v>#DIV/0!</v>
      </c>
      <c r="T12" s="234" t="s">
        <v>234</v>
      </c>
      <c r="U12" s="215">
        <v>7</v>
      </c>
      <c r="V12" s="14">
        <v>7</v>
      </c>
      <c r="W12" s="23">
        <f>U12/V12</f>
        <v>1</v>
      </c>
      <c r="X12" s="36" t="str">
        <f>IF(W12=100%,"CUMPLE","NO CUMPLE")</f>
        <v>CUMPLE</v>
      </c>
      <c r="Y12" s="37" t="s">
        <v>289</v>
      </c>
      <c r="Z12" s="14"/>
      <c r="AA12" s="14"/>
      <c r="AB12" s="84" t="e">
        <f>Z12/AA12</f>
        <v>#DIV/0!</v>
      </c>
      <c r="AC12" s="85" t="e">
        <f>IF(AB12=100%,"CUMPLE","NO CUMPLE")</f>
        <v>#DIV/0!</v>
      </c>
      <c r="AD12" s="105"/>
    </row>
    <row r="13" spans="1:30" ht="150.75" customHeight="1" x14ac:dyDescent="0.25">
      <c r="A13" s="312" t="s">
        <v>255</v>
      </c>
      <c r="B13" s="300" t="s">
        <v>82</v>
      </c>
      <c r="C13" s="307" t="s">
        <v>83</v>
      </c>
      <c r="D13" s="299" t="s">
        <v>84</v>
      </c>
      <c r="E13" s="244" t="s">
        <v>9</v>
      </c>
      <c r="F13" s="242" t="s">
        <v>85</v>
      </c>
      <c r="G13" s="242" t="s">
        <v>169</v>
      </c>
      <c r="H13" s="192" t="s">
        <v>86</v>
      </c>
      <c r="I13" s="38" t="s">
        <v>87</v>
      </c>
      <c r="J13" s="244" t="s">
        <v>28</v>
      </c>
      <c r="K13" s="213">
        <v>457</v>
      </c>
      <c r="L13" s="167">
        <v>1180</v>
      </c>
      <c r="M13" s="136">
        <f>(K13/L13)</f>
        <v>0.38728813559322034</v>
      </c>
      <c r="N13" s="137" t="str">
        <f>IF(M13&gt;=70%,"CUMPLE","NO CUMPLE")</f>
        <v>NO CUMPLE</v>
      </c>
      <c r="O13" s="194" t="s">
        <v>206</v>
      </c>
      <c r="P13" s="167">
        <v>1048</v>
      </c>
      <c r="Q13" s="167">
        <v>1655</v>
      </c>
      <c r="R13" s="141">
        <f>(P13/Q13)</f>
        <v>0.63323262839879157</v>
      </c>
      <c r="S13" s="147" t="str">
        <f>IF(R13&gt;=75%,"CUMPLE","NO CUMPLE")</f>
        <v>NO CUMPLE</v>
      </c>
      <c r="T13" s="235" t="s">
        <v>274</v>
      </c>
      <c r="U13" s="215">
        <v>1972</v>
      </c>
      <c r="V13" s="14">
        <v>2551</v>
      </c>
      <c r="W13" s="32">
        <f>(U13/V13)</f>
        <v>0.77303018424147396</v>
      </c>
      <c r="X13" s="147" t="str">
        <f>IF(W13&gt;=80%,"CUMPLE","NO CUMPLE")</f>
        <v>NO CUMPLE</v>
      </c>
      <c r="Y13" s="41" t="s">
        <v>281</v>
      </c>
      <c r="Z13" s="108"/>
      <c r="AA13" s="108"/>
      <c r="AB13" s="4" t="e">
        <f>(Z13/AA13)</f>
        <v>#DIV/0!</v>
      </c>
      <c r="AC13" s="86" t="e">
        <f>IF(AB13&gt;=90%,"CUMPLE","NO CUMPLE")</f>
        <v>#DIV/0!</v>
      </c>
      <c r="AD13" s="109"/>
    </row>
    <row r="14" spans="1:30" ht="212.25" customHeight="1" x14ac:dyDescent="0.25">
      <c r="A14" s="312"/>
      <c r="B14" s="300"/>
      <c r="C14" s="307"/>
      <c r="D14" s="299"/>
      <c r="E14" s="244" t="s">
        <v>9</v>
      </c>
      <c r="F14" s="11" t="s">
        <v>88</v>
      </c>
      <c r="G14" s="242" t="s">
        <v>169</v>
      </c>
      <c r="H14" s="192" t="s">
        <v>89</v>
      </c>
      <c r="I14" s="42" t="s">
        <v>87</v>
      </c>
      <c r="J14" s="244" t="s">
        <v>28</v>
      </c>
      <c r="K14" s="213">
        <v>412</v>
      </c>
      <c r="L14" s="167">
        <v>6161</v>
      </c>
      <c r="M14" s="136">
        <f>(K14/L14)</f>
        <v>6.6872260996591465E-2</v>
      </c>
      <c r="N14" s="137" t="str">
        <f>IF(M14&gt;=10%,"CUMPLE","NO CUMPLE")</f>
        <v>NO CUMPLE</v>
      </c>
      <c r="O14" s="195" t="s">
        <v>235</v>
      </c>
      <c r="P14" s="167">
        <v>648</v>
      </c>
      <c r="Q14" s="167">
        <v>6636</v>
      </c>
      <c r="R14" s="289">
        <f>(P14/Q14)</f>
        <v>9.7649186256781192E-2</v>
      </c>
      <c r="S14" s="147" t="str">
        <f>IF(R14&gt;=15%,"CUMPLE","NO CUMPLE")</f>
        <v>NO CUMPLE</v>
      </c>
      <c r="T14" s="236" t="s">
        <v>275</v>
      </c>
      <c r="U14" s="215">
        <v>1153</v>
      </c>
      <c r="V14" s="14">
        <v>7524</v>
      </c>
      <c r="W14" s="32">
        <f>(U14/V14)</f>
        <v>0.15324295587453482</v>
      </c>
      <c r="X14" s="40" t="str">
        <f>IF(W14&gt;=20%,"CUMPLE","NO CUMPLE")</f>
        <v>NO CUMPLE</v>
      </c>
      <c r="Y14" s="2" t="s">
        <v>282</v>
      </c>
      <c r="Z14" s="108"/>
      <c r="AA14" s="108"/>
      <c r="AB14" s="4" t="e">
        <f>(Z14/AA14)</f>
        <v>#DIV/0!</v>
      </c>
      <c r="AC14" s="86" t="e">
        <f>IF(AB14&gt;=30%,"CUMPLE","NO CUMPLE")</f>
        <v>#DIV/0!</v>
      </c>
      <c r="AD14" s="110"/>
    </row>
    <row r="15" spans="1:30" ht="111" customHeight="1" x14ac:dyDescent="0.25">
      <c r="A15" s="312"/>
      <c r="B15" s="300"/>
      <c r="C15" s="307"/>
      <c r="D15" s="299"/>
      <c r="E15" s="244" t="s">
        <v>4</v>
      </c>
      <c r="F15" s="242" t="s">
        <v>165</v>
      </c>
      <c r="G15" s="242" t="s">
        <v>169</v>
      </c>
      <c r="H15" s="193" t="s">
        <v>90</v>
      </c>
      <c r="I15" s="38" t="s">
        <v>87</v>
      </c>
      <c r="J15" s="244" t="s">
        <v>28</v>
      </c>
      <c r="K15" s="211">
        <v>6855</v>
      </c>
      <c r="L15" s="160">
        <v>457</v>
      </c>
      <c r="M15" s="166">
        <f>K15/L15</f>
        <v>15</v>
      </c>
      <c r="N15" s="88" t="str">
        <f>IF(OR(M15&lt;15,M15=15),"CUMPLE","NO CUMPLE")</f>
        <v>CUMPLE</v>
      </c>
      <c r="O15" s="195" t="s">
        <v>173</v>
      </c>
      <c r="P15" s="160">
        <v>15720</v>
      </c>
      <c r="Q15" s="160">
        <v>1048</v>
      </c>
      <c r="R15" s="148">
        <f>P15/Q15</f>
        <v>15</v>
      </c>
      <c r="S15" s="149" t="str">
        <f>IF(OR(R15&lt;15,R15=15),"CUMPLE","NO CUMPLE")</f>
        <v>CUMPLE</v>
      </c>
      <c r="T15" s="236" t="s">
        <v>173</v>
      </c>
      <c r="U15" s="215">
        <v>49500</v>
      </c>
      <c r="V15" s="14">
        <v>1725</v>
      </c>
      <c r="W15" s="291">
        <f>U15/V15</f>
        <v>28.695652173913043</v>
      </c>
      <c r="X15" s="39" t="str">
        <f>IF(OR(W15&lt;15,W15=15),"CUMPLE","NO CUMPLE")</f>
        <v>NO CUMPLE</v>
      </c>
      <c r="Y15" s="2" t="s">
        <v>283</v>
      </c>
      <c r="Z15" s="14"/>
      <c r="AA15" s="14"/>
      <c r="AB15" s="87" t="e">
        <f>Z15/AA15</f>
        <v>#DIV/0!</v>
      </c>
      <c r="AC15" s="88" t="e">
        <f>IF(OR(AB15&lt;15,AB15=15),"CUMPLE","NO CUMPLE")</f>
        <v>#DIV/0!</v>
      </c>
      <c r="AD15" s="110"/>
    </row>
    <row r="16" spans="1:30" ht="132" x14ac:dyDescent="0.25">
      <c r="A16" s="312"/>
      <c r="B16" s="300"/>
      <c r="C16" s="307"/>
      <c r="D16" s="242" t="s">
        <v>91</v>
      </c>
      <c r="E16" s="244" t="s">
        <v>9</v>
      </c>
      <c r="F16" s="242" t="s">
        <v>92</v>
      </c>
      <c r="G16" s="242" t="s">
        <v>169</v>
      </c>
      <c r="H16" s="192" t="s">
        <v>166</v>
      </c>
      <c r="I16" s="38" t="s">
        <v>87</v>
      </c>
      <c r="J16" s="244" t="s">
        <v>28</v>
      </c>
      <c r="K16" s="211">
        <v>31</v>
      </c>
      <c r="L16" s="160">
        <v>35</v>
      </c>
      <c r="M16" s="4">
        <f>(K16/L16)</f>
        <v>0.88571428571428568</v>
      </c>
      <c r="N16" s="86" t="str">
        <f>IF(M16&gt;=20%,"CUMPLE","NO CUMPLE")</f>
        <v>CUMPLE</v>
      </c>
      <c r="O16" s="195" t="s">
        <v>174</v>
      </c>
      <c r="P16" s="160">
        <v>45</v>
      </c>
      <c r="Q16" s="160">
        <v>49</v>
      </c>
      <c r="R16" s="141">
        <f>(P16/Q16)</f>
        <v>0.91836734693877553</v>
      </c>
      <c r="S16" s="147" t="str">
        <f>IF(R16&gt;=20%,"CUMPLE","NO CUMPLE")</f>
        <v>CUMPLE</v>
      </c>
      <c r="T16" s="236" t="s">
        <v>174</v>
      </c>
      <c r="U16" s="215">
        <v>176</v>
      </c>
      <c r="V16" s="14">
        <v>181</v>
      </c>
      <c r="W16" s="32">
        <f>(U16/V16)</f>
        <v>0.97237569060773477</v>
      </c>
      <c r="X16" s="40" t="str">
        <f>IF(W16&gt;=80%,"CUMPLE","NO CUMPLE")</f>
        <v>CUMPLE</v>
      </c>
      <c r="Y16" s="2" t="s">
        <v>284</v>
      </c>
      <c r="Z16" s="14"/>
      <c r="AA16" s="14"/>
      <c r="AB16" s="4" t="e">
        <f>(Z16/AA16)</f>
        <v>#DIV/0!</v>
      </c>
      <c r="AC16" s="86" t="e">
        <f>IF(AB16&gt;=20%,"CUMPLE","NO CUMPLE")</f>
        <v>#DIV/0!</v>
      </c>
      <c r="AD16" s="110"/>
    </row>
    <row r="17" spans="1:30" ht="141" customHeight="1" x14ac:dyDescent="0.25">
      <c r="A17" s="312"/>
      <c r="B17" s="300"/>
      <c r="C17" s="307" t="s">
        <v>93</v>
      </c>
      <c r="D17" s="325" t="s">
        <v>94</v>
      </c>
      <c r="E17" s="241" t="s">
        <v>9</v>
      </c>
      <c r="F17" s="242" t="s">
        <v>95</v>
      </c>
      <c r="G17" s="242" t="s">
        <v>169</v>
      </c>
      <c r="H17" s="192" t="s">
        <v>25</v>
      </c>
      <c r="I17" s="38" t="s">
        <v>87</v>
      </c>
      <c r="J17" s="244" t="s">
        <v>28</v>
      </c>
      <c r="K17" s="211">
        <v>312</v>
      </c>
      <c r="L17" s="160">
        <v>573</v>
      </c>
      <c r="M17" s="4">
        <f>(K17/L17)</f>
        <v>0.54450261780104714</v>
      </c>
      <c r="N17" s="86" t="str">
        <f>IF(M17&gt;80%,"CUMPLE","NO CUMPLE")</f>
        <v>NO CUMPLE</v>
      </c>
      <c r="O17" s="195" t="s">
        <v>207</v>
      </c>
      <c r="P17" s="160">
        <v>618</v>
      </c>
      <c r="Q17" s="160">
        <v>773</v>
      </c>
      <c r="R17" s="141">
        <f>(P17/Q17)</f>
        <v>0.79948253557567917</v>
      </c>
      <c r="S17" s="147" t="str">
        <f>IF(R17&gt;80%,"CUMPLE","NO CUMPLE")</f>
        <v>NO CUMPLE</v>
      </c>
      <c r="T17" s="236" t="s">
        <v>258</v>
      </c>
      <c r="U17" s="215">
        <v>1032</v>
      </c>
      <c r="V17" s="14">
        <v>1315</v>
      </c>
      <c r="W17" s="158">
        <f>(U17/V17)</f>
        <v>0.78479087452471485</v>
      </c>
      <c r="X17" s="40" t="str">
        <f>IF(W17&gt;80%,"CUMPLE","NO CUMPLE")</f>
        <v>NO CUMPLE</v>
      </c>
      <c r="Y17" s="2" t="s">
        <v>285</v>
      </c>
      <c r="Z17" s="14"/>
      <c r="AA17" s="14"/>
      <c r="AB17" s="4" t="e">
        <f>(Z17/AA17)</f>
        <v>#DIV/0!</v>
      </c>
      <c r="AC17" s="86" t="e">
        <f>IF(AB17&gt;80%,"CUMPLE","NO CUMPLE")</f>
        <v>#DIV/0!</v>
      </c>
      <c r="AD17" s="110"/>
    </row>
    <row r="18" spans="1:30" ht="267.75" customHeight="1" x14ac:dyDescent="0.25">
      <c r="A18" s="312"/>
      <c r="B18" s="300"/>
      <c r="C18" s="307"/>
      <c r="D18" s="325"/>
      <c r="E18" s="241" t="s">
        <v>9</v>
      </c>
      <c r="F18" s="11" t="s">
        <v>96</v>
      </c>
      <c r="G18" s="242" t="s">
        <v>169</v>
      </c>
      <c r="H18" s="192" t="s">
        <v>97</v>
      </c>
      <c r="I18" s="38" t="s">
        <v>87</v>
      </c>
      <c r="J18" s="244" t="s">
        <v>28</v>
      </c>
      <c r="K18" s="211">
        <v>315</v>
      </c>
      <c r="L18" s="160">
        <v>856</v>
      </c>
      <c r="M18" s="4">
        <f>(K18/L18)</f>
        <v>0.3679906542056075</v>
      </c>
      <c r="N18" s="86" t="str">
        <f>IF(M18&gt;=15%,"CUMPLE","NO CUMPLE")</f>
        <v>CUMPLE</v>
      </c>
      <c r="O18" s="196" t="s">
        <v>208</v>
      </c>
      <c r="P18" s="160">
        <v>532</v>
      </c>
      <c r="Q18" s="160">
        <v>1161</v>
      </c>
      <c r="R18" s="141">
        <f>(P18/Q18)</f>
        <v>0.4582256675279931</v>
      </c>
      <c r="S18" s="147" t="str">
        <f>IF(R18&gt;=15%,"CUMPLE","NO CUMPLE")</f>
        <v>CUMPLE</v>
      </c>
      <c r="T18" s="237" t="s">
        <v>208</v>
      </c>
      <c r="U18" s="215">
        <v>1138</v>
      </c>
      <c r="V18" s="14">
        <v>1627</v>
      </c>
      <c r="W18" s="32">
        <f>(U18/V18)</f>
        <v>0.69944683466502766</v>
      </c>
      <c r="X18" s="40" t="str">
        <f>IF(W18&gt;=50%,"CUMPLE","NO CUMPLE")</f>
        <v>CUMPLE</v>
      </c>
      <c r="Y18" s="2" t="s">
        <v>286</v>
      </c>
      <c r="Z18" s="14"/>
      <c r="AA18" s="14"/>
      <c r="AB18" s="4" t="e">
        <f>(Z18/AA18)</f>
        <v>#DIV/0!</v>
      </c>
      <c r="AC18" s="86" t="e">
        <f>IF(AB18&gt;=15%,"CUMPLE","NO CUMPLE")</f>
        <v>#DIV/0!</v>
      </c>
      <c r="AD18" s="111"/>
    </row>
    <row r="19" spans="1:30" ht="104.25" customHeight="1" x14ac:dyDescent="0.25">
      <c r="A19" s="312"/>
      <c r="B19" s="300"/>
      <c r="C19" s="307"/>
      <c r="D19" s="325"/>
      <c r="E19" s="241" t="s">
        <v>4</v>
      </c>
      <c r="F19" s="44" t="s">
        <v>167</v>
      </c>
      <c r="G19" s="242" t="s">
        <v>169</v>
      </c>
      <c r="H19" s="193" t="s">
        <v>90</v>
      </c>
      <c r="I19" s="45" t="s">
        <v>87</v>
      </c>
      <c r="J19" s="244" t="s">
        <v>28</v>
      </c>
      <c r="K19" s="211">
        <v>4680</v>
      </c>
      <c r="L19" s="160">
        <v>312</v>
      </c>
      <c r="M19" s="166">
        <f>K19/L19</f>
        <v>15</v>
      </c>
      <c r="N19" s="88" t="str">
        <f>IF(OR(M19&lt;15,M19=15),"CUMPLE","NO CUMPLE")</f>
        <v>CUMPLE</v>
      </c>
      <c r="O19" s="195" t="s">
        <v>253</v>
      </c>
      <c r="P19" s="160">
        <v>9270</v>
      </c>
      <c r="Q19" s="160">
        <v>618</v>
      </c>
      <c r="R19" s="166">
        <f>P19/Q19</f>
        <v>15</v>
      </c>
      <c r="S19" s="149" t="str">
        <f>IF(OR(R19&lt;15,R19=15),"CUMPLE","NO CUMPLE")</f>
        <v>CUMPLE</v>
      </c>
      <c r="T19" s="236" t="s">
        <v>253</v>
      </c>
      <c r="U19" s="215">
        <v>21530</v>
      </c>
      <c r="V19" s="14">
        <v>972</v>
      </c>
      <c r="W19" s="291">
        <f>U19/V19</f>
        <v>22.150205761316872</v>
      </c>
      <c r="X19" s="39" t="str">
        <f>IF(OR(W19&lt;15,W19=15),"CUMPLE","NO CUMPLE")</f>
        <v>NO CUMPLE</v>
      </c>
      <c r="Y19" s="2" t="s">
        <v>287</v>
      </c>
      <c r="Z19" s="14"/>
      <c r="AA19" s="14"/>
      <c r="AB19" s="87" t="e">
        <f>Z19/AA19</f>
        <v>#DIV/0!</v>
      </c>
      <c r="AC19" s="88" t="e">
        <f>IF(OR(AB19&lt;15,AB19=15),"CUMPLE","NO CUMPLE")</f>
        <v>#DIV/0!</v>
      </c>
      <c r="AD19" s="110"/>
    </row>
    <row r="20" spans="1:30" ht="149.25" customHeight="1" x14ac:dyDescent="0.25">
      <c r="A20" s="312"/>
      <c r="B20" s="300"/>
      <c r="C20" s="307"/>
      <c r="D20" s="325"/>
      <c r="E20" s="241" t="s">
        <v>9</v>
      </c>
      <c r="F20" s="242" t="s">
        <v>92</v>
      </c>
      <c r="G20" s="242" t="s">
        <v>169</v>
      </c>
      <c r="H20" s="192" t="s">
        <v>166</v>
      </c>
      <c r="I20" s="38" t="s">
        <v>87</v>
      </c>
      <c r="J20" s="244" t="s">
        <v>28</v>
      </c>
      <c r="K20" s="211">
        <v>315</v>
      </c>
      <c r="L20" s="160">
        <v>1124</v>
      </c>
      <c r="M20" s="4">
        <f t="shared" ref="M20:M25" si="0">(K20/L20)</f>
        <v>0.28024911032028471</v>
      </c>
      <c r="N20" s="88" t="str">
        <f>IF(M20&gt;=20%,"CUMPLE","NO CUMPLE")</f>
        <v>CUMPLE</v>
      </c>
      <c r="O20" s="197" t="s">
        <v>175</v>
      </c>
      <c r="P20" s="160">
        <v>251</v>
      </c>
      <c r="Q20" s="160">
        <v>1398</v>
      </c>
      <c r="R20" s="141">
        <f>(P20/Q20)</f>
        <v>0.17954220314735336</v>
      </c>
      <c r="S20" s="149" t="str">
        <f>IF(R20&gt;=40%,"CUMPLE","NO CUMPLE")</f>
        <v>NO CUMPLE</v>
      </c>
      <c r="T20" s="187" t="s">
        <v>276</v>
      </c>
      <c r="U20" s="215">
        <v>760</v>
      </c>
      <c r="V20" s="14">
        <v>1124</v>
      </c>
      <c r="W20" s="32">
        <f>(U20/V20)</f>
        <v>0.67615658362989328</v>
      </c>
      <c r="X20" s="40" t="str">
        <f>IF(W20&gt;=80%,"CUMPLE","NO CUMPLE")</f>
        <v>NO CUMPLE</v>
      </c>
      <c r="Y20" s="2" t="s">
        <v>288</v>
      </c>
      <c r="Z20" s="14"/>
      <c r="AA20" s="14"/>
      <c r="AB20" s="4" t="e">
        <f>(Z20/AA20)</f>
        <v>#DIV/0!</v>
      </c>
      <c r="AC20" s="88" t="e">
        <f>IF(AB20&gt;=20%,"CUMPLE","NO CUMPLE")</f>
        <v>#DIV/0!</v>
      </c>
      <c r="AD20" s="112"/>
    </row>
    <row r="21" spans="1:30" ht="96.75" hidden="1" customHeight="1" x14ac:dyDescent="0.25">
      <c r="A21" s="312"/>
      <c r="B21" s="300"/>
      <c r="C21" s="307" t="s">
        <v>98</v>
      </c>
      <c r="D21" s="11" t="s">
        <v>99</v>
      </c>
      <c r="E21" s="241" t="s">
        <v>9</v>
      </c>
      <c r="F21" s="11" t="s">
        <v>100</v>
      </c>
      <c r="G21" s="11" t="s">
        <v>170</v>
      </c>
      <c r="H21" s="189" t="s">
        <v>101</v>
      </c>
      <c r="I21" s="11" t="s">
        <v>102</v>
      </c>
      <c r="J21" s="244" t="s">
        <v>6</v>
      </c>
      <c r="K21" s="211" t="s">
        <v>168</v>
      </c>
      <c r="L21" s="160" t="s">
        <v>168</v>
      </c>
      <c r="M21" s="15" t="e">
        <f t="shared" si="0"/>
        <v>#VALUE!</v>
      </c>
      <c r="N21" s="43" t="e">
        <f>IF(M21&lt;20,"CUMPLE","NO CUMPLE")</f>
        <v>#VALUE!</v>
      </c>
      <c r="O21" s="198" t="s">
        <v>172</v>
      </c>
      <c r="P21" s="160" t="s">
        <v>7</v>
      </c>
      <c r="Q21" s="160" t="s">
        <v>7</v>
      </c>
      <c r="R21" s="150" t="e">
        <f>P21/Q21</f>
        <v>#VALUE!</v>
      </c>
      <c r="S21" s="151" t="e">
        <f>IF(R21&lt;20,"CUMPLE","NO CUMPLE")</f>
        <v>#VALUE!</v>
      </c>
      <c r="T21" s="140" t="s">
        <v>214</v>
      </c>
      <c r="U21" s="216"/>
      <c r="V21" s="47"/>
      <c r="W21" s="26"/>
      <c r="X21" s="43" t="s">
        <v>184</v>
      </c>
      <c r="Y21" s="2" t="s">
        <v>184</v>
      </c>
      <c r="Z21" s="14"/>
      <c r="AA21" s="14"/>
      <c r="AB21" s="89" t="e">
        <f t="shared" ref="AB21:AB27" si="1">Z21/AA21</f>
        <v>#DIV/0!</v>
      </c>
      <c r="AC21" s="90" t="e">
        <f>IF(AB21&lt;20,"CUMPLE","NO CUMPLE")</f>
        <v>#DIV/0!</v>
      </c>
      <c r="AD21" s="3"/>
    </row>
    <row r="22" spans="1:30" ht="88.5" hidden="1" customHeight="1" x14ac:dyDescent="0.25">
      <c r="A22" s="312"/>
      <c r="B22" s="300"/>
      <c r="C22" s="307"/>
      <c r="D22" s="11" t="s">
        <v>103</v>
      </c>
      <c r="E22" s="241" t="s">
        <v>9</v>
      </c>
      <c r="F22" s="11" t="s">
        <v>104</v>
      </c>
      <c r="G22" s="11" t="s">
        <v>171</v>
      </c>
      <c r="H22" s="192">
        <v>1</v>
      </c>
      <c r="I22" s="11" t="s">
        <v>102</v>
      </c>
      <c r="J22" s="244" t="s">
        <v>6</v>
      </c>
      <c r="K22" s="211" t="s">
        <v>168</v>
      </c>
      <c r="L22" s="160" t="s">
        <v>168</v>
      </c>
      <c r="M22" s="32" t="e">
        <f t="shared" si="0"/>
        <v>#VALUE!</v>
      </c>
      <c r="N22" s="43" t="e">
        <f>IF((M22=100%),"CUMPLE","NO CUMPLE")</f>
        <v>#VALUE!</v>
      </c>
      <c r="O22" s="198" t="s">
        <v>172</v>
      </c>
      <c r="P22" s="160">
        <v>118</v>
      </c>
      <c r="Q22" s="160">
        <v>118</v>
      </c>
      <c r="R22" s="152">
        <f>P22/Q22</f>
        <v>1</v>
      </c>
      <c r="S22" s="151" t="str">
        <f>IF(R22=100%,"CUMPLE","NO CUMPLE")</f>
        <v>CUMPLE</v>
      </c>
      <c r="T22" s="187" t="s">
        <v>215</v>
      </c>
      <c r="U22" s="217"/>
      <c r="V22" s="35"/>
      <c r="W22" s="48" t="e">
        <f>U22/V22</f>
        <v>#DIV/0!</v>
      </c>
      <c r="X22" s="43" t="e">
        <f>IF(W22=100%,"CUMPLE","NO CUMPLE")</f>
        <v>#DIV/0!</v>
      </c>
      <c r="Y22" s="2" t="s">
        <v>185</v>
      </c>
      <c r="Z22" s="14"/>
      <c r="AA22" s="14"/>
      <c r="AB22" s="91" t="e">
        <f t="shared" si="1"/>
        <v>#DIV/0!</v>
      </c>
      <c r="AC22" s="90" t="e">
        <f>IF(AB22=100%,"CUMPLE","NO CUMPLE")</f>
        <v>#DIV/0!</v>
      </c>
      <c r="AD22" s="3"/>
    </row>
    <row r="23" spans="1:30" ht="116.25" hidden="1" customHeight="1" x14ac:dyDescent="0.25">
      <c r="A23" s="319" t="s">
        <v>211</v>
      </c>
      <c r="B23" s="300" t="s">
        <v>127</v>
      </c>
      <c r="C23" s="307" t="s">
        <v>203</v>
      </c>
      <c r="D23" s="11" t="s">
        <v>29</v>
      </c>
      <c r="E23" s="241" t="s">
        <v>4</v>
      </c>
      <c r="F23" s="11" t="s">
        <v>139</v>
      </c>
      <c r="G23" s="11" t="s">
        <v>29</v>
      </c>
      <c r="H23" s="189" t="s">
        <v>30</v>
      </c>
      <c r="I23" s="11" t="s">
        <v>31</v>
      </c>
      <c r="J23" s="244" t="s">
        <v>6</v>
      </c>
      <c r="K23" s="211" t="s">
        <v>168</v>
      </c>
      <c r="L23" s="160" t="s">
        <v>168</v>
      </c>
      <c r="M23" s="32" t="e">
        <f t="shared" si="0"/>
        <v>#VALUE!</v>
      </c>
      <c r="N23" s="49" t="e">
        <f>IF(M23&lt;3%,"CUMPLE","NO CUMPLE")</f>
        <v>#VALUE!</v>
      </c>
      <c r="O23" s="198" t="s">
        <v>172</v>
      </c>
      <c r="P23" s="160">
        <v>34</v>
      </c>
      <c r="Q23" s="160">
        <v>4188</v>
      </c>
      <c r="R23" s="158">
        <v>9.4138543516873886E-3</v>
      </c>
      <c r="S23" s="159" t="s">
        <v>212</v>
      </c>
      <c r="T23" s="187" t="s">
        <v>228</v>
      </c>
      <c r="U23" s="217"/>
      <c r="V23" s="35"/>
      <c r="W23" s="32"/>
      <c r="X23" s="49" t="s">
        <v>185</v>
      </c>
      <c r="Y23" s="2" t="s">
        <v>185</v>
      </c>
      <c r="Z23" s="14"/>
      <c r="AA23" s="14"/>
      <c r="AB23" s="91" t="e">
        <f t="shared" si="1"/>
        <v>#DIV/0!</v>
      </c>
      <c r="AC23" s="92" t="e">
        <f>IF(AB23&lt;3%,"CUMPLE","NO CUMPLE")</f>
        <v>#DIV/0!</v>
      </c>
      <c r="AD23" s="3"/>
    </row>
    <row r="24" spans="1:30" ht="129" hidden="1" customHeight="1" x14ac:dyDescent="0.25">
      <c r="A24" s="320"/>
      <c r="B24" s="301"/>
      <c r="C24" s="306"/>
      <c r="D24" s="113" t="s">
        <v>32</v>
      </c>
      <c r="E24" s="114" t="s">
        <v>9</v>
      </c>
      <c r="F24" s="113" t="s">
        <v>138</v>
      </c>
      <c r="G24" s="113"/>
      <c r="H24" s="280" t="s">
        <v>25</v>
      </c>
      <c r="I24" s="115" t="s">
        <v>31</v>
      </c>
      <c r="J24" s="116" t="s">
        <v>19</v>
      </c>
      <c r="K24" s="160" t="s">
        <v>168</v>
      </c>
      <c r="L24" s="160" t="s">
        <v>168</v>
      </c>
      <c r="M24" s="32" t="e">
        <f t="shared" si="0"/>
        <v>#VALUE!</v>
      </c>
      <c r="N24" s="15" t="e">
        <f>IF(M24&gt;80%,"CUMPLE","NO CUMPLE")</f>
        <v>#VALUE!</v>
      </c>
      <c r="O24" s="46" t="s">
        <v>172</v>
      </c>
      <c r="P24" s="228" t="s">
        <v>182</v>
      </c>
      <c r="Q24" s="228" t="s">
        <v>182</v>
      </c>
      <c r="R24" s="229" t="s">
        <v>182</v>
      </c>
      <c r="S24" s="232" t="s">
        <v>172</v>
      </c>
      <c r="T24" s="231"/>
      <c r="U24" s="27"/>
      <c r="V24" s="27"/>
      <c r="W24" s="27"/>
      <c r="X24" s="16" t="s">
        <v>172</v>
      </c>
      <c r="Y24" s="2" t="s">
        <v>185</v>
      </c>
      <c r="Z24" s="106"/>
      <c r="AA24" s="107"/>
      <c r="AB24" s="91" t="e">
        <f t="shared" si="1"/>
        <v>#DIV/0!</v>
      </c>
      <c r="AC24" s="90" t="e">
        <f>IF(AB24&gt;80%,"CUMPLE","NO CUMPLE")</f>
        <v>#DIV/0!</v>
      </c>
      <c r="AD24" s="3"/>
    </row>
    <row r="25" spans="1:30" ht="69.75" hidden="1" customHeight="1" x14ac:dyDescent="0.25">
      <c r="A25" s="321"/>
      <c r="B25" s="302"/>
      <c r="C25" s="308"/>
      <c r="D25" s="257" t="s">
        <v>33</v>
      </c>
      <c r="E25" s="258" t="s">
        <v>9</v>
      </c>
      <c r="F25" s="257" t="s">
        <v>140</v>
      </c>
      <c r="G25" s="257"/>
      <c r="H25" s="259" t="s">
        <v>25</v>
      </c>
      <c r="I25" s="260" t="s">
        <v>31</v>
      </c>
      <c r="J25" s="250" t="s">
        <v>19</v>
      </c>
      <c r="K25" s="160" t="s">
        <v>168</v>
      </c>
      <c r="L25" s="160" t="s">
        <v>168</v>
      </c>
      <c r="M25" s="32" t="e">
        <f t="shared" si="0"/>
        <v>#VALUE!</v>
      </c>
      <c r="N25" s="15" t="e">
        <f>IF(M25&gt;80%,"CUMPLE","NO CUMPLE")</f>
        <v>#VALUE!</v>
      </c>
      <c r="O25" s="46" t="s">
        <v>172</v>
      </c>
      <c r="P25" s="253" t="s">
        <v>182</v>
      </c>
      <c r="Q25" s="253" t="s">
        <v>182</v>
      </c>
      <c r="R25" s="254" t="s">
        <v>182</v>
      </c>
      <c r="S25" s="261" t="s">
        <v>172</v>
      </c>
      <c r="T25" s="256"/>
      <c r="U25" s="27"/>
      <c r="V25" s="27"/>
      <c r="W25" s="27"/>
      <c r="X25" s="16" t="s">
        <v>172</v>
      </c>
      <c r="Y25" s="2" t="s">
        <v>185</v>
      </c>
      <c r="Z25" s="106"/>
      <c r="AA25" s="106"/>
      <c r="AB25" s="91" t="e">
        <f t="shared" si="1"/>
        <v>#DIV/0!</v>
      </c>
      <c r="AC25" s="90" t="e">
        <f>IF(AB25&gt;80%,"CUMPLE","NO CUMPLE")</f>
        <v>#DIV/0!</v>
      </c>
      <c r="AD25" s="3"/>
    </row>
    <row r="26" spans="1:30" ht="186.75" customHeight="1" x14ac:dyDescent="0.25">
      <c r="A26" s="319"/>
      <c r="B26" s="300"/>
      <c r="C26" s="311" t="s">
        <v>34</v>
      </c>
      <c r="D26" s="52" t="s">
        <v>188</v>
      </c>
      <c r="E26" s="241" t="s">
        <v>4</v>
      </c>
      <c r="F26" s="11" t="s">
        <v>123</v>
      </c>
      <c r="G26" s="11" t="s">
        <v>121</v>
      </c>
      <c r="H26" s="189" t="s">
        <v>125</v>
      </c>
      <c r="I26" s="20" t="s">
        <v>31</v>
      </c>
      <c r="J26" s="244" t="s">
        <v>28</v>
      </c>
      <c r="K26" s="211">
        <v>148</v>
      </c>
      <c r="L26" s="160">
        <v>74</v>
      </c>
      <c r="M26" s="138">
        <f>K26/L26</f>
        <v>2</v>
      </c>
      <c r="N26" s="93" t="str">
        <f>IF(OR(M26&lt;2,M26=2),"CUMPLE","NO CUMPLE")</f>
        <v>CUMPLE</v>
      </c>
      <c r="O26" s="199" t="s">
        <v>238</v>
      </c>
      <c r="P26" s="160">
        <v>140</v>
      </c>
      <c r="Q26" s="160">
        <v>70</v>
      </c>
      <c r="R26" s="148">
        <f>P26/Q26</f>
        <v>2</v>
      </c>
      <c r="S26" s="148" t="s">
        <v>212</v>
      </c>
      <c r="T26" s="156" t="s">
        <v>239</v>
      </c>
      <c r="U26" s="215">
        <v>228</v>
      </c>
      <c r="V26" s="14">
        <v>228</v>
      </c>
      <c r="W26" s="35">
        <f>U26/V26</f>
        <v>1</v>
      </c>
      <c r="X26" s="54" t="str">
        <f>IF(OR(W26&lt;2,W26=2),"CUMPLE","NO CUMPLE")</f>
        <v>CUMPLE</v>
      </c>
      <c r="Y26" s="55" t="s">
        <v>291</v>
      </c>
      <c r="Z26" s="132"/>
      <c r="AA26" s="132"/>
      <c r="AB26" s="131" t="e">
        <f t="shared" si="1"/>
        <v>#DIV/0!</v>
      </c>
      <c r="AC26" s="151" t="e">
        <f>IF(AB26&gt;80%,"CUMPLE","NO CUMPLE")</f>
        <v>#DIV/0!</v>
      </c>
      <c r="AD26" s="130"/>
    </row>
    <row r="27" spans="1:30" ht="138.75" customHeight="1" x14ac:dyDescent="0.25">
      <c r="A27" s="319"/>
      <c r="B27" s="300"/>
      <c r="C27" s="311"/>
      <c r="D27" s="52" t="s">
        <v>122</v>
      </c>
      <c r="E27" s="241" t="s">
        <v>4</v>
      </c>
      <c r="F27" s="11" t="s">
        <v>124</v>
      </c>
      <c r="G27" s="11" t="s">
        <v>176</v>
      </c>
      <c r="H27" s="189" t="s">
        <v>126</v>
      </c>
      <c r="I27" s="11" t="s">
        <v>31</v>
      </c>
      <c r="J27" s="244" t="s">
        <v>28</v>
      </c>
      <c r="K27" s="211">
        <v>225</v>
      </c>
      <c r="L27" s="160">
        <v>75</v>
      </c>
      <c r="M27" s="138">
        <f>K27/L27</f>
        <v>3</v>
      </c>
      <c r="N27" s="153" t="s">
        <v>212</v>
      </c>
      <c r="O27" s="199" t="s">
        <v>237</v>
      </c>
      <c r="P27" s="160">
        <v>213</v>
      </c>
      <c r="Q27" s="160">
        <v>71</v>
      </c>
      <c r="R27" s="148">
        <f>P27/Q27</f>
        <v>3</v>
      </c>
      <c r="S27" s="148" t="s">
        <v>212</v>
      </c>
      <c r="T27" s="156" t="s">
        <v>240</v>
      </c>
      <c r="U27" s="215">
        <v>684</v>
      </c>
      <c r="V27" s="14">
        <v>228</v>
      </c>
      <c r="W27" s="35">
        <f>U27/V27</f>
        <v>3</v>
      </c>
      <c r="X27" s="54" t="str">
        <f>IF(OR(W27&lt;3,W27=3),"CUMPLE","NO CUMPLE")</f>
        <v>CUMPLE</v>
      </c>
      <c r="Y27" s="130" t="s">
        <v>297</v>
      </c>
      <c r="Z27" s="129"/>
      <c r="AA27" s="129"/>
      <c r="AB27" s="133" t="e">
        <f t="shared" si="1"/>
        <v>#DIV/0!</v>
      </c>
      <c r="AC27" s="151" t="e">
        <f>IF(AB27&gt;80%,"CUMPLE","NO CUMPLE")</f>
        <v>#DIV/0!</v>
      </c>
      <c r="AD27" s="130"/>
    </row>
    <row r="28" spans="1:30" ht="154.5" customHeight="1" x14ac:dyDescent="0.25">
      <c r="A28" s="319"/>
      <c r="B28" s="300"/>
      <c r="C28" s="307" t="s">
        <v>35</v>
      </c>
      <c r="D28" s="244" t="s">
        <v>36</v>
      </c>
      <c r="E28" s="244" t="s">
        <v>9</v>
      </c>
      <c r="F28" s="242" t="s">
        <v>146</v>
      </c>
      <c r="G28" s="244" t="s">
        <v>152</v>
      </c>
      <c r="H28" s="189" t="s">
        <v>251</v>
      </c>
      <c r="I28" s="242" t="s">
        <v>31</v>
      </c>
      <c r="J28" s="244" t="s">
        <v>147</v>
      </c>
      <c r="K28" s="211" t="s">
        <v>168</v>
      </c>
      <c r="L28" s="160" t="s">
        <v>168</v>
      </c>
      <c r="M28" s="32" t="e">
        <f t="shared" ref="M28:M42" si="2">(K28/L28)</f>
        <v>#VALUE!</v>
      </c>
      <c r="N28" s="132" t="e">
        <f t="shared" ref="N28:N35" si="3">IF(M28&gt;80%,"CUMPLE","NO CUMPLE")</f>
        <v>#VALUE!</v>
      </c>
      <c r="O28" s="198" t="s">
        <v>172</v>
      </c>
      <c r="P28" s="73">
        <v>4317</v>
      </c>
      <c r="Q28" s="73">
        <v>46</v>
      </c>
      <c r="R28" s="165">
        <f>P28/Q28</f>
        <v>93.847826086956516</v>
      </c>
      <c r="S28" s="54" t="str">
        <f>IF(R28&gt;=90,"CUMPLE","NO CUMPLE")</f>
        <v>CUMPLE</v>
      </c>
      <c r="T28" s="186" t="s">
        <v>252</v>
      </c>
      <c r="U28" s="218"/>
      <c r="V28" s="27"/>
      <c r="W28" s="27"/>
      <c r="X28" s="16" t="s">
        <v>172</v>
      </c>
      <c r="Y28" s="21" t="s">
        <v>172</v>
      </c>
      <c r="Z28" s="56"/>
      <c r="AA28" s="56"/>
      <c r="AB28" s="94"/>
      <c r="AC28" s="95"/>
      <c r="AD28" s="57"/>
    </row>
    <row r="29" spans="1:30" ht="155.25" hidden="1" customHeight="1" x14ac:dyDescent="0.25">
      <c r="A29" s="319"/>
      <c r="B29" s="300"/>
      <c r="C29" s="307"/>
      <c r="D29" s="326" t="s">
        <v>37</v>
      </c>
      <c r="E29" s="244" t="s">
        <v>9</v>
      </c>
      <c r="F29" s="242" t="s">
        <v>149</v>
      </c>
      <c r="G29" s="244" t="s">
        <v>154</v>
      </c>
      <c r="H29" s="189" t="s">
        <v>151</v>
      </c>
      <c r="I29" s="58" t="s">
        <v>31</v>
      </c>
      <c r="J29" s="244" t="s">
        <v>6</v>
      </c>
      <c r="K29" s="211" t="s">
        <v>168</v>
      </c>
      <c r="L29" s="160" t="s">
        <v>168</v>
      </c>
      <c r="M29" s="32" t="e">
        <f t="shared" si="2"/>
        <v>#VALUE!</v>
      </c>
      <c r="N29" s="132" t="e">
        <f t="shared" si="3"/>
        <v>#VALUE!</v>
      </c>
      <c r="O29" s="198" t="s">
        <v>172</v>
      </c>
      <c r="P29" s="160">
        <v>3</v>
      </c>
      <c r="Q29" s="160">
        <v>3</v>
      </c>
      <c r="R29" s="48">
        <f>P29/Q29</f>
        <v>1</v>
      </c>
      <c r="S29" s="54" t="str">
        <f>IF(R29&gt;=80%,"CUMPLE","NO CUMPLE")</f>
        <v>CUMPLE</v>
      </c>
      <c r="T29" s="156" t="s">
        <v>259</v>
      </c>
      <c r="U29" s="217"/>
      <c r="V29" s="35"/>
      <c r="W29" s="48"/>
      <c r="X29" s="16" t="s">
        <v>172</v>
      </c>
      <c r="Y29" s="21" t="s">
        <v>172</v>
      </c>
      <c r="Z29" s="14"/>
      <c r="AA29" s="14"/>
      <c r="AB29" s="91" t="e">
        <f t="shared" ref="AB29:AB34" si="4">Z29/AA29</f>
        <v>#DIV/0!</v>
      </c>
      <c r="AC29" s="93" t="e">
        <f>IF(AB29&gt;=80%,"CUMPLE","NO CUMPLE")</f>
        <v>#DIV/0!</v>
      </c>
      <c r="AD29" s="53"/>
    </row>
    <row r="30" spans="1:30" ht="148.5" hidden="1" customHeight="1" x14ac:dyDescent="0.25">
      <c r="A30" s="322"/>
      <c r="B30" s="310"/>
      <c r="C30" s="309"/>
      <c r="D30" s="327"/>
      <c r="E30" s="263" t="s">
        <v>9</v>
      </c>
      <c r="F30" s="281" t="s">
        <v>148</v>
      </c>
      <c r="G30" s="263" t="s">
        <v>153</v>
      </c>
      <c r="H30" s="282" t="s">
        <v>150</v>
      </c>
      <c r="I30" s="262" t="s">
        <v>31</v>
      </c>
      <c r="J30" s="263" t="s">
        <v>19</v>
      </c>
      <c r="K30" s="160" t="s">
        <v>168</v>
      </c>
      <c r="L30" s="160" t="s">
        <v>168</v>
      </c>
      <c r="M30" s="32" t="e">
        <f t="shared" si="2"/>
        <v>#VALUE!</v>
      </c>
      <c r="N30" s="132" t="e">
        <f t="shared" si="3"/>
        <v>#VALUE!</v>
      </c>
      <c r="O30" s="46" t="s">
        <v>172</v>
      </c>
      <c r="P30" s="264" t="s">
        <v>182</v>
      </c>
      <c r="Q30" s="264" t="s">
        <v>182</v>
      </c>
      <c r="R30" s="265" t="s">
        <v>182</v>
      </c>
      <c r="S30" s="266" t="s">
        <v>172</v>
      </c>
      <c r="T30" s="267"/>
      <c r="U30" s="59"/>
      <c r="V30" s="59"/>
      <c r="W30" s="59" t="e">
        <f>(U30/V30)</f>
        <v>#DIV/0!</v>
      </c>
      <c r="X30" s="16" t="s">
        <v>172</v>
      </c>
      <c r="Y30" s="55" t="s">
        <v>185</v>
      </c>
      <c r="Z30" s="14"/>
      <c r="AA30" s="14"/>
      <c r="AB30" s="91" t="e">
        <f t="shared" si="4"/>
        <v>#DIV/0!</v>
      </c>
      <c r="AC30" s="93" t="e">
        <f>IF(AB30&gt;=90%,"CUMPLE","NO CUMPLE")</f>
        <v>#DIV/0!</v>
      </c>
      <c r="AD30" s="53"/>
    </row>
    <row r="31" spans="1:30" ht="144" hidden="1" customHeight="1" x14ac:dyDescent="0.25">
      <c r="A31" s="319"/>
      <c r="B31" s="300"/>
      <c r="C31" s="307" t="s">
        <v>38</v>
      </c>
      <c r="D31" s="242" t="s">
        <v>39</v>
      </c>
      <c r="E31" s="244" t="s">
        <v>4</v>
      </c>
      <c r="F31" s="242" t="s">
        <v>40</v>
      </c>
      <c r="G31" s="242"/>
      <c r="H31" s="200" t="s">
        <v>41</v>
      </c>
      <c r="I31" s="60" t="s">
        <v>42</v>
      </c>
      <c r="J31" s="244" t="s">
        <v>6</v>
      </c>
      <c r="K31" s="211" t="s">
        <v>168</v>
      </c>
      <c r="L31" s="160" t="s">
        <v>168</v>
      </c>
      <c r="M31" s="32" t="e">
        <f t="shared" si="2"/>
        <v>#VALUE!</v>
      </c>
      <c r="N31" s="132" t="e">
        <f t="shared" si="3"/>
        <v>#VALUE!</v>
      </c>
      <c r="O31" s="198" t="s">
        <v>172</v>
      </c>
      <c r="P31" s="172">
        <v>193.22</v>
      </c>
      <c r="Q31" s="172">
        <v>1010</v>
      </c>
      <c r="R31" s="155">
        <v>0.19130693069306931</v>
      </c>
      <c r="S31" s="154" t="s">
        <v>212</v>
      </c>
      <c r="T31" s="156" t="s">
        <v>227</v>
      </c>
      <c r="U31" s="217"/>
      <c r="V31" s="35"/>
      <c r="W31" s="61" t="e">
        <f>U31/V31</f>
        <v>#DIV/0!</v>
      </c>
      <c r="X31" s="13" t="e">
        <f>IF(W31&lt;=1,"CUMPLE","NO CUMPLE")</f>
        <v>#DIV/0!</v>
      </c>
      <c r="Y31" s="55" t="s">
        <v>185</v>
      </c>
      <c r="Z31" s="14"/>
      <c r="AA31" s="14"/>
      <c r="AB31" s="96" t="e">
        <f t="shared" si="4"/>
        <v>#DIV/0!</v>
      </c>
      <c r="AC31" s="83" t="e">
        <f>IF(AB31&lt;=1,"CUMPLE","NO CUMPLE")</f>
        <v>#DIV/0!</v>
      </c>
      <c r="AD31" s="53"/>
    </row>
    <row r="32" spans="1:30" ht="85.5" hidden="1" customHeight="1" x14ac:dyDescent="0.25">
      <c r="A32" s="319"/>
      <c r="B32" s="300"/>
      <c r="C32" s="307"/>
      <c r="D32" s="242" t="s">
        <v>43</v>
      </c>
      <c r="E32" s="62" t="s">
        <v>9</v>
      </c>
      <c r="F32" s="242" t="s">
        <v>44</v>
      </c>
      <c r="G32" s="242"/>
      <c r="H32" s="201" t="s">
        <v>14</v>
      </c>
      <c r="I32" s="60" t="s">
        <v>42</v>
      </c>
      <c r="J32" s="244" t="s">
        <v>6</v>
      </c>
      <c r="K32" s="211" t="s">
        <v>168</v>
      </c>
      <c r="L32" s="160" t="s">
        <v>168</v>
      </c>
      <c r="M32" s="32" t="e">
        <f t="shared" si="2"/>
        <v>#VALUE!</v>
      </c>
      <c r="N32" s="132" t="e">
        <f t="shared" si="3"/>
        <v>#VALUE!</v>
      </c>
      <c r="O32" s="198" t="s">
        <v>172</v>
      </c>
      <c r="P32" s="172">
        <v>73</v>
      </c>
      <c r="Q32" s="172">
        <v>73</v>
      </c>
      <c r="R32" s="157">
        <v>1</v>
      </c>
      <c r="S32" s="154" t="s">
        <v>212</v>
      </c>
      <c r="T32" s="156" t="s">
        <v>224</v>
      </c>
      <c r="U32" s="217"/>
      <c r="V32" s="35"/>
      <c r="W32" s="48" t="e">
        <f>U32/V32</f>
        <v>#DIV/0!</v>
      </c>
      <c r="X32" s="13" t="e">
        <f>IF(W32&gt;95%,"CUMPLE","NO CUMPLE")</f>
        <v>#DIV/0!</v>
      </c>
      <c r="Y32" s="55" t="s">
        <v>185</v>
      </c>
      <c r="Z32" s="14"/>
      <c r="AA32" s="14"/>
      <c r="AB32" s="91" t="e">
        <f t="shared" si="4"/>
        <v>#DIV/0!</v>
      </c>
      <c r="AC32" s="83" t="e">
        <f>IF(AB32&gt;95%,"CUMPLE","NO CUMPLE")</f>
        <v>#DIV/0!</v>
      </c>
      <c r="AD32" s="53"/>
    </row>
    <row r="33" spans="1:30" ht="147" hidden="1" customHeight="1" x14ac:dyDescent="0.25">
      <c r="A33" s="319"/>
      <c r="B33" s="300"/>
      <c r="C33" s="307"/>
      <c r="D33" s="242" t="s">
        <v>45</v>
      </c>
      <c r="E33" s="244" t="s">
        <v>9</v>
      </c>
      <c r="F33" s="11" t="s">
        <v>46</v>
      </c>
      <c r="G33" s="11"/>
      <c r="H33" s="201" t="s">
        <v>14</v>
      </c>
      <c r="I33" s="60" t="s">
        <v>42</v>
      </c>
      <c r="J33" s="244" t="s">
        <v>6</v>
      </c>
      <c r="K33" s="211" t="s">
        <v>168</v>
      </c>
      <c r="L33" s="160" t="s">
        <v>168</v>
      </c>
      <c r="M33" s="32" t="e">
        <f t="shared" si="2"/>
        <v>#VALUE!</v>
      </c>
      <c r="N33" s="132" t="e">
        <f t="shared" si="3"/>
        <v>#VALUE!</v>
      </c>
      <c r="O33" s="198" t="s">
        <v>172</v>
      </c>
      <c r="P33" s="172">
        <v>16</v>
      </c>
      <c r="Q33" s="172">
        <v>113</v>
      </c>
      <c r="R33" s="157">
        <v>0.1415929203539823</v>
      </c>
      <c r="S33" s="154" t="s">
        <v>225</v>
      </c>
      <c r="T33" s="156" t="s">
        <v>226</v>
      </c>
      <c r="U33" s="217"/>
      <c r="V33" s="35"/>
      <c r="W33" s="48" t="e">
        <f>U33/V33</f>
        <v>#DIV/0!</v>
      </c>
      <c r="X33" s="13" t="e">
        <f>IF(W33&gt;95%,"CUMPLE","NO CUMPLE")</f>
        <v>#DIV/0!</v>
      </c>
      <c r="Y33" s="55" t="s">
        <v>185</v>
      </c>
      <c r="Z33" s="14"/>
      <c r="AA33" s="14"/>
      <c r="AB33" s="91" t="e">
        <f t="shared" si="4"/>
        <v>#DIV/0!</v>
      </c>
      <c r="AC33" s="83" t="e">
        <f>IF(AB33&gt;95%,"CUMPLE","NO CUMPLE")</f>
        <v>#DIV/0!</v>
      </c>
      <c r="AD33" s="53"/>
    </row>
    <row r="34" spans="1:30" ht="82.5" hidden="1" customHeight="1" x14ac:dyDescent="0.25">
      <c r="A34" s="322"/>
      <c r="B34" s="310"/>
      <c r="C34" s="309"/>
      <c r="D34" s="281" t="s">
        <v>47</v>
      </c>
      <c r="E34" s="263" t="s">
        <v>9</v>
      </c>
      <c r="F34" s="274" t="s">
        <v>48</v>
      </c>
      <c r="G34" s="274"/>
      <c r="H34" s="283" t="s">
        <v>49</v>
      </c>
      <c r="I34" s="268" t="s">
        <v>50</v>
      </c>
      <c r="J34" s="263" t="s">
        <v>19</v>
      </c>
      <c r="K34" s="160" t="s">
        <v>168</v>
      </c>
      <c r="L34" s="160" t="s">
        <v>168</v>
      </c>
      <c r="M34" s="32" t="e">
        <f t="shared" si="2"/>
        <v>#VALUE!</v>
      </c>
      <c r="N34" s="132" t="e">
        <f t="shared" si="3"/>
        <v>#VALUE!</v>
      </c>
      <c r="O34" s="46" t="s">
        <v>172</v>
      </c>
      <c r="P34" s="269" t="s">
        <v>182</v>
      </c>
      <c r="Q34" s="269" t="s">
        <v>182</v>
      </c>
      <c r="R34" s="270" t="s">
        <v>182</v>
      </c>
      <c r="S34" s="271" t="s">
        <v>172</v>
      </c>
      <c r="T34" s="272"/>
      <c r="U34" s="59"/>
      <c r="V34" s="59"/>
      <c r="W34" s="59" t="e">
        <f>(U34/V34)</f>
        <v>#DIV/0!</v>
      </c>
      <c r="X34" s="16" t="s">
        <v>172</v>
      </c>
      <c r="Y34" s="55" t="s">
        <v>185</v>
      </c>
      <c r="Z34" s="14"/>
      <c r="AA34" s="14"/>
      <c r="AB34" s="96" t="e">
        <f t="shared" si="4"/>
        <v>#DIV/0!</v>
      </c>
      <c r="AC34" s="83" t="e">
        <f>IF(AB34&lt;4,"CUMPLE","NO CUMPLE")</f>
        <v>#DIV/0!</v>
      </c>
      <c r="AD34" s="55"/>
    </row>
    <row r="35" spans="1:30" ht="235.5" hidden="1" customHeight="1" x14ac:dyDescent="0.25">
      <c r="A35" s="319"/>
      <c r="B35" s="300"/>
      <c r="C35" s="307" t="s">
        <v>51</v>
      </c>
      <c r="D35" s="11" t="s">
        <v>52</v>
      </c>
      <c r="E35" s="241" t="s">
        <v>9</v>
      </c>
      <c r="F35" s="11" t="s">
        <v>135</v>
      </c>
      <c r="G35" s="11" t="s">
        <v>137</v>
      </c>
      <c r="H35" s="202" t="s">
        <v>136</v>
      </c>
      <c r="I35" s="42" t="s">
        <v>53</v>
      </c>
      <c r="J35" s="244" t="s">
        <v>6</v>
      </c>
      <c r="K35" s="211" t="s">
        <v>168</v>
      </c>
      <c r="L35" s="160" t="s">
        <v>168</v>
      </c>
      <c r="M35" s="32" t="e">
        <f t="shared" si="2"/>
        <v>#VALUE!</v>
      </c>
      <c r="N35" s="132" t="e">
        <f t="shared" si="3"/>
        <v>#VALUE!</v>
      </c>
      <c r="O35" s="198" t="s">
        <v>172</v>
      </c>
      <c r="P35" s="160">
        <v>100</v>
      </c>
      <c r="Q35" s="160">
        <v>100</v>
      </c>
      <c r="R35" s="160">
        <v>1</v>
      </c>
      <c r="S35" s="163" t="s">
        <v>212</v>
      </c>
      <c r="T35" s="238" t="s">
        <v>229</v>
      </c>
      <c r="U35" s="217"/>
      <c r="V35" s="35"/>
      <c r="W35" s="48" t="e">
        <f>U35/V35</f>
        <v>#DIV/0!</v>
      </c>
      <c r="X35" s="290" t="e">
        <f>IF(W35&gt;95%,"CUMPLE","NO CUMPLE")</f>
        <v>#DIV/0!</v>
      </c>
      <c r="Y35" s="130" t="s">
        <v>185</v>
      </c>
      <c r="Z35" s="15"/>
      <c r="AA35" s="15"/>
      <c r="AB35" s="97"/>
      <c r="AC35" s="87" t="str">
        <f>IF(OR(AB35&gt;5,AB35=5),"CUMPLE","NO CUMPLE")</f>
        <v>NO CUMPLE</v>
      </c>
      <c r="AD35" s="55"/>
    </row>
    <row r="36" spans="1:30" ht="341.25" customHeight="1" x14ac:dyDescent="0.25">
      <c r="A36" s="319"/>
      <c r="B36" s="300"/>
      <c r="C36" s="307"/>
      <c r="D36" s="11" t="s">
        <v>54</v>
      </c>
      <c r="E36" s="241" t="s">
        <v>4</v>
      </c>
      <c r="F36" s="11" t="s">
        <v>55</v>
      </c>
      <c r="G36" s="11" t="s">
        <v>133</v>
      </c>
      <c r="H36" s="202" t="s">
        <v>164</v>
      </c>
      <c r="I36" s="42" t="s">
        <v>56</v>
      </c>
      <c r="J36" s="244" t="s">
        <v>28</v>
      </c>
      <c r="K36" s="211">
        <v>6</v>
      </c>
      <c r="L36" s="160">
        <v>603</v>
      </c>
      <c r="M36" s="63">
        <f t="shared" si="2"/>
        <v>9.9502487562189053E-3</v>
      </c>
      <c r="N36" s="15" t="str">
        <f>IF(OR(M36&lt;3%,M36&lt;=3%),"CUMPLE","NO CUMPLE")</f>
        <v>CUMPLE</v>
      </c>
      <c r="O36" s="203" t="s">
        <v>241</v>
      </c>
      <c r="P36" s="160">
        <v>17</v>
      </c>
      <c r="Q36" s="160">
        <v>414</v>
      </c>
      <c r="R36" s="152">
        <f>P36/Q36</f>
        <v>4.1062801932367152E-2</v>
      </c>
      <c r="S36" s="144" t="str">
        <f>IF(R36&lt;=3%,"CUMPLE","NO CUMPLE")</f>
        <v>NO CUMPLE</v>
      </c>
      <c r="T36" s="238" t="s">
        <v>242</v>
      </c>
      <c r="U36" s="215">
        <v>8</v>
      </c>
      <c r="V36" s="14">
        <v>714</v>
      </c>
      <c r="W36" s="23">
        <f>(U36/V36)</f>
        <v>1.1204481792717087E-2</v>
      </c>
      <c r="X36" s="13" t="str">
        <f>IF(OR(W36&lt;3%,W36&lt;=3%),"CUMPLE","NO CUMPLE")</f>
        <v>CUMPLE</v>
      </c>
      <c r="Y36" s="64" t="s">
        <v>290</v>
      </c>
      <c r="Z36" s="132"/>
      <c r="AA36" s="132"/>
      <c r="AB36" s="91" t="e">
        <f>Z36/AA36</f>
        <v>#DIV/0!</v>
      </c>
      <c r="AC36" s="83" t="e">
        <f>IF(AB36&lt;=3%,"CUMPLE","NO CUMPLE")</f>
        <v>#DIV/0!</v>
      </c>
      <c r="AD36" s="64"/>
    </row>
    <row r="37" spans="1:30" ht="146.25" hidden="1" customHeight="1" x14ac:dyDescent="0.25">
      <c r="A37" s="319"/>
      <c r="B37" s="300"/>
      <c r="C37" s="307"/>
      <c r="D37" s="11" t="s">
        <v>57</v>
      </c>
      <c r="E37" s="241" t="s">
        <v>9</v>
      </c>
      <c r="F37" s="11" t="s">
        <v>163</v>
      </c>
      <c r="G37" s="11" t="s">
        <v>134</v>
      </c>
      <c r="H37" s="202" t="s">
        <v>109</v>
      </c>
      <c r="I37" s="42" t="s">
        <v>59</v>
      </c>
      <c r="J37" s="244" t="s">
        <v>6</v>
      </c>
      <c r="K37" s="211" t="s">
        <v>168</v>
      </c>
      <c r="L37" s="160" t="s">
        <v>168</v>
      </c>
      <c r="M37" s="32" t="e">
        <f t="shared" si="2"/>
        <v>#VALUE!</v>
      </c>
      <c r="N37" s="132" t="e">
        <f t="shared" ref="N37:N44" si="5">IF(M37&gt;80%,"CUMPLE","NO CUMPLE")</f>
        <v>#VALUE!</v>
      </c>
      <c r="O37" s="198" t="s">
        <v>172</v>
      </c>
      <c r="P37" s="162">
        <v>9702538362</v>
      </c>
      <c r="Q37" s="162">
        <v>16841300762</v>
      </c>
      <c r="R37" s="142">
        <v>0.57611573471167965</v>
      </c>
      <c r="S37" s="163" t="s">
        <v>225</v>
      </c>
      <c r="T37" s="161" t="s">
        <v>230</v>
      </c>
      <c r="U37" s="219"/>
      <c r="V37" s="65"/>
      <c r="W37" s="66" t="e">
        <f>U37/V37</f>
        <v>#DIV/0!</v>
      </c>
      <c r="X37" s="15" t="e">
        <f>IF(OR(W37&gt;90%,W37=90%),"CUMPLE","NO CUMPLE")</f>
        <v>#DIV/0!</v>
      </c>
      <c r="Y37" s="68" t="s">
        <v>185</v>
      </c>
      <c r="Z37" s="25"/>
      <c r="AA37" s="25"/>
      <c r="AB37" s="98" t="e">
        <f>Z37/AA37</f>
        <v>#DIV/0!</v>
      </c>
      <c r="AC37" s="87" t="e">
        <f>IF(OR(AB37&gt;90%,AB37=90%),"CUMPLE","NO CUMPLE")</f>
        <v>#DIV/0!</v>
      </c>
      <c r="AD37" s="67"/>
    </row>
    <row r="38" spans="1:30" ht="82.5" hidden="1" customHeight="1" x14ac:dyDescent="0.25">
      <c r="A38" s="320"/>
      <c r="B38" s="301"/>
      <c r="C38" s="306" t="s">
        <v>60</v>
      </c>
      <c r="D38" s="113" t="s">
        <v>61</v>
      </c>
      <c r="E38" s="114" t="s">
        <v>9</v>
      </c>
      <c r="F38" s="113" t="s">
        <v>62</v>
      </c>
      <c r="G38" s="113" t="s">
        <v>130</v>
      </c>
      <c r="H38" s="280" t="s">
        <v>58</v>
      </c>
      <c r="I38" s="115" t="s">
        <v>31</v>
      </c>
      <c r="J38" s="116" t="s">
        <v>19</v>
      </c>
      <c r="K38" s="160" t="s">
        <v>168</v>
      </c>
      <c r="L38" s="160" t="s">
        <v>168</v>
      </c>
      <c r="M38" s="32" t="e">
        <f t="shared" si="2"/>
        <v>#VALUE!</v>
      </c>
      <c r="N38" s="132" t="e">
        <f t="shared" si="5"/>
        <v>#VALUE!</v>
      </c>
      <c r="O38" s="46" t="s">
        <v>172</v>
      </c>
      <c r="P38" s="233" t="s">
        <v>182</v>
      </c>
      <c r="Q38" s="233" t="s">
        <v>182</v>
      </c>
      <c r="R38" s="231" t="s">
        <v>182</v>
      </c>
      <c r="S38" s="230" t="s">
        <v>172</v>
      </c>
      <c r="T38" s="233"/>
      <c r="U38" s="27"/>
      <c r="V38" s="27"/>
      <c r="W38" s="27" t="e">
        <f>(U38/V38)</f>
        <v>#DIV/0!</v>
      </c>
      <c r="X38" s="16" t="s">
        <v>172</v>
      </c>
      <c r="Y38" s="68" t="s">
        <v>185</v>
      </c>
      <c r="Z38" s="25"/>
      <c r="AA38" s="25"/>
      <c r="AB38" s="98" t="e">
        <f>Z38/AA38</f>
        <v>#DIV/0!</v>
      </c>
      <c r="AC38" s="87" t="e">
        <f>IF(OR(AB38&gt;90%),"CUMPLE","NO CUMPLE")</f>
        <v>#DIV/0!</v>
      </c>
      <c r="AD38" s="68"/>
    </row>
    <row r="39" spans="1:30" ht="82.5" hidden="1" customHeight="1" x14ac:dyDescent="0.25">
      <c r="A39" s="319"/>
      <c r="B39" s="300"/>
      <c r="C39" s="307"/>
      <c r="D39" s="11" t="s">
        <v>63</v>
      </c>
      <c r="E39" s="12" t="s">
        <v>9</v>
      </c>
      <c r="F39" s="11" t="s">
        <v>64</v>
      </c>
      <c r="G39" s="11" t="s">
        <v>131</v>
      </c>
      <c r="H39" s="50" t="s">
        <v>58</v>
      </c>
      <c r="I39" s="51" t="s">
        <v>31</v>
      </c>
      <c r="J39" s="13" t="s">
        <v>19</v>
      </c>
      <c r="K39" s="160" t="s">
        <v>168</v>
      </c>
      <c r="L39" s="160" t="s">
        <v>168</v>
      </c>
      <c r="M39" s="32" t="e">
        <f t="shared" si="2"/>
        <v>#VALUE!</v>
      </c>
      <c r="N39" s="132" t="e">
        <f t="shared" si="5"/>
        <v>#VALUE!</v>
      </c>
      <c r="O39" s="46" t="s">
        <v>172</v>
      </c>
      <c r="P39" s="173" t="s">
        <v>182</v>
      </c>
      <c r="Q39" s="173" t="s">
        <v>182</v>
      </c>
      <c r="R39" s="27" t="s">
        <v>182</v>
      </c>
      <c r="S39" s="16" t="s">
        <v>172</v>
      </c>
      <c r="T39" s="173"/>
      <c r="U39" s="27"/>
      <c r="V39" s="27"/>
      <c r="W39" s="27" t="e">
        <f>(U39/V39)</f>
        <v>#DIV/0!</v>
      </c>
      <c r="X39" s="16" t="s">
        <v>172</v>
      </c>
      <c r="Y39" s="68" t="s">
        <v>185</v>
      </c>
      <c r="Z39" s="25"/>
      <c r="AA39" s="25"/>
      <c r="AB39" s="98" t="e">
        <f>Z39/AA39</f>
        <v>#DIV/0!</v>
      </c>
      <c r="AC39" s="87" t="e">
        <f>IF(OR(AB39&gt;90%),"CUMPLE","NO CUMPLE")</f>
        <v>#DIV/0!</v>
      </c>
      <c r="AD39" s="68"/>
    </row>
    <row r="40" spans="1:30" ht="66" hidden="1" customHeight="1" x14ac:dyDescent="0.25">
      <c r="A40" s="321"/>
      <c r="B40" s="302"/>
      <c r="C40" s="308"/>
      <c r="D40" s="257" t="s">
        <v>65</v>
      </c>
      <c r="E40" s="258" t="s">
        <v>9</v>
      </c>
      <c r="F40" s="257" t="s">
        <v>66</v>
      </c>
      <c r="G40" s="257" t="s">
        <v>132</v>
      </c>
      <c r="H40" s="259" t="s">
        <v>67</v>
      </c>
      <c r="I40" s="260" t="s">
        <v>31</v>
      </c>
      <c r="J40" s="250" t="s">
        <v>19</v>
      </c>
      <c r="K40" s="160" t="s">
        <v>168</v>
      </c>
      <c r="L40" s="160" t="s">
        <v>168</v>
      </c>
      <c r="M40" s="32" t="e">
        <f t="shared" si="2"/>
        <v>#VALUE!</v>
      </c>
      <c r="N40" s="132" t="e">
        <f t="shared" si="5"/>
        <v>#VALUE!</v>
      </c>
      <c r="O40" s="46" t="s">
        <v>172</v>
      </c>
      <c r="P40" s="273" t="s">
        <v>182</v>
      </c>
      <c r="Q40" s="273" t="s">
        <v>182</v>
      </c>
      <c r="R40" s="256" t="s">
        <v>182</v>
      </c>
      <c r="S40" s="255" t="s">
        <v>172</v>
      </c>
      <c r="T40" s="273"/>
      <c r="U40" s="27"/>
      <c r="V40" s="27"/>
      <c r="W40" s="27" t="e">
        <f>(U40/V40)</f>
        <v>#DIV/0!</v>
      </c>
      <c r="X40" s="16" t="s">
        <v>172</v>
      </c>
      <c r="Y40" s="68" t="s">
        <v>185</v>
      </c>
      <c r="Z40" s="25"/>
      <c r="AA40" s="25"/>
      <c r="AB40" s="98" t="e">
        <f>Z40/AA40</f>
        <v>#DIV/0!</v>
      </c>
      <c r="AC40" s="87" t="e">
        <f>IF(OR(AB40&lt;5%),"CUMPLE","NO CUMPLE")</f>
        <v>#DIV/0!</v>
      </c>
      <c r="AD40" s="68"/>
    </row>
    <row r="41" spans="1:30" ht="132" hidden="1" customHeight="1" x14ac:dyDescent="0.25">
      <c r="A41" s="319"/>
      <c r="B41" s="300" t="s">
        <v>68</v>
      </c>
      <c r="C41" s="307"/>
      <c r="D41" s="242" t="s">
        <v>69</v>
      </c>
      <c r="E41" s="244" t="s">
        <v>9</v>
      </c>
      <c r="F41" s="242" t="s">
        <v>70</v>
      </c>
      <c r="G41" s="242" t="s">
        <v>128</v>
      </c>
      <c r="H41" s="204" t="s">
        <v>204</v>
      </c>
      <c r="I41" s="242" t="s">
        <v>71</v>
      </c>
      <c r="J41" s="244" t="s">
        <v>6</v>
      </c>
      <c r="K41" s="211" t="s">
        <v>168</v>
      </c>
      <c r="L41" s="160" t="s">
        <v>168</v>
      </c>
      <c r="M41" s="32" t="e">
        <f t="shared" si="2"/>
        <v>#VALUE!</v>
      </c>
      <c r="N41" s="132" t="e">
        <f t="shared" si="5"/>
        <v>#VALUE!</v>
      </c>
      <c r="O41" s="198" t="s">
        <v>172</v>
      </c>
      <c r="P41" s="160">
        <v>5</v>
      </c>
      <c r="Q41" s="160">
        <v>5</v>
      </c>
      <c r="R41" s="99">
        <f>(P41/Q41)</f>
        <v>1</v>
      </c>
      <c r="S41" s="148" t="str">
        <f>IF(R41&gt;95%,"CUMPLE","NO CUMPLE")</f>
        <v>CUMPLE</v>
      </c>
      <c r="T41" s="71" t="s">
        <v>231</v>
      </c>
      <c r="U41" s="220"/>
      <c r="V41" s="69"/>
      <c r="W41" s="70" t="e">
        <f>(U41/V41)</f>
        <v>#DIV/0!</v>
      </c>
      <c r="X41" s="15" t="e">
        <f>IF(W41&gt;95%,"CUMPLE","NO CUMPLE")</f>
        <v>#DIV/0!</v>
      </c>
      <c r="Y41" s="68" t="s">
        <v>185</v>
      </c>
      <c r="Z41" s="72"/>
      <c r="AA41" s="72"/>
      <c r="AB41" s="99" t="e">
        <f>(Z41/AA41)</f>
        <v>#DIV/0!</v>
      </c>
      <c r="AC41" s="87" t="e">
        <f>IF(AB41&gt;95%,"CUMPLE","NO CUMPLE")</f>
        <v>#DIV/0!</v>
      </c>
      <c r="AD41" s="71"/>
    </row>
    <row r="42" spans="1:30" ht="203.25" hidden="1" customHeight="1" x14ac:dyDescent="0.25">
      <c r="A42" s="322"/>
      <c r="B42" s="310"/>
      <c r="C42" s="309"/>
      <c r="D42" s="281" t="s">
        <v>180</v>
      </c>
      <c r="E42" s="263" t="s">
        <v>72</v>
      </c>
      <c r="F42" s="281" t="s">
        <v>181</v>
      </c>
      <c r="G42" s="281" t="s">
        <v>178</v>
      </c>
      <c r="H42" s="284" t="s">
        <v>179</v>
      </c>
      <c r="I42" s="274" t="s">
        <v>73</v>
      </c>
      <c r="J42" s="263" t="s">
        <v>19</v>
      </c>
      <c r="K42" s="160" t="s">
        <v>168</v>
      </c>
      <c r="L42" s="160" t="s">
        <v>168</v>
      </c>
      <c r="M42" s="32" t="e">
        <f t="shared" si="2"/>
        <v>#VALUE!</v>
      </c>
      <c r="N42" s="132" t="e">
        <f t="shared" si="5"/>
        <v>#VALUE!</v>
      </c>
      <c r="O42" s="46" t="s">
        <v>172</v>
      </c>
      <c r="P42" s="275" t="s">
        <v>182</v>
      </c>
      <c r="Q42" s="276" t="s">
        <v>182</v>
      </c>
      <c r="R42" s="277" t="s">
        <v>182</v>
      </c>
      <c r="S42" s="266" t="s">
        <v>172</v>
      </c>
      <c r="T42" s="267"/>
      <c r="U42" s="27"/>
      <c r="V42" s="27"/>
      <c r="W42" s="27"/>
      <c r="X42" s="16" t="s">
        <v>172</v>
      </c>
      <c r="Y42" s="68" t="s">
        <v>185</v>
      </c>
      <c r="Z42" s="73"/>
      <c r="AA42" s="73"/>
      <c r="AB42" s="104">
        <v>2.0000000000000001E-4</v>
      </c>
      <c r="AC42" s="87" t="str">
        <f>IF(AB42&lt;=2%,"CUMPLE","NO CUMPLE")</f>
        <v>CUMPLE</v>
      </c>
      <c r="AD42" s="21"/>
    </row>
    <row r="43" spans="1:30" ht="207" customHeight="1" x14ac:dyDescent="0.25">
      <c r="A43" s="319"/>
      <c r="B43" s="331" t="s">
        <v>74</v>
      </c>
      <c r="C43" s="328"/>
      <c r="D43" s="11" t="s">
        <v>75</v>
      </c>
      <c r="E43" s="241" t="s">
        <v>9</v>
      </c>
      <c r="F43" s="11" t="s">
        <v>243</v>
      </c>
      <c r="G43" s="11" t="s">
        <v>108</v>
      </c>
      <c r="H43" s="189" t="s">
        <v>109</v>
      </c>
      <c r="I43" s="11" t="s">
        <v>76</v>
      </c>
      <c r="J43" s="244" t="s">
        <v>28</v>
      </c>
      <c r="K43" s="221">
        <v>605</v>
      </c>
      <c r="L43" s="168">
        <v>606</v>
      </c>
      <c r="M43" s="164">
        <f>K43/L43</f>
        <v>0.99834983498349839</v>
      </c>
      <c r="N43" s="132" t="str">
        <f t="shared" si="5"/>
        <v>CUMPLE</v>
      </c>
      <c r="O43" s="198" t="s">
        <v>244</v>
      </c>
      <c r="P43" s="168">
        <v>167</v>
      </c>
      <c r="Q43" s="168">
        <v>180</v>
      </c>
      <c r="R43" s="143">
        <f>P43/Q43</f>
        <v>0.92777777777777781</v>
      </c>
      <c r="S43" s="160" t="str">
        <f>IF(OR(R43&gt;90%,R43=90%),"CUMPLE","NO CUMPLE")</f>
        <v>CUMPLE</v>
      </c>
      <c r="T43" s="71" t="s">
        <v>260</v>
      </c>
      <c r="U43" s="285">
        <v>221</v>
      </c>
      <c r="V43" s="72">
        <v>232</v>
      </c>
      <c r="W43" s="143">
        <f>U43/V43</f>
        <v>0.95258620689655171</v>
      </c>
      <c r="X43" s="15" t="str">
        <f>IF(OR(W43&gt;90%,W43=90%),"CUMPLE","NO CUMPLE")</f>
        <v>CUMPLE</v>
      </c>
      <c r="Y43" s="68" t="s">
        <v>299</v>
      </c>
      <c r="Z43" s="72"/>
      <c r="AA43" s="72"/>
      <c r="AB43" s="100" t="e">
        <f>Z43/AA43</f>
        <v>#DIV/0!</v>
      </c>
      <c r="AC43" s="87" t="e">
        <f>IF(OR(AB43&gt;90%,AB43=90%),"CUMPLE","NO CUMPLE")</f>
        <v>#DIV/0!</v>
      </c>
      <c r="AD43" s="68"/>
    </row>
    <row r="44" spans="1:30" ht="26.25" hidden="1" customHeight="1" x14ac:dyDescent="0.25">
      <c r="A44" s="319"/>
      <c r="B44" s="332"/>
      <c r="C44" s="329"/>
      <c r="D44" s="242" t="s">
        <v>77</v>
      </c>
      <c r="E44" s="241" t="s">
        <v>9</v>
      </c>
      <c r="F44" s="11" t="s">
        <v>110</v>
      </c>
      <c r="G44" s="11" t="s">
        <v>111</v>
      </c>
      <c r="H44" s="205" t="s">
        <v>112</v>
      </c>
      <c r="I44" s="11" t="s">
        <v>76</v>
      </c>
      <c r="J44" s="244" t="s">
        <v>6</v>
      </c>
      <c r="K44" s="211" t="s">
        <v>168</v>
      </c>
      <c r="L44" s="160" t="s">
        <v>168</v>
      </c>
      <c r="M44" s="32" t="e">
        <f>(K44/L44)</f>
        <v>#VALUE!</v>
      </c>
      <c r="N44" s="132" t="e">
        <f t="shared" si="5"/>
        <v>#VALUE!</v>
      </c>
      <c r="O44" s="198" t="s">
        <v>172</v>
      </c>
      <c r="P44" s="73" t="s">
        <v>182</v>
      </c>
      <c r="Q44" s="73" t="s">
        <v>182</v>
      </c>
      <c r="R44" s="27"/>
      <c r="S44" s="160" t="s">
        <v>189</v>
      </c>
      <c r="T44" s="71" t="s">
        <v>232</v>
      </c>
      <c r="U44" s="224" t="s">
        <v>182</v>
      </c>
      <c r="V44" s="26" t="s">
        <v>182</v>
      </c>
      <c r="W44" s="33">
        <v>1</v>
      </c>
      <c r="X44" s="15" t="str">
        <f>IF(OR(W44&lt;3,W44=3),"CUMPLE","NO CUMPLE")</f>
        <v>CUMPLE</v>
      </c>
      <c r="Y44" s="68" t="s">
        <v>292</v>
      </c>
      <c r="Z44" s="73">
        <v>0</v>
      </c>
      <c r="AA44" s="73" t="s">
        <v>213</v>
      </c>
      <c r="AB44" s="101">
        <v>0</v>
      </c>
      <c r="AC44" s="87" t="str">
        <f>IF(OR(AB44&lt;3,AB44=3),"CUMPLE","NO CUMPLE")</f>
        <v>CUMPLE</v>
      </c>
      <c r="AD44" s="68"/>
    </row>
    <row r="45" spans="1:30" ht="324.75" customHeight="1" x14ac:dyDescent="0.25">
      <c r="A45" s="319"/>
      <c r="B45" s="332"/>
      <c r="C45" s="329"/>
      <c r="D45" s="118" t="s">
        <v>113</v>
      </c>
      <c r="E45" s="119" t="s">
        <v>9</v>
      </c>
      <c r="F45" s="118" t="s">
        <v>114</v>
      </c>
      <c r="G45" s="118" t="s">
        <v>118</v>
      </c>
      <c r="H45" s="206" t="s">
        <v>186</v>
      </c>
      <c r="I45" s="120" t="s">
        <v>116</v>
      </c>
      <c r="J45" s="121" t="s">
        <v>28</v>
      </c>
      <c r="K45" s="211" t="s">
        <v>7</v>
      </c>
      <c r="L45" s="160" t="s">
        <v>7</v>
      </c>
      <c r="M45" s="169">
        <v>635</v>
      </c>
      <c r="N45" s="133" t="str">
        <f>IF(OR(M45&lt;2000,M45=2000),"CUMPLE","NO CUMPLE")</f>
        <v>CUMPLE</v>
      </c>
      <c r="O45" s="209" t="s">
        <v>219</v>
      </c>
      <c r="P45" s="160" t="s">
        <v>182</v>
      </c>
      <c r="Q45" s="160" t="s">
        <v>182</v>
      </c>
      <c r="R45" s="74">
        <v>671</v>
      </c>
      <c r="S45" s="160" t="str">
        <f>IF(OR(R45&gt;900,R45=900),"CUMPLE","NO CUMPLE")</f>
        <v>NO CUMPLE</v>
      </c>
      <c r="T45" s="239" t="s">
        <v>280</v>
      </c>
      <c r="U45" s="211" t="s">
        <v>182</v>
      </c>
      <c r="V45" s="15" t="s">
        <v>182</v>
      </c>
      <c r="W45" s="75">
        <v>1719</v>
      </c>
      <c r="X45" s="15" t="str">
        <f>IF(OR(W45&gt;1200,W45=1200),"CUMPLE","NO CUMPLE")</f>
        <v>CUMPLE</v>
      </c>
      <c r="Y45" s="76" t="s">
        <v>293</v>
      </c>
      <c r="Z45" s="123"/>
      <c r="AA45" s="123"/>
      <c r="AB45" s="124"/>
      <c r="AC45" s="125"/>
      <c r="AD45" s="126"/>
    </row>
    <row r="46" spans="1:30" ht="321" customHeight="1" x14ac:dyDescent="0.25">
      <c r="A46" s="319"/>
      <c r="B46" s="332"/>
      <c r="C46" s="329"/>
      <c r="D46" s="122" t="s">
        <v>78</v>
      </c>
      <c r="E46" s="119" t="s">
        <v>4</v>
      </c>
      <c r="F46" s="122" t="s">
        <v>156</v>
      </c>
      <c r="G46" s="122" t="s">
        <v>117</v>
      </c>
      <c r="H46" s="207" t="s">
        <v>187</v>
      </c>
      <c r="I46" s="120" t="s">
        <v>116</v>
      </c>
      <c r="J46" s="121" t="s">
        <v>28</v>
      </c>
      <c r="K46" s="293">
        <f>(1360-737)</f>
        <v>623</v>
      </c>
      <c r="L46" s="54">
        <v>1360</v>
      </c>
      <c r="M46" s="294">
        <f>(K46/L46)</f>
        <v>0.45808823529411763</v>
      </c>
      <c r="N46" s="133" t="str">
        <f>IF(OR(M46&gt;10%,M46=10%),"CUMPLE","NO CUMPLE")</f>
        <v>CUMPLE</v>
      </c>
      <c r="O46" s="209" t="s">
        <v>220</v>
      </c>
      <c r="P46" s="160">
        <f>(737-589)</f>
        <v>148</v>
      </c>
      <c r="Q46" s="160">
        <v>737</v>
      </c>
      <c r="R46" s="141">
        <f>(P46/Q46)</f>
        <v>0.20081411126187246</v>
      </c>
      <c r="S46" s="160" t="str">
        <f>IF(OR(R46&gt;30%,R46=30%),"CUMPLE","NO CUMPLE")</f>
        <v>NO CUMPLE</v>
      </c>
      <c r="T46" s="240" t="s">
        <v>279</v>
      </c>
      <c r="U46" s="215">
        <v>-82</v>
      </c>
      <c r="V46" s="14">
        <v>589</v>
      </c>
      <c r="W46" s="32">
        <f>(U46/V46)</f>
        <v>-0.13921901528013583</v>
      </c>
      <c r="X46" s="15" t="str">
        <f>IF(OR(W46&gt;10%,W46=10%),"CUMPLE","NO CUMPLE")</f>
        <v>NO CUMPLE</v>
      </c>
      <c r="Y46" s="76" t="s">
        <v>294</v>
      </c>
      <c r="Z46" s="54"/>
      <c r="AA46" s="54"/>
      <c r="AB46" s="4"/>
      <c r="AC46" s="128"/>
      <c r="AD46" s="127"/>
    </row>
    <row r="47" spans="1:30" ht="326.25" customHeight="1" x14ac:dyDescent="0.25">
      <c r="A47" s="319"/>
      <c r="B47" s="332"/>
      <c r="C47" s="330"/>
      <c r="D47" s="122" t="s">
        <v>79</v>
      </c>
      <c r="E47" s="119" t="s">
        <v>4</v>
      </c>
      <c r="F47" s="122" t="s">
        <v>115</v>
      </c>
      <c r="G47" s="122" t="s">
        <v>117</v>
      </c>
      <c r="H47" s="206" t="s">
        <v>129</v>
      </c>
      <c r="I47" s="120" t="s">
        <v>116</v>
      </c>
      <c r="J47" s="119" t="s">
        <v>28</v>
      </c>
      <c r="K47" s="222" t="s">
        <v>221</v>
      </c>
      <c r="L47" s="78" t="s">
        <v>222</v>
      </c>
      <c r="M47" s="139">
        <f>(K47/L47)</f>
        <v>17.748372093023256</v>
      </c>
      <c r="N47" s="133" t="str">
        <f>IF(M47&lt;25,"CUMPLE","NO CUMPLE")</f>
        <v>CUMPLE</v>
      </c>
      <c r="O47" s="203" t="s">
        <v>223</v>
      </c>
      <c r="P47" s="160">
        <v>35353</v>
      </c>
      <c r="Q47" s="160">
        <v>1036</v>
      </c>
      <c r="R47" s="188">
        <f>(P47/Q47)</f>
        <v>34.124517374517374</v>
      </c>
      <c r="S47" s="160" t="str">
        <f>IF(OR(R47&lt;25,R47=25),"CUMPLE","NO CUMPLE")</f>
        <v>NO CUMPLE</v>
      </c>
      <c r="T47" s="240" t="s">
        <v>277</v>
      </c>
      <c r="U47" s="225">
        <v>75530</v>
      </c>
      <c r="V47" s="77">
        <v>4832</v>
      </c>
      <c r="W47" s="292">
        <f>(U47/V47)</f>
        <v>15.631208609271523</v>
      </c>
      <c r="X47" s="15" t="str">
        <f>IF(OR(W47&lt;25,W47=25),"CUMPLE","NO CUMPLE")</f>
        <v>CUMPLE</v>
      </c>
      <c r="Y47" s="296" t="s">
        <v>298</v>
      </c>
      <c r="Z47" s="123"/>
      <c r="AA47" s="123"/>
      <c r="AB47" s="135"/>
      <c r="AC47" s="125"/>
      <c r="AD47" s="127"/>
    </row>
    <row r="48" spans="1:30" ht="312.75" customHeight="1" x14ac:dyDescent="0.25">
      <c r="A48" s="319"/>
      <c r="B48" s="333" t="s">
        <v>80</v>
      </c>
      <c r="C48" s="307"/>
      <c r="D48" s="113" t="s">
        <v>142</v>
      </c>
      <c r="E48" s="114" t="s">
        <v>9</v>
      </c>
      <c r="F48" s="113" t="s">
        <v>191</v>
      </c>
      <c r="G48" s="113" t="s">
        <v>157</v>
      </c>
      <c r="H48" s="208" t="s">
        <v>190</v>
      </c>
      <c r="I48" s="51" t="s">
        <v>177</v>
      </c>
      <c r="J48" s="244" t="s">
        <v>28</v>
      </c>
      <c r="K48" s="211">
        <v>34</v>
      </c>
      <c r="L48" s="160">
        <v>40</v>
      </c>
      <c r="M48" s="32">
        <f>(K48/L48)</f>
        <v>0.85</v>
      </c>
      <c r="N48" s="15" t="str">
        <f>IF(OR(M48&gt;85%,M48=85%),"CUMPLE","NO CUMPLE")</f>
        <v>CUMPLE</v>
      </c>
      <c r="O48" s="191" t="s">
        <v>248</v>
      </c>
      <c r="P48" s="160">
        <v>12</v>
      </c>
      <c r="Q48" s="160">
        <v>15</v>
      </c>
      <c r="R48" s="158">
        <f>(P48/Q48)</f>
        <v>0.8</v>
      </c>
      <c r="S48" s="160" t="str">
        <f>IF(OR(R48&gt;85%,R48=85%),"CUMPLE","NO CUMPLE")</f>
        <v>NO CUMPLE</v>
      </c>
      <c r="T48" s="161" t="s">
        <v>278</v>
      </c>
      <c r="U48" s="14">
        <v>9</v>
      </c>
      <c r="V48" s="14">
        <v>12</v>
      </c>
      <c r="W48" s="32">
        <f>(U48/V48)</f>
        <v>0.75</v>
      </c>
      <c r="X48" s="15" t="str">
        <f>IF(OR(W48&gt;85%,W48=85%),"CUMPLE","NO CUMPLE")</f>
        <v>NO CUMPLE</v>
      </c>
      <c r="Y48" s="21" t="s">
        <v>296</v>
      </c>
      <c r="Z48" s="117"/>
      <c r="AA48" s="117"/>
      <c r="AB48" s="4"/>
      <c r="AC48" s="87"/>
      <c r="AD48" s="21"/>
    </row>
    <row r="49" spans="1:30" ht="186.75" customHeight="1" thickBot="1" x14ac:dyDescent="0.3">
      <c r="A49" s="319"/>
      <c r="B49" s="333"/>
      <c r="C49" s="307"/>
      <c r="D49" s="11" t="s">
        <v>143</v>
      </c>
      <c r="E49" s="241" t="s">
        <v>9</v>
      </c>
      <c r="F49" s="11" t="s">
        <v>144</v>
      </c>
      <c r="G49" s="11" t="s">
        <v>158</v>
      </c>
      <c r="H49" s="202">
        <v>1</v>
      </c>
      <c r="I49" s="51" t="s">
        <v>81</v>
      </c>
      <c r="J49" s="244" t="s">
        <v>28</v>
      </c>
      <c r="K49" s="223">
        <v>8</v>
      </c>
      <c r="L49" s="81">
        <v>8</v>
      </c>
      <c r="M49" s="80">
        <f>(K49/L49)</f>
        <v>1</v>
      </c>
      <c r="N49" s="81" t="str">
        <f>IF(M49=H49,"CUMPLE","NO CUMPLE")</f>
        <v>CUMPLE</v>
      </c>
      <c r="O49" s="210" t="s">
        <v>249</v>
      </c>
      <c r="P49" s="160">
        <v>12</v>
      </c>
      <c r="Q49" s="160">
        <v>12</v>
      </c>
      <c r="R49" s="158">
        <f>(P49/Q49)</f>
        <v>1</v>
      </c>
      <c r="S49" s="160" t="str">
        <f>IF(R49=M49,"CUMPLE","NO CUMPLE")</f>
        <v>CUMPLE</v>
      </c>
      <c r="T49" s="161" t="s">
        <v>250</v>
      </c>
      <c r="U49" s="226">
        <v>14</v>
      </c>
      <c r="V49" s="79">
        <v>14</v>
      </c>
      <c r="W49" s="80">
        <f>(U49/V49)</f>
        <v>1</v>
      </c>
      <c r="X49" s="81" t="str">
        <f>IF(W49=R49,"CUMPLE","NO CUMPLE")</f>
        <v>CUMPLE</v>
      </c>
      <c r="Y49" s="82" t="s">
        <v>295</v>
      </c>
      <c r="Z49" s="79"/>
      <c r="AA49" s="79"/>
      <c r="AB49" s="102"/>
      <c r="AC49" s="103"/>
      <c r="AD49" s="82"/>
    </row>
  </sheetData>
  <autoFilter ref="A5:AD49" xr:uid="{29CB84A0-7567-4C7E-8950-826718F5317D}">
    <filterColumn colId="9">
      <filters>
        <filter val="Anual con reporte al primer trimestre del año, en razon a que los cortes de evaluacion son a 31 de enero y 30 de diciembre."/>
        <filter val="Trimestral"/>
      </filters>
    </filterColumn>
    <filterColumn colId="12" showButton="0"/>
    <filterColumn colId="27" showButton="0"/>
  </autoFilter>
  <mergeCells count="43">
    <mergeCell ref="M5:N5"/>
    <mergeCell ref="A23:A49"/>
    <mergeCell ref="A4:A5"/>
    <mergeCell ref="D17:D20"/>
    <mergeCell ref="C21:C22"/>
    <mergeCell ref="D29:D30"/>
    <mergeCell ref="C48:C49"/>
    <mergeCell ref="C43:C47"/>
    <mergeCell ref="B43:B47"/>
    <mergeCell ref="B48:B49"/>
    <mergeCell ref="J4:J5"/>
    <mergeCell ref="A3:B3"/>
    <mergeCell ref="C38:C40"/>
    <mergeCell ref="C17:C20"/>
    <mergeCell ref="C41:C42"/>
    <mergeCell ref="B41:B42"/>
    <mergeCell ref="C23:C25"/>
    <mergeCell ref="C26:C27"/>
    <mergeCell ref="C35:C37"/>
    <mergeCell ref="B13:B22"/>
    <mergeCell ref="C13:C16"/>
    <mergeCell ref="B23:B40"/>
    <mergeCell ref="C31:C34"/>
    <mergeCell ref="C28:C30"/>
    <mergeCell ref="A6:A12"/>
    <mergeCell ref="A13:A22"/>
    <mergeCell ref="C1:S3"/>
    <mergeCell ref="Z4:AD4"/>
    <mergeCell ref="AB5:AC5"/>
    <mergeCell ref="D13:D15"/>
    <mergeCell ref="B6:B12"/>
    <mergeCell ref="C6:C7"/>
    <mergeCell ref="C8:C12"/>
    <mergeCell ref="U4:Y4"/>
    <mergeCell ref="B4:B5"/>
    <mergeCell ref="C4:C5"/>
    <mergeCell ref="D4:D5"/>
    <mergeCell ref="E4:E5"/>
    <mergeCell ref="F4:F5"/>
    <mergeCell ref="G4:G5"/>
    <mergeCell ref="H4:H5"/>
    <mergeCell ref="I4:I5"/>
    <mergeCell ref="K4:O4"/>
  </mergeCells>
  <conditionalFormatting sqref="N7:N12 S47 X47 N21:N25 N27 N36 AC47:AC49 N48:N49 AC21:AC45">
    <cfRule type="containsText" dxfId="198" priority="378" operator="containsText" text="NO CUMPLE">
      <formula>NOT(ISERROR(SEARCH("NO CUMPLE",N7)))</formula>
    </cfRule>
    <cfRule type="containsText" dxfId="197" priority="379" operator="containsText" text="CUMPLE">
      <formula>NOT(ISERROR(SEARCH("CUMPLE",N7)))</formula>
    </cfRule>
  </conditionalFormatting>
  <conditionalFormatting sqref="S23">
    <cfRule type="containsText" dxfId="196" priority="372" operator="containsText" text="NO CUMPLE">
      <formula>NOT(ISERROR(SEARCH("NO CUMPLE",S23)))</formula>
    </cfRule>
    <cfRule type="containsText" dxfId="195" priority="373" operator="containsText" text="CUMPLE">
      <formula>NOT(ISERROR(SEARCH("CUMPLE",S23)))</formula>
    </cfRule>
  </conditionalFormatting>
  <conditionalFormatting sqref="S35">
    <cfRule type="containsText" dxfId="194" priority="370" operator="containsText" text="NO CUMPLE">
      <formula>NOT(ISERROR(SEARCH("NO CUMPLE",S35)))</formula>
    </cfRule>
    <cfRule type="containsText" dxfId="193" priority="371" operator="containsText" text="CUMPLE">
      <formula>NOT(ISERROR(SEARCH("CUMPLE",S35)))</formula>
    </cfRule>
  </conditionalFormatting>
  <conditionalFormatting sqref="S29">
    <cfRule type="containsText" dxfId="192" priority="368" operator="containsText" text="NO CUMPLE">
      <formula>NOT(ISERROR(SEARCH("NO CUMPLE",S29)))</formula>
    </cfRule>
    <cfRule type="containsText" dxfId="191" priority="369" operator="containsText" text="CUMPLE">
      <formula>NOT(ISERROR(SEARCH("CUMPLE",S29)))</formula>
    </cfRule>
  </conditionalFormatting>
  <conditionalFormatting sqref="S37">
    <cfRule type="containsText" dxfId="190" priority="358" operator="containsText" text="NO CUMPLE">
      <formula>NOT(ISERROR(SEARCH("NO CUMPLE",S37)))</formula>
    </cfRule>
    <cfRule type="containsText" dxfId="189" priority="359" operator="containsText" text="CUMPLE">
      <formula>NOT(ISERROR(SEARCH("CUMPLE",S37)))</formula>
    </cfRule>
  </conditionalFormatting>
  <conditionalFormatting sqref="S43">
    <cfRule type="containsText" dxfId="188" priority="352" operator="containsText" text="NO CUMPLE">
      <formula>NOT(ISERROR(SEARCH("NO CUMPLE",S43)))</formula>
    </cfRule>
    <cfRule type="containsText" dxfId="187" priority="353" operator="containsText" text="CUMPLE">
      <formula>NOT(ISERROR(SEARCH("CUMPLE",S43)))</formula>
    </cfRule>
  </conditionalFormatting>
  <conditionalFormatting sqref="S45">
    <cfRule type="containsText" dxfId="186" priority="350" operator="containsText" text="NO CUMPLE">
      <formula>NOT(ISERROR(SEARCH("NO CUMPLE",S45)))</formula>
    </cfRule>
    <cfRule type="containsText" dxfId="185" priority="351" operator="containsText" text="CUMPLE">
      <formula>NOT(ISERROR(SEARCH("CUMPLE",S45)))</formula>
    </cfRule>
  </conditionalFormatting>
  <conditionalFormatting sqref="S46">
    <cfRule type="containsText" dxfId="184" priority="348" operator="containsText" text="NO CUMPLE">
      <formula>NOT(ISERROR(SEARCH("NO CUMPLE",S46)))</formula>
    </cfRule>
    <cfRule type="containsText" dxfId="183" priority="349" operator="containsText" text="CUMPLE">
      <formula>NOT(ISERROR(SEARCH("CUMPLE",S46)))</formula>
    </cfRule>
  </conditionalFormatting>
  <conditionalFormatting sqref="S49">
    <cfRule type="containsText" dxfId="182" priority="342" operator="containsText" text="NO CUMPLE">
      <formula>NOT(ISERROR(SEARCH("NO CUMPLE",S49)))</formula>
    </cfRule>
    <cfRule type="containsText" dxfId="181" priority="343" operator="containsText" text="CUMPLE">
      <formula>NOT(ISERROR(SEARCH("CUMPLE",S49)))</formula>
    </cfRule>
  </conditionalFormatting>
  <conditionalFormatting sqref="S6">
    <cfRule type="containsText" dxfId="180" priority="299" operator="containsText" text="CUMPLE">
      <formula>NOT(ISERROR(SEARCH("CUMPLE",S6)))</formula>
    </cfRule>
    <cfRule type="containsText" dxfId="179" priority="338" operator="containsText" text="NO CUMPLE">
      <formula>NOT(ISERROR(SEARCH("NO CUMPLE",S6)))</formula>
    </cfRule>
  </conditionalFormatting>
  <conditionalFormatting sqref="S7">
    <cfRule type="containsText" dxfId="178" priority="300" operator="containsText" text="CUMPLE">
      <formula>NOT(ISERROR(SEARCH("CUMPLE",S7)))</formula>
    </cfRule>
    <cfRule type="containsText" dxfId="177" priority="337" operator="containsText" text="NO CUMPLE">
      <formula>NOT(ISERROR(SEARCH("NO CUMPLE",S7)))</formula>
    </cfRule>
  </conditionalFormatting>
  <conditionalFormatting sqref="S8">
    <cfRule type="containsText" dxfId="176" priority="301" operator="containsText" text="CUMPLE">
      <formula>NOT(ISERROR(SEARCH("CUMPLE",S8)))</formula>
    </cfRule>
    <cfRule type="containsText" dxfId="175" priority="11" operator="containsText" text="NO CUMPLE">
      <formula>NOT(ISERROR(SEARCH("NO CUMPLE",S8)))</formula>
    </cfRule>
  </conditionalFormatting>
  <conditionalFormatting sqref="S42">
    <cfRule type="containsText" dxfId="174" priority="332" operator="containsText" text="NO CUMPLE">
      <formula>NOT(ISERROR(SEARCH("NO CUMPLE",S42)))</formula>
    </cfRule>
    <cfRule type="containsText" dxfId="173" priority="333" operator="containsText" text="CUMPLE">
      <formula>NOT(ISERROR(SEARCH("CUMPLE",S42)))</formula>
    </cfRule>
  </conditionalFormatting>
  <conditionalFormatting sqref="S40">
    <cfRule type="containsText" dxfId="172" priority="330" operator="containsText" text="NO CUMPLE">
      <formula>NOT(ISERROR(SEARCH("NO CUMPLE",S40)))</formula>
    </cfRule>
    <cfRule type="containsText" dxfId="171" priority="331" operator="containsText" text="CUMPLE">
      <formula>NOT(ISERROR(SEARCH("CUMPLE",S40)))</formula>
    </cfRule>
  </conditionalFormatting>
  <conditionalFormatting sqref="S39">
    <cfRule type="containsText" dxfId="170" priority="328" operator="containsText" text="NO CUMPLE">
      <formula>NOT(ISERROR(SEARCH("NO CUMPLE",S39)))</formula>
    </cfRule>
    <cfRule type="containsText" dxfId="169" priority="329" operator="containsText" text="CUMPLE">
      <formula>NOT(ISERROR(SEARCH("CUMPLE",S39)))</formula>
    </cfRule>
  </conditionalFormatting>
  <conditionalFormatting sqref="S38">
    <cfRule type="containsText" dxfId="168" priority="326" operator="containsText" text="NO CUMPLE">
      <formula>NOT(ISERROR(SEARCH("NO CUMPLE",S38)))</formula>
    </cfRule>
    <cfRule type="containsText" dxfId="167" priority="327" operator="containsText" text="CUMPLE">
      <formula>NOT(ISERROR(SEARCH("CUMPLE",S38)))</formula>
    </cfRule>
  </conditionalFormatting>
  <conditionalFormatting sqref="S34">
    <cfRule type="containsText" dxfId="166" priority="324" operator="containsText" text="NO CUMPLE">
      <formula>NOT(ISERROR(SEARCH("NO CUMPLE",S34)))</formula>
    </cfRule>
    <cfRule type="containsText" dxfId="165" priority="325" operator="containsText" text="CUMPLE">
      <formula>NOT(ISERROR(SEARCH("CUMPLE",S34)))</formula>
    </cfRule>
  </conditionalFormatting>
  <conditionalFormatting sqref="S33">
    <cfRule type="containsText" dxfId="164" priority="322" operator="containsText" text="NO CUMPLE">
      <formula>NOT(ISERROR(SEARCH("NO CUMPLE",S33)))</formula>
    </cfRule>
    <cfRule type="containsText" dxfId="163" priority="323" operator="containsText" text="CUMPLE">
      <formula>NOT(ISERROR(SEARCH("CUMPLE",S33)))</formula>
    </cfRule>
  </conditionalFormatting>
  <conditionalFormatting sqref="S32">
    <cfRule type="containsText" dxfId="162" priority="320" operator="containsText" text="NO CUMPLE">
      <formula>NOT(ISERROR(SEARCH("NO CUMPLE",S32)))</formula>
    </cfRule>
    <cfRule type="containsText" dxfId="161" priority="321" operator="containsText" text="CUMPLE">
      <formula>NOT(ISERROR(SEARCH("CUMPLE",S32)))</formula>
    </cfRule>
  </conditionalFormatting>
  <conditionalFormatting sqref="S31">
    <cfRule type="containsText" dxfId="160" priority="318" operator="containsText" text="NO CUMPLE">
      <formula>NOT(ISERROR(SEARCH("NO CUMPLE",S31)))</formula>
    </cfRule>
    <cfRule type="containsText" dxfId="159" priority="319" operator="containsText" text="CUMPLE">
      <formula>NOT(ISERROR(SEARCH("CUMPLE",S31)))</formula>
    </cfRule>
  </conditionalFormatting>
  <conditionalFormatting sqref="S30">
    <cfRule type="containsText" dxfId="158" priority="316" operator="containsText" text="NO CUMPLE">
      <formula>NOT(ISERROR(SEARCH("NO CUMPLE",S30)))</formula>
    </cfRule>
    <cfRule type="containsText" dxfId="157" priority="317" operator="containsText" text="CUMPLE">
      <formula>NOT(ISERROR(SEARCH("CUMPLE",S30)))</formula>
    </cfRule>
  </conditionalFormatting>
  <conditionalFormatting sqref="S25">
    <cfRule type="containsText" dxfId="156" priority="312" operator="containsText" text="NO CUMPLE">
      <formula>NOT(ISERROR(SEARCH("NO CUMPLE",S25)))</formula>
    </cfRule>
    <cfRule type="containsText" dxfId="155" priority="313" operator="containsText" text="CUMPLE">
      <formula>NOT(ISERROR(SEARCH("CUMPLE",S25)))</formula>
    </cfRule>
  </conditionalFormatting>
  <conditionalFormatting sqref="S24">
    <cfRule type="containsText" dxfId="154" priority="310" operator="containsText" text="NO CUMPLE">
      <formula>NOT(ISERROR(SEARCH("NO CUMPLE",S24)))</formula>
    </cfRule>
    <cfRule type="containsText" dxfId="153" priority="311" operator="containsText" text="CUMPLE">
      <formula>NOT(ISERROR(SEARCH("CUMPLE",S24)))</formula>
    </cfRule>
  </conditionalFormatting>
  <conditionalFormatting sqref="S10">
    <cfRule type="containsText" dxfId="152" priority="304" operator="containsText" text="NO CUMPLE">
      <formula>NOT(ISERROR(SEARCH("NO CUMPLE",S10)))</formula>
    </cfRule>
    <cfRule type="containsText" dxfId="151" priority="305" operator="containsText" text="CUMPLE">
      <formula>NOT(ISERROR(SEARCH("CUMPLE",S10)))</formula>
    </cfRule>
  </conditionalFormatting>
  <conditionalFormatting sqref="S9">
    <cfRule type="containsText" dxfId="150" priority="302" operator="containsText" text="NO CUMPLE">
      <formula>NOT(ISERROR(SEARCH("NO CUMPLE",S9)))</formula>
    </cfRule>
    <cfRule type="containsText" dxfId="149" priority="303" operator="containsText" text="CUMPLE">
      <formula>NOT(ISERROR(SEARCH("CUMPLE",S9)))</formula>
    </cfRule>
  </conditionalFormatting>
  <conditionalFormatting sqref="X26:X27">
    <cfRule type="containsText" dxfId="148" priority="297" operator="containsText" text="NO CUMPLE">
      <formula>NOT(ISERROR(SEARCH("NO CUMPLE",X26)))</formula>
    </cfRule>
    <cfRule type="containsText" dxfId="147" priority="298" operator="containsText" text="CUMPLE">
      <formula>NOT(ISERROR(SEARCH("CUMPLE",X26)))</formula>
    </cfRule>
  </conditionalFormatting>
  <conditionalFormatting sqref="X23">
    <cfRule type="containsText" dxfId="146" priority="295" operator="containsText" text="NO CUMPLE">
      <formula>NOT(ISERROR(SEARCH("NO CUMPLE",X23)))</formula>
    </cfRule>
    <cfRule type="containsText" dxfId="145" priority="296" operator="containsText" text="CUMPLE">
      <formula>NOT(ISERROR(SEARCH("CUMPLE",X23)))</formula>
    </cfRule>
  </conditionalFormatting>
  <conditionalFormatting sqref="X22">
    <cfRule type="containsText" dxfId="144" priority="289" operator="containsText" text="NO CUMPLE">
      <formula>NOT(ISERROR(SEARCH("NO CUMPLE",X22)))</formula>
    </cfRule>
    <cfRule type="containsText" dxfId="143" priority="290" operator="containsText" text="CUMPLE">
      <formula>NOT(ISERROR(SEARCH("CUMPLE",X22)))</formula>
    </cfRule>
  </conditionalFormatting>
  <conditionalFormatting sqref="X12">
    <cfRule type="containsText" dxfId="142" priority="287" operator="containsText" text="NO CUMPLE">
      <formula>NOT(ISERROR(SEARCH("NO CUMPLE",X12)))</formula>
    </cfRule>
    <cfRule type="containsText" dxfId="141" priority="288" operator="containsText" text="CUMPLE">
      <formula>NOT(ISERROR(SEARCH("CUMPLE",X12)))</formula>
    </cfRule>
  </conditionalFormatting>
  <conditionalFormatting sqref="X21">
    <cfRule type="containsText" dxfId="140" priority="285" operator="containsText" text="NO CUMPLE">
      <formula>NOT(ISERROR(SEARCH("NO CUMPLE",X21)))</formula>
    </cfRule>
    <cfRule type="containsText" dxfId="139" priority="286" operator="containsText" text="CUMPLE">
      <formula>NOT(ISERROR(SEARCH("CUMPLE",X21)))</formula>
    </cfRule>
  </conditionalFormatting>
  <conditionalFormatting sqref="X37">
    <cfRule type="containsText" dxfId="138" priority="283" operator="containsText" text="NO CUMPLE">
      <formula>NOT(ISERROR(SEARCH("NO CUMPLE",X37)))</formula>
    </cfRule>
    <cfRule type="containsText" dxfId="137" priority="284" operator="containsText" text="CUMPLE">
      <formula>NOT(ISERROR(SEARCH("CUMPLE",X37)))</formula>
    </cfRule>
  </conditionalFormatting>
  <conditionalFormatting sqref="X19">
    <cfRule type="containsText" dxfId="136" priority="232" operator="containsText" text="NO CUMPLE">
      <formula>NOT(ISERROR(SEARCH("NO CUMPLE",X19)))</formula>
    </cfRule>
    <cfRule type="containsText" dxfId="135" priority="281" operator="containsText" text="NO CUMPLE">
      <formula>NOT(ISERROR(SEARCH("NO CUMPLE",X19)))</formula>
    </cfRule>
    <cfRule type="containsText" dxfId="134" priority="282" operator="containsText" text="CUMPLE">
      <formula>NOT(ISERROR(SEARCH("CUMPLE",X19)))</formula>
    </cfRule>
  </conditionalFormatting>
  <conditionalFormatting sqref="X15">
    <cfRule type="containsText" dxfId="133" priority="279" operator="containsText" text="NO CUMPLE">
      <formula>NOT(ISERROR(SEARCH("NO CUMPLE",X15)))</formula>
    </cfRule>
    <cfRule type="containsText" dxfId="132" priority="280" operator="containsText" text="CUMPLE">
      <formula>NOT(ISERROR(SEARCH("CUMPLE",X15)))</formula>
    </cfRule>
  </conditionalFormatting>
  <conditionalFormatting sqref="X43">
    <cfRule type="containsText" dxfId="131" priority="277" operator="containsText" text="NO CUMPLE">
      <formula>NOT(ISERROR(SEARCH("NO CUMPLE",X43)))</formula>
    </cfRule>
    <cfRule type="containsText" dxfId="130" priority="278" operator="containsText" text="CUMPLE">
      <formula>NOT(ISERROR(SEARCH("CUMPLE",X43)))</formula>
    </cfRule>
  </conditionalFormatting>
  <conditionalFormatting sqref="X45">
    <cfRule type="containsText" dxfId="129" priority="275" operator="containsText" text="NO CUMPLE">
      <formula>NOT(ISERROR(SEARCH("NO CUMPLE",X45)))</formula>
    </cfRule>
    <cfRule type="containsText" dxfId="128" priority="276" operator="containsText" text="CUMPLE">
      <formula>NOT(ISERROR(SEARCH("CUMPLE",X45)))</formula>
    </cfRule>
  </conditionalFormatting>
  <conditionalFormatting sqref="X46">
    <cfRule type="containsText" dxfId="127" priority="273" operator="containsText" text="NO CUMPLE">
      <formula>NOT(ISERROR(SEARCH("NO CUMPLE",X46)))</formula>
    </cfRule>
    <cfRule type="containsText" dxfId="126" priority="274" operator="containsText" text="CUMPLE">
      <formula>NOT(ISERROR(SEARCH("CUMPLE",X46)))</formula>
    </cfRule>
  </conditionalFormatting>
  <conditionalFormatting sqref="X48">
    <cfRule type="containsText" dxfId="125" priority="269" operator="containsText" text="NO CUMPLE">
      <formula>NOT(ISERROR(SEARCH("NO CUMPLE",X48)))</formula>
    </cfRule>
    <cfRule type="containsText" dxfId="124" priority="270" operator="containsText" text="CUMPLE">
      <formula>NOT(ISERROR(SEARCH("CUMPLE",X48)))</formula>
    </cfRule>
  </conditionalFormatting>
  <conditionalFormatting sqref="X49">
    <cfRule type="containsText" dxfId="123" priority="267" operator="containsText" text="NO CUMPLE">
      <formula>NOT(ISERROR(SEARCH("NO CUMPLE",X49)))</formula>
    </cfRule>
    <cfRule type="containsText" dxfId="122" priority="268" operator="containsText" text="CUMPLE">
      <formula>NOT(ISERROR(SEARCH("CUMPLE",X49)))</formula>
    </cfRule>
  </conditionalFormatting>
  <conditionalFormatting sqref="X41">
    <cfRule type="containsText" dxfId="121" priority="265" operator="containsText" text="NO CUMPLE">
      <formula>NOT(ISERROR(SEARCH("NO CUMPLE",X41)))</formula>
    </cfRule>
    <cfRule type="containsText" dxfId="120" priority="266" operator="containsText" text="CUMPLE">
      <formula>NOT(ISERROR(SEARCH("CUMPLE",X41)))</formula>
    </cfRule>
  </conditionalFormatting>
  <conditionalFormatting sqref="X11">
    <cfRule type="containsText" dxfId="119" priority="231" operator="containsText" text="CUMPLE">
      <formula>NOT(ISERROR(SEARCH("CUMPLE",X11)))</formula>
    </cfRule>
    <cfRule type="containsText" dxfId="118" priority="264" operator="containsText" text="NO CUMPLE">
      <formula>NOT(ISERROR(SEARCH("NO CUMPLE",X11)))</formula>
    </cfRule>
  </conditionalFormatting>
  <conditionalFormatting sqref="X6">
    <cfRule type="containsText" dxfId="117" priority="224" operator="containsText" text="CUMPLE">
      <formula>NOT(ISERROR(SEARCH("CUMPLE",X6)))</formula>
    </cfRule>
    <cfRule type="containsText" dxfId="116" priority="263" operator="containsText" text="NO CUMPLE">
      <formula>NOT(ISERROR(SEARCH("NO CUMPLE",X6)))</formula>
    </cfRule>
  </conditionalFormatting>
  <conditionalFormatting sqref="X7">
    <cfRule type="containsText" dxfId="115" priority="225" operator="containsText" text="CUMPLE">
      <formula>NOT(ISERROR(SEARCH("CUMPLE",X7)))</formula>
    </cfRule>
    <cfRule type="containsText" dxfId="114" priority="262" operator="containsText" text="NO CUMPLE">
      <formula>NOT(ISERROR(SEARCH("NO CUMPLE",X7)))</formula>
    </cfRule>
  </conditionalFormatting>
  <conditionalFormatting sqref="X8">
    <cfRule type="containsText" dxfId="113" priority="226" operator="containsText" text="CUMPLE">
      <formula>NOT(ISERROR(SEARCH("CUMPLE",X8)))</formula>
    </cfRule>
    <cfRule type="containsText" dxfId="112" priority="261" stopIfTrue="1" operator="containsText" text="NO CUMPLE">
      <formula>NOT(ISERROR(SEARCH("NO CUMPLE",X8)))</formula>
    </cfRule>
  </conditionalFormatting>
  <conditionalFormatting sqref="X42">
    <cfRule type="containsText" dxfId="111" priority="257" operator="containsText" text="NO CUMPLE">
      <formula>NOT(ISERROR(SEARCH("NO CUMPLE",X42)))</formula>
    </cfRule>
    <cfRule type="containsText" dxfId="110" priority="258" operator="containsText" text="CUMPLE">
      <formula>NOT(ISERROR(SEARCH("CUMPLE",X42)))</formula>
    </cfRule>
  </conditionalFormatting>
  <conditionalFormatting sqref="X40">
    <cfRule type="containsText" dxfId="109" priority="255" operator="containsText" text="NO CUMPLE">
      <formula>NOT(ISERROR(SEARCH("NO CUMPLE",X40)))</formula>
    </cfRule>
    <cfRule type="containsText" dxfId="108" priority="256" operator="containsText" text="CUMPLE">
      <formula>NOT(ISERROR(SEARCH("CUMPLE",X40)))</formula>
    </cfRule>
  </conditionalFormatting>
  <conditionalFormatting sqref="X39">
    <cfRule type="containsText" dxfId="107" priority="253" operator="containsText" text="NO CUMPLE">
      <formula>NOT(ISERROR(SEARCH("NO CUMPLE",X39)))</formula>
    </cfRule>
    <cfRule type="containsText" dxfId="106" priority="254" operator="containsText" text="CUMPLE">
      <formula>NOT(ISERROR(SEARCH("CUMPLE",X39)))</formula>
    </cfRule>
  </conditionalFormatting>
  <conditionalFormatting sqref="X38">
    <cfRule type="containsText" dxfId="105" priority="251" operator="containsText" text="NO CUMPLE">
      <formula>NOT(ISERROR(SEARCH("NO CUMPLE",X38)))</formula>
    </cfRule>
    <cfRule type="containsText" dxfId="104" priority="252" operator="containsText" text="CUMPLE">
      <formula>NOT(ISERROR(SEARCH("CUMPLE",X38)))</formula>
    </cfRule>
  </conditionalFormatting>
  <conditionalFormatting sqref="X34">
    <cfRule type="containsText" dxfId="103" priority="249" operator="containsText" text="NO CUMPLE">
      <formula>NOT(ISERROR(SEARCH("NO CUMPLE",X34)))</formula>
    </cfRule>
    <cfRule type="containsText" dxfId="102" priority="250" operator="containsText" text="CUMPLE">
      <formula>NOT(ISERROR(SEARCH("CUMPLE",X34)))</formula>
    </cfRule>
  </conditionalFormatting>
  <conditionalFormatting sqref="X33">
    <cfRule type="containsText" dxfId="101" priority="247" operator="containsText" text="NO CUMPLE">
      <formula>NOT(ISERROR(SEARCH("NO CUMPLE",X33)))</formula>
    </cfRule>
    <cfRule type="containsText" dxfId="100" priority="248" operator="containsText" text="CUMPLE">
      <formula>NOT(ISERROR(SEARCH("CUMPLE",X33)))</formula>
    </cfRule>
  </conditionalFormatting>
  <conditionalFormatting sqref="X32">
    <cfRule type="containsText" dxfId="99" priority="245" operator="containsText" text="NO CUMPLE">
      <formula>NOT(ISERROR(SEARCH("NO CUMPLE",X32)))</formula>
    </cfRule>
    <cfRule type="containsText" dxfId="98" priority="246" operator="containsText" text="CUMPLE">
      <formula>NOT(ISERROR(SEARCH("CUMPLE",X32)))</formula>
    </cfRule>
  </conditionalFormatting>
  <conditionalFormatting sqref="X31">
    <cfRule type="containsText" dxfId="97" priority="243" operator="containsText" text="NO CUMPLE">
      <formula>NOT(ISERROR(SEARCH("NO CUMPLE",X31)))</formula>
    </cfRule>
    <cfRule type="containsText" dxfId="96" priority="244" operator="containsText" text="CUMPLE">
      <formula>NOT(ISERROR(SEARCH("CUMPLE",X31)))</formula>
    </cfRule>
  </conditionalFormatting>
  <conditionalFormatting sqref="X30">
    <cfRule type="containsText" dxfId="95" priority="241" operator="containsText" text="NO CUMPLE">
      <formula>NOT(ISERROR(SEARCH("NO CUMPLE",X30)))</formula>
    </cfRule>
    <cfRule type="containsText" dxfId="94" priority="242" operator="containsText" text="CUMPLE">
      <formula>NOT(ISERROR(SEARCH("CUMPLE",X30)))</formula>
    </cfRule>
  </conditionalFormatting>
  <conditionalFormatting sqref="X28">
    <cfRule type="containsText" dxfId="93" priority="239" operator="containsText" text="NO CUMPLE">
      <formula>NOT(ISERROR(SEARCH("NO CUMPLE",X28)))</formula>
    </cfRule>
    <cfRule type="containsText" dxfId="92" priority="240" operator="containsText" text="CUMPLE">
      <formula>NOT(ISERROR(SEARCH("CUMPLE",X28)))</formula>
    </cfRule>
  </conditionalFormatting>
  <conditionalFormatting sqref="X25">
    <cfRule type="containsText" dxfId="91" priority="237" operator="containsText" text="NO CUMPLE">
      <formula>NOT(ISERROR(SEARCH("NO CUMPLE",X25)))</formula>
    </cfRule>
    <cfRule type="containsText" dxfId="90" priority="238" operator="containsText" text="CUMPLE">
      <formula>NOT(ISERROR(SEARCH("CUMPLE",X25)))</formula>
    </cfRule>
  </conditionalFormatting>
  <conditionalFormatting sqref="X24">
    <cfRule type="containsText" dxfId="89" priority="235" operator="containsText" text="NO CUMPLE">
      <formula>NOT(ISERROR(SEARCH("NO CUMPLE",X24)))</formula>
    </cfRule>
    <cfRule type="containsText" dxfId="88" priority="236" operator="containsText" text="CUMPLE">
      <formula>NOT(ISERROR(SEARCH("CUMPLE",X24)))</formula>
    </cfRule>
  </conditionalFormatting>
  <conditionalFormatting sqref="X20">
    <cfRule type="containsText" dxfId="87" priority="233" operator="containsText" text="NO CUMPLE">
      <formula>NOT(ISERROR(SEARCH("NO CUMPLE",X20)))</formula>
    </cfRule>
    <cfRule type="containsText" dxfId="86" priority="234" operator="containsText" text="CUMPLE">
      <formula>NOT(ISERROR(SEARCH("CUMPLE",X20)))</formula>
    </cfRule>
  </conditionalFormatting>
  <conditionalFormatting sqref="X10">
    <cfRule type="containsText" dxfId="85" priority="229" operator="containsText" text="NO CUMPLE">
      <formula>NOT(ISERROR(SEARCH("NO CUMPLE",X10)))</formula>
    </cfRule>
    <cfRule type="containsText" dxfId="84" priority="230" operator="containsText" text="CUMPLE">
      <formula>NOT(ISERROR(SEARCH("CUMPLE",X10)))</formula>
    </cfRule>
  </conditionalFormatting>
  <conditionalFormatting sqref="X9">
    <cfRule type="containsText" dxfId="83" priority="227" operator="containsText" text="NO CUMPLE">
      <formula>NOT(ISERROR(SEARCH("NO CUMPLE",X9)))</formula>
    </cfRule>
    <cfRule type="containsText" dxfId="82" priority="228" operator="containsText" text="CUMPLE">
      <formula>NOT(ISERROR(SEARCH("CUMPLE",X9)))</formula>
    </cfRule>
  </conditionalFormatting>
  <conditionalFormatting sqref="Y28">
    <cfRule type="containsText" dxfId="81" priority="222" operator="containsText" text="NO CUMPLE">
      <formula>NOT(ISERROR(SEARCH("NO CUMPLE",Y28)))</formula>
    </cfRule>
    <cfRule type="containsText" dxfId="80" priority="223" operator="containsText" text="CUMPLE">
      <formula>NOT(ISERROR(SEARCH("CUMPLE",Y28)))</formula>
    </cfRule>
  </conditionalFormatting>
  <conditionalFormatting sqref="X44">
    <cfRule type="containsText" dxfId="79" priority="220" operator="containsText" text="NO CUMPLE">
      <formula>NOT(ISERROR(SEARCH("NO CUMPLE",X44)))</formula>
    </cfRule>
    <cfRule type="containsText" dxfId="78" priority="221" operator="containsText" text="CUMPLE">
      <formula>NOT(ISERROR(SEARCH("CUMPLE",X44)))</formula>
    </cfRule>
  </conditionalFormatting>
  <conditionalFormatting sqref="X29">
    <cfRule type="containsText" dxfId="77" priority="218" operator="containsText" text="NO CUMPLE">
      <formula>NOT(ISERROR(SEARCH("NO CUMPLE",X29)))</formula>
    </cfRule>
    <cfRule type="containsText" dxfId="76" priority="219" operator="containsText" text="CUMPLE">
      <formula>NOT(ISERROR(SEARCH("CUMPLE",X29)))</formula>
    </cfRule>
  </conditionalFormatting>
  <conditionalFormatting sqref="Y29">
    <cfRule type="containsText" dxfId="75" priority="216" operator="containsText" text="NO CUMPLE">
      <formula>NOT(ISERROR(SEARCH("NO CUMPLE",Y29)))</formula>
    </cfRule>
    <cfRule type="containsText" dxfId="74" priority="217" operator="containsText" text="CUMPLE">
      <formula>NOT(ISERROR(SEARCH("CUMPLE",Y29)))</formula>
    </cfRule>
  </conditionalFormatting>
  <conditionalFormatting sqref="S44">
    <cfRule type="containsText" dxfId="73" priority="214" operator="containsText" text="NO CUMPLE">
      <formula>NOT(ISERROR(SEARCH("NO CUMPLE",S44)))</formula>
    </cfRule>
    <cfRule type="containsText" dxfId="72" priority="215" operator="containsText" text="CUMPLE">
      <formula>NOT(ISERROR(SEARCH("CUMPLE",S44)))</formula>
    </cfRule>
  </conditionalFormatting>
  <conditionalFormatting sqref="AD28">
    <cfRule type="containsText" dxfId="71" priority="141" operator="containsText" text="NO CUMPLE">
      <formula>NOT(ISERROR(SEARCH("NO CUMPLE",AD28)))</formula>
    </cfRule>
    <cfRule type="containsText" dxfId="70" priority="142" operator="containsText" text="CUMPLE">
      <formula>NOT(ISERROR(SEARCH("CUMPLE",AD28)))</formula>
    </cfRule>
  </conditionalFormatting>
  <conditionalFormatting sqref="AC6:AC7 AC17 AC19 AC9:AC15">
    <cfRule type="containsText" dxfId="69" priority="76" operator="containsText" text="NO CUMPLE">
      <formula>NOT(ISERROR(SEARCH("NO CUMPLE",AC6)))</formula>
    </cfRule>
    <cfRule type="containsText" dxfId="68" priority="77" operator="containsText" text="CUMPLE">
      <formula>NOT(ISERROR(SEARCH("CUMPLE",AC6)))</formula>
    </cfRule>
  </conditionalFormatting>
  <conditionalFormatting sqref="AC16">
    <cfRule type="containsText" dxfId="67" priority="74" operator="containsText" text="NO CUMPLE">
      <formula>NOT(ISERROR(SEARCH("NO CUMPLE",AC16)))</formula>
    </cfRule>
    <cfRule type="containsText" dxfId="66" priority="75" operator="containsText" text="CUMPLE">
      <formula>NOT(ISERROR(SEARCH("CUMPLE",AC16)))</formula>
    </cfRule>
  </conditionalFormatting>
  <conditionalFormatting sqref="AC18">
    <cfRule type="containsText" dxfId="65" priority="72" operator="containsText" text="NO CUMPLE">
      <formula>NOT(ISERROR(SEARCH("NO CUMPLE",AC18)))</formula>
    </cfRule>
    <cfRule type="containsText" dxfId="64" priority="73" operator="containsText" text="CUMPLE">
      <formula>NOT(ISERROR(SEARCH("CUMPLE",AC18)))</formula>
    </cfRule>
  </conditionalFormatting>
  <conditionalFormatting sqref="AC20">
    <cfRule type="containsText" dxfId="63" priority="70" operator="containsText" text="NO CUMPLE">
      <formula>NOT(ISERROR(SEARCH("NO CUMPLE",AC20)))</formula>
    </cfRule>
    <cfRule type="containsText" dxfId="62" priority="71" operator="containsText" text="CUMPLE">
      <formula>NOT(ISERROR(SEARCH("CUMPLE",AC20)))</formula>
    </cfRule>
  </conditionalFormatting>
  <conditionalFormatting sqref="AC46">
    <cfRule type="containsText" dxfId="61" priority="64" operator="containsText" text="NO CUMPLE">
      <formula>NOT(ISERROR(SEARCH("NO CUMPLE",AC46)))</formula>
    </cfRule>
    <cfRule type="containsText" dxfId="60" priority="65" operator="containsText" text="CUMPLE">
      <formula>NOT(ISERROR(SEARCH("CUMPLE",AC46)))</formula>
    </cfRule>
  </conditionalFormatting>
  <conditionalFormatting sqref="AC8">
    <cfRule type="containsText" dxfId="59" priority="62" operator="containsText" text="NO CUMPLE">
      <formula>NOT(ISERROR(SEARCH("NO CUMPLE",AC8)))</formula>
    </cfRule>
    <cfRule type="containsText" dxfId="58" priority="63" operator="containsText" text="CUMPLE">
      <formula>NOT(ISERROR(SEARCH("CUMPLE",AC8)))</formula>
    </cfRule>
  </conditionalFormatting>
  <conditionalFormatting sqref="N6">
    <cfRule type="containsText" dxfId="57" priority="60" operator="containsText" text="NO CUMPLE">
      <formula>NOT(ISERROR(SEARCH("NO CUMPLE",N6)))</formula>
    </cfRule>
    <cfRule type="containsText" dxfId="56" priority="61" operator="containsText" text="CUMPLE">
      <formula>NOT(ISERROR(SEARCH("CUMPLE",N6)))</formula>
    </cfRule>
  </conditionalFormatting>
  <conditionalFormatting sqref="N13:N20">
    <cfRule type="containsText" dxfId="55" priority="58" operator="containsText" text="NO CUMPLE">
      <formula>NOT(ISERROR(SEARCH("NO CUMPLE",N13)))</formula>
    </cfRule>
    <cfRule type="containsText" dxfId="54" priority="59" operator="containsText" text="CUMPLE">
      <formula>NOT(ISERROR(SEARCH("CUMPLE",N13)))</formula>
    </cfRule>
  </conditionalFormatting>
  <conditionalFormatting sqref="N26">
    <cfRule type="containsText" dxfId="53" priority="56" operator="containsText" text="NO CUMPLE">
      <formula>NOT(ISERROR(SEARCH("NO CUMPLE",N26)))</formula>
    </cfRule>
    <cfRule type="containsText" dxfId="52" priority="57" operator="containsText" text="CUMPLE">
      <formula>NOT(ISERROR(SEARCH("CUMPLE",N26)))</formula>
    </cfRule>
  </conditionalFormatting>
  <conditionalFormatting sqref="N28">
    <cfRule type="containsText" dxfId="51" priority="54" operator="containsText" text="NO CUMPLE">
      <formula>NOT(ISERROR(SEARCH("NO CUMPLE",N28)))</formula>
    </cfRule>
    <cfRule type="containsText" dxfId="50" priority="55" operator="containsText" text="CUMPLE">
      <formula>NOT(ISERROR(SEARCH("CUMPLE",N28)))</formula>
    </cfRule>
  </conditionalFormatting>
  <conditionalFormatting sqref="N29">
    <cfRule type="containsText" dxfId="49" priority="52" operator="containsText" text="NO CUMPLE">
      <formula>NOT(ISERROR(SEARCH("NO CUMPLE",N29)))</formula>
    </cfRule>
    <cfRule type="containsText" dxfId="48" priority="53" operator="containsText" text="CUMPLE">
      <formula>NOT(ISERROR(SEARCH("CUMPLE",N29)))</formula>
    </cfRule>
  </conditionalFormatting>
  <conditionalFormatting sqref="N30">
    <cfRule type="containsText" dxfId="47" priority="50" operator="containsText" text="NO CUMPLE">
      <formula>NOT(ISERROR(SEARCH("NO CUMPLE",N30)))</formula>
    </cfRule>
    <cfRule type="containsText" dxfId="46" priority="51" operator="containsText" text="CUMPLE">
      <formula>NOT(ISERROR(SEARCH("CUMPLE",N30)))</formula>
    </cfRule>
  </conditionalFormatting>
  <conditionalFormatting sqref="N31:N34">
    <cfRule type="containsText" dxfId="45" priority="48" operator="containsText" text="NO CUMPLE">
      <formula>NOT(ISERROR(SEARCH("NO CUMPLE",N31)))</formula>
    </cfRule>
    <cfRule type="containsText" dxfId="44" priority="49" operator="containsText" text="CUMPLE">
      <formula>NOT(ISERROR(SEARCH("CUMPLE",N31)))</formula>
    </cfRule>
  </conditionalFormatting>
  <conditionalFormatting sqref="N35">
    <cfRule type="containsText" dxfId="43" priority="46" operator="containsText" text="NO CUMPLE">
      <formula>NOT(ISERROR(SEARCH("NO CUMPLE",N35)))</formula>
    </cfRule>
    <cfRule type="containsText" dxfId="42" priority="47" operator="containsText" text="CUMPLE">
      <formula>NOT(ISERROR(SEARCH("CUMPLE",N35)))</formula>
    </cfRule>
  </conditionalFormatting>
  <conditionalFormatting sqref="N37:N40">
    <cfRule type="containsText" dxfId="41" priority="44" operator="containsText" text="NO CUMPLE">
      <formula>NOT(ISERROR(SEARCH("NO CUMPLE",N37)))</formula>
    </cfRule>
    <cfRule type="containsText" dxfId="40" priority="45" operator="containsText" text="CUMPLE">
      <formula>NOT(ISERROR(SEARCH("CUMPLE",N37)))</formula>
    </cfRule>
  </conditionalFormatting>
  <conditionalFormatting sqref="N41:N44">
    <cfRule type="containsText" dxfId="39" priority="42" operator="containsText" text="NO CUMPLE">
      <formula>NOT(ISERROR(SEARCH("NO CUMPLE",N41)))</formula>
    </cfRule>
    <cfRule type="containsText" dxfId="38" priority="43" operator="containsText" text="CUMPLE">
      <formula>NOT(ISERROR(SEARCH("CUMPLE",N41)))</formula>
    </cfRule>
  </conditionalFormatting>
  <conditionalFormatting sqref="N45">
    <cfRule type="containsText" dxfId="37" priority="40" operator="containsText" text="NO CUMPLE">
      <formula>NOT(ISERROR(SEARCH("NO CUMPLE",N45)))</formula>
    </cfRule>
    <cfRule type="containsText" dxfId="36" priority="41" operator="containsText" text="CUMPLE">
      <formula>NOT(ISERROR(SEARCH("CUMPLE",N45)))</formula>
    </cfRule>
  </conditionalFormatting>
  <conditionalFormatting sqref="N46:N47">
    <cfRule type="containsText" dxfId="35" priority="38" operator="containsText" text="NO CUMPLE">
      <formula>NOT(ISERROR(SEARCH("NO CUMPLE",N46)))</formula>
    </cfRule>
    <cfRule type="containsText" dxfId="34" priority="39" operator="containsText" text="CUMPLE">
      <formula>NOT(ISERROR(SEARCH("CUMPLE",N46)))</formula>
    </cfRule>
  </conditionalFormatting>
  <conditionalFormatting sqref="S11">
    <cfRule type="containsText" dxfId="33" priority="36" operator="containsText" text="NO CUMPLE">
      <formula>NOT(ISERROR(SEARCH("NO CUMPLE",S11)))</formula>
    </cfRule>
    <cfRule type="containsText" dxfId="32" priority="37" operator="containsText" text="CUMPLE">
      <formula>NOT(ISERROR(SEARCH("CUMPLE",S11)))</formula>
    </cfRule>
  </conditionalFormatting>
  <conditionalFormatting sqref="S12">
    <cfRule type="containsText" dxfId="31" priority="34" operator="containsText" text="NO CUMPLE">
      <formula>NOT(ISERROR(SEARCH("NO CUMPLE",S12)))</formula>
    </cfRule>
    <cfRule type="containsText" dxfId="30" priority="35" operator="containsText" text="CUMPLE">
      <formula>NOT(ISERROR(SEARCH("CUMPLE",S12)))</formula>
    </cfRule>
  </conditionalFormatting>
  <conditionalFormatting sqref="S21:S22">
    <cfRule type="containsText" dxfId="29" priority="32" operator="containsText" text="NO CUMPLE">
      <formula>NOT(ISERROR(SEARCH("NO CUMPLE",S21)))</formula>
    </cfRule>
    <cfRule type="containsText" dxfId="28" priority="33" operator="containsText" text="CUMPLE">
      <formula>NOT(ISERROR(SEARCH("CUMPLE",S21)))</formula>
    </cfRule>
  </conditionalFormatting>
  <conditionalFormatting sqref="S17 S19 S13:S15">
    <cfRule type="containsText" dxfId="27" priority="30" operator="containsText" text="NO CUMPLE">
      <formula>NOT(ISERROR(SEARCH("NO CUMPLE",S13)))</formula>
    </cfRule>
    <cfRule type="containsText" dxfId="26" priority="31" operator="containsText" text="CUMPLE">
      <formula>NOT(ISERROR(SEARCH("CUMPLE",S13)))</formula>
    </cfRule>
  </conditionalFormatting>
  <conditionalFormatting sqref="S16">
    <cfRule type="containsText" dxfId="25" priority="28" operator="containsText" text="NO CUMPLE">
      <formula>NOT(ISERROR(SEARCH("NO CUMPLE",S16)))</formula>
    </cfRule>
    <cfRule type="containsText" dxfId="24" priority="29" operator="containsText" text="CUMPLE">
      <formula>NOT(ISERROR(SEARCH("CUMPLE",S16)))</formula>
    </cfRule>
  </conditionalFormatting>
  <conditionalFormatting sqref="S18">
    <cfRule type="containsText" dxfId="23" priority="26" operator="containsText" text="NO CUMPLE">
      <formula>NOT(ISERROR(SEARCH("NO CUMPLE",S18)))</formula>
    </cfRule>
    <cfRule type="containsText" dxfId="22" priority="27" operator="containsText" text="CUMPLE">
      <formula>NOT(ISERROR(SEARCH("CUMPLE",S18)))</formula>
    </cfRule>
  </conditionalFormatting>
  <conditionalFormatting sqref="S20">
    <cfRule type="containsText" dxfId="21" priority="24" operator="containsText" text="NO CUMPLE">
      <formula>NOT(ISERROR(SEARCH("NO CUMPLE",S20)))</formula>
    </cfRule>
    <cfRule type="containsText" dxfId="20" priority="25" operator="containsText" text="CUMPLE">
      <formula>NOT(ISERROR(SEARCH("CUMPLE",S20)))</formula>
    </cfRule>
  </conditionalFormatting>
  <conditionalFormatting sqref="S26:S27">
    <cfRule type="containsText" dxfId="19" priority="22" operator="containsText" text="NO CUMPLE">
      <formula>NOT(ISERROR(SEARCH("NO CUMPLE",S26)))</formula>
    </cfRule>
    <cfRule type="containsText" dxfId="18" priority="23" operator="containsText" text="CUMPLE">
      <formula>NOT(ISERROR(SEARCH("CUMPLE",S26)))</formula>
    </cfRule>
  </conditionalFormatting>
  <conditionalFormatting sqref="S36">
    <cfRule type="containsText" dxfId="17" priority="20" operator="containsText" text="NO CUMPLE">
      <formula>NOT(ISERROR(SEARCH("NO CUMPLE",S36)))</formula>
    </cfRule>
    <cfRule type="containsText" dxfId="16" priority="21" operator="containsText" text="CUMPLE">
      <formula>NOT(ISERROR(SEARCH("CUMPLE",S36)))</formula>
    </cfRule>
  </conditionalFormatting>
  <conditionalFormatting sqref="S41">
    <cfRule type="containsText" dxfId="15" priority="16" operator="containsText" text="NO CUMPLE">
      <formula>NOT(ISERROR(SEARCH("NO CUMPLE",S41)))</formula>
    </cfRule>
    <cfRule type="containsText" dxfId="14" priority="17" operator="containsText" text="CUMPLE">
      <formula>NOT(ISERROR(SEARCH("CUMPLE",S41)))</formula>
    </cfRule>
  </conditionalFormatting>
  <conditionalFormatting sqref="S48">
    <cfRule type="containsText" dxfId="13" priority="14" operator="containsText" text="NO CUMPLE">
      <formula>NOT(ISERROR(SEARCH("NO CUMPLE",S48)))</formula>
    </cfRule>
    <cfRule type="containsText" dxfId="12" priority="15" operator="containsText" text="CUMPLE">
      <formula>NOT(ISERROR(SEARCH("CUMPLE",S48)))</formula>
    </cfRule>
  </conditionalFormatting>
  <conditionalFormatting sqref="S28">
    <cfRule type="containsText" dxfId="11" priority="12" operator="containsText" text="NO CUMPLE">
      <formula>NOT(ISERROR(SEARCH("NO CUMPLE",S28)))</formula>
    </cfRule>
    <cfRule type="containsText" dxfId="10" priority="13" operator="containsText" text="CUMPLE">
      <formula>NOT(ISERROR(SEARCH("CUMPLE",S28)))</formula>
    </cfRule>
  </conditionalFormatting>
  <conditionalFormatting sqref="X13">
    <cfRule type="containsText" dxfId="9" priority="9" operator="containsText" text="NO CUMPLE">
      <formula>NOT(ISERROR(SEARCH("NO CUMPLE",X13)))</formula>
    </cfRule>
    <cfRule type="containsText" dxfId="8" priority="10" operator="containsText" text="CUMPLE">
      <formula>NOT(ISERROR(SEARCH("CUMPLE",X13)))</formula>
    </cfRule>
  </conditionalFormatting>
  <conditionalFormatting sqref="X14">
    <cfRule type="containsText" dxfId="7" priority="6" operator="containsText" text="CUMPLE">
      <formula>NOT(ISERROR(SEARCH("CUMPLE",X14)))</formula>
    </cfRule>
    <cfRule type="containsText" dxfId="6" priority="5" operator="containsText" text="NO CUMPLE">
      <formula>NOT(ISERROR(SEARCH("NO CUMPLE",X14)))</formula>
    </cfRule>
  </conditionalFormatting>
  <conditionalFormatting sqref="X17">
    <cfRule type="containsText" dxfId="5" priority="4" operator="containsText" text="CUMPLE">
      <formula>NOT(ISERROR(SEARCH("CUMPLE",X17)))</formula>
    </cfRule>
    <cfRule type="containsText" dxfId="4" priority="3" operator="containsText" text="NO CUMPLE">
      <formula>NOT(ISERROR(SEARCH("NO CUMPLE",X17)))</formula>
    </cfRule>
  </conditionalFormatting>
  <conditionalFormatting sqref="X35">
    <cfRule type="containsText" dxfId="3" priority="1" operator="containsText" text="NO CUMPLE">
      <formula>NOT(ISERROR(SEARCH("NO CUMPLE",X35)))</formula>
    </cfRule>
    <cfRule type="containsText" dxfId="2" priority="2" operator="containsText" text="CUMPLE">
      <formula>NOT(ISERROR(SEARCH("CUMPLE",X35)))</formula>
    </cfRule>
  </conditionalFormatting>
  <pageMargins left="0.31496062992125984" right="0.31496062992125984" top="0.15748031496062992" bottom="0.15748031496062992" header="0.11811023622047245" footer="0.11811023622047245"/>
  <pageSetup scale="30" orientation="landscape" verticalDpi="597" r:id="rId1"/>
  <ignoredErrors>
    <ignoredError sqref="S28"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477F-E56C-42A3-BC92-960137B1B6DE}">
  <dimension ref="A1:O6"/>
  <sheetViews>
    <sheetView topLeftCell="C10" zoomScale="80" zoomScaleNormal="80" workbookViewId="0">
      <selection activeCell="I10" sqref="I10"/>
    </sheetView>
  </sheetViews>
  <sheetFormatPr baseColWidth="10" defaultColWidth="11.42578125" defaultRowHeight="15" x14ac:dyDescent="0.25"/>
  <cols>
    <col min="1" max="1" width="34.28515625" style="1" customWidth="1"/>
    <col min="2" max="2" width="17.5703125" style="1" customWidth="1"/>
    <col min="3" max="3" width="26.42578125" style="1" customWidth="1"/>
    <col min="4" max="4" width="25.42578125" style="1" customWidth="1"/>
    <col min="5" max="5" width="22" style="1" customWidth="1"/>
    <col min="6" max="6" width="23.140625" style="1" customWidth="1"/>
    <col min="7" max="7" width="27.7109375" style="1" customWidth="1"/>
    <col min="8" max="8" width="14.85546875" style="1" customWidth="1"/>
    <col min="9" max="9" width="27.7109375" style="1" customWidth="1"/>
    <col min="10" max="10" width="36.42578125" style="1" customWidth="1"/>
    <col min="11" max="11" width="21.140625" style="1" customWidth="1"/>
    <col min="12" max="12" width="24" style="1" customWidth="1"/>
    <col min="13" max="13" width="17.85546875" style="1" customWidth="1"/>
    <col min="14" max="14" width="15.85546875" style="1" customWidth="1"/>
    <col min="15" max="15" width="42.28515625" style="1" customWidth="1"/>
    <col min="16" max="16384" width="11.42578125" style="1"/>
  </cols>
  <sheetData>
    <row r="1" spans="1:15" ht="45" customHeight="1" x14ac:dyDescent="0.3">
      <c r="A1" s="334" t="s">
        <v>202</v>
      </c>
      <c r="B1" s="334"/>
      <c r="C1" s="334"/>
      <c r="D1" s="334"/>
      <c r="E1" s="334"/>
      <c r="F1" s="334"/>
      <c r="G1" s="334"/>
      <c r="H1" s="334"/>
      <c r="I1" s="334"/>
      <c r="J1" s="334"/>
      <c r="K1" s="334"/>
      <c r="L1" s="334"/>
      <c r="M1" s="334"/>
      <c r="N1" s="335"/>
      <c r="O1" s="182" t="s">
        <v>201</v>
      </c>
    </row>
    <row r="2" spans="1:15" ht="37.5" customHeight="1" x14ac:dyDescent="0.3">
      <c r="A2" s="334"/>
      <c r="B2" s="334"/>
      <c r="C2" s="334"/>
      <c r="D2" s="334"/>
      <c r="E2" s="334"/>
      <c r="F2" s="334"/>
      <c r="G2" s="334"/>
      <c r="H2" s="334"/>
      <c r="I2" s="334"/>
      <c r="J2" s="334"/>
      <c r="K2" s="334"/>
      <c r="L2" s="334"/>
      <c r="M2" s="334"/>
      <c r="N2" s="335"/>
      <c r="O2" s="182" t="s">
        <v>209</v>
      </c>
    </row>
    <row r="3" spans="1:15" ht="42" customHeight="1" x14ac:dyDescent="0.6">
      <c r="A3" s="305" t="s">
        <v>262</v>
      </c>
      <c r="B3" s="305"/>
      <c r="C3" s="174"/>
      <c r="D3" s="174"/>
      <c r="E3" s="174"/>
      <c r="F3" s="174"/>
      <c r="G3" s="174"/>
      <c r="H3" s="174"/>
      <c r="I3" s="174"/>
      <c r="J3" s="174"/>
      <c r="K3" s="174"/>
      <c r="L3" s="174"/>
      <c r="M3" s="174"/>
      <c r="N3" s="174"/>
      <c r="O3" s="182" t="s">
        <v>210</v>
      </c>
    </row>
    <row r="4" spans="1:15" ht="41.25" customHeight="1" x14ac:dyDescent="0.25">
      <c r="A4" s="304" t="s">
        <v>192</v>
      </c>
      <c r="B4" s="304" t="s">
        <v>193</v>
      </c>
      <c r="C4" s="304" t="s">
        <v>256</v>
      </c>
      <c r="D4" s="304" t="s">
        <v>194</v>
      </c>
      <c r="E4" s="304" t="s">
        <v>195</v>
      </c>
      <c r="F4" s="304" t="s">
        <v>196</v>
      </c>
      <c r="G4" s="304" t="s">
        <v>107</v>
      </c>
      <c r="H4" s="297" t="s">
        <v>197</v>
      </c>
      <c r="I4" s="297" t="s">
        <v>198</v>
      </c>
      <c r="J4" s="297" t="s">
        <v>199</v>
      </c>
      <c r="K4" s="297" t="s">
        <v>261</v>
      </c>
      <c r="L4" s="297"/>
      <c r="M4" s="297"/>
      <c r="N4" s="297"/>
      <c r="O4" s="297"/>
    </row>
    <row r="5" spans="1:15" ht="38.25" customHeight="1" x14ac:dyDescent="0.25">
      <c r="A5" s="304"/>
      <c r="B5" s="304"/>
      <c r="C5" s="304"/>
      <c r="D5" s="304"/>
      <c r="E5" s="304"/>
      <c r="F5" s="304"/>
      <c r="G5" s="304"/>
      <c r="H5" s="297"/>
      <c r="I5" s="297"/>
      <c r="J5" s="297"/>
      <c r="K5" s="179" t="s">
        <v>105</v>
      </c>
      <c r="L5" s="179" t="s">
        <v>106</v>
      </c>
      <c r="M5" s="297" t="s">
        <v>200</v>
      </c>
      <c r="N5" s="297"/>
      <c r="O5" s="179" t="s">
        <v>0</v>
      </c>
    </row>
    <row r="6" spans="1:15" ht="82.5" customHeight="1" x14ac:dyDescent="0.25">
      <c r="A6" s="178"/>
      <c r="B6" s="180"/>
      <c r="C6" s="180"/>
      <c r="D6" s="181"/>
      <c r="E6" s="78"/>
      <c r="F6" s="181"/>
      <c r="G6" s="181"/>
      <c r="H6" s="78"/>
      <c r="I6" s="181"/>
      <c r="J6" s="160"/>
      <c r="K6" s="160"/>
      <c r="L6" s="160"/>
      <c r="M6" s="160" t="e">
        <f>(K6/L6)</f>
        <v>#DIV/0!</v>
      </c>
      <c r="N6" s="160" t="e">
        <f>IF(OR(#REF!&gt;4.5,#REF!=4.5),"CUMPLE","NO CUMPLE")</f>
        <v>#REF!</v>
      </c>
      <c r="O6" s="18"/>
    </row>
  </sheetData>
  <autoFilter ref="A4:O6" xr:uid="{29BB3DDD-9344-41DA-BD6A-B9FEA6F029D8}">
    <filterColumn colId="10" showButton="0"/>
    <filterColumn colId="11" showButton="0"/>
    <filterColumn colId="12" showButton="0"/>
    <filterColumn colId="13" showButton="0"/>
  </autoFilter>
  <mergeCells count="14">
    <mergeCell ref="K4:O4"/>
    <mergeCell ref="A1:N2"/>
    <mergeCell ref="I4:I5"/>
    <mergeCell ref="J4:J5"/>
    <mergeCell ref="M5:N5"/>
    <mergeCell ref="A3:B3"/>
    <mergeCell ref="A4:A5"/>
    <mergeCell ref="B4:B5"/>
    <mergeCell ref="C4:C5"/>
    <mergeCell ref="D4:D5"/>
    <mergeCell ref="E4:E5"/>
    <mergeCell ref="F4:F5"/>
    <mergeCell ref="G4:G5"/>
    <mergeCell ref="H4:H5"/>
  </mergeCells>
  <conditionalFormatting sqref="N6">
    <cfRule type="containsText" dxfId="1" priority="47" operator="containsText" text="NO CUMPLE">
      <formula>NOT(ISERROR(SEARCH("NO CUMPLE",N6)))</formula>
    </cfRule>
    <cfRule type="containsText" dxfId="0" priority="48" operator="containsText" text="CUMPLE">
      <formula>NOT(ISERROR(SEARCH("CUMPLE",N6)))</formula>
    </cfRule>
  </conditionalFormatting>
  <pageMargins left="0.31496062992125984" right="0.31496062992125984" top="0.15748031496062992" bottom="0.15748031496062992" header="0.11811023622047245" footer="0.11811023622047245"/>
  <pageSetup scale="35" orientation="landscape" verticalDpi="597"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2C80-B9CA-4E24-A28B-67160A246510}">
  <dimension ref="B4:H6"/>
  <sheetViews>
    <sheetView topLeftCell="A11" workbookViewId="0">
      <selection activeCell="F27" sqref="F27"/>
    </sheetView>
  </sheetViews>
  <sheetFormatPr baseColWidth="10" defaultRowHeight="15" x14ac:dyDescent="0.25"/>
  <cols>
    <col min="4" max="4" width="22.140625" customWidth="1"/>
    <col min="8" max="8" width="14.140625" customWidth="1"/>
  </cols>
  <sheetData>
    <row r="4" spans="2:8" ht="53.25" customHeight="1" x14ac:dyDescent="0.25">
      <c r="B4" s="184" t="s">
        <v>265</v>
      </c>
      <c r="C4" s="336"/>
      <c r="D4" s="336"/>
      <c r="E4" s="184" t="s">
        <v>264</v>
      </c>
      <c r="F4" s="336"/>
      <c r="G4" s="336"/>
      <c r="H4" s="336"/>
    </row>
    <row r="5" spans="2:8" x14ac:dyDescent="0.25">
      <c r="B5" s="185" t="s">
        <v>263</v>
      </c>
      <c r="C5" s="184" t="s">
        <v>267</v>
      </c>
      <c r="D5" s="184"/>
      <c r="E5" s="184" t="s">
        <v>263</v>
      </c>
      <c r="F5" s="184" t="s">
        <v>270</v>
      </c>
      <c r="G5" s="183"/>
      <c r="H5" s="183"/>
    </row>
    <row r="6" spans="2:8" x14ac:dyDescent="0.25">
      <c r="B6" s="184" t="s">
        <v>266</v>
      </c>
      <c r="C6" s="184" t="s">
        <v>268</v>
      </c>
      <c r="D6" s="184"/>
      <c r="E6" s="184" t="s">
        <v>269</v>
      </c>
      <c r="F6" s="337" t="s">
        <v>271</v>
      </c>
      <c r="G6" s="338"/>
      <c r="H6" s="339"/>
    </row>
  </sheetData>
  <mergeCells count="3">
    <mergeCell ref="C4:D4"/>
    <mergeCell ref="F4:H4"/>
    <mergeCell ref="F6:H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 indicadores SIG</vt:lpstr>
      <vt:lpstr>Tablero indicadores SIG (2)</vt:lpstr>
      <vt:lpstr>Hoja2</vt:lpstr>
      <vt:lpstr>'Tablero indicadores SIG'!Títulos_a_imprimir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Viviana Diaz Quintero</dc:creator>
  <cp:lastModifiedBy>Martha Viviana Diaz</cp:lastModifiedBy>
  <cp:lastPrinted>2020-10-07T15:15:09Z</cp:lastPrinted>
  <dcterms:created xsi:type="dcterms:W3CDTF">2019-03-07T14:31:39Z</dcterms:created>
  <dcterms:modified xsi:type="dcterms:W3CDTF">2020-11-05T16:33:08Z</dcterms:modified>
</cp:coreProperties>
</file>