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DISNEY\INFORMES DE GESTION CAM  DESDE 2012\INFORME DE GESTION 2016\Revisión Matricez 2016 PAI CONSOLIDADO\"/>
    </mc:Choice>
  </mc:AlternateContent>
  <bookViews>
    <workbookView xWindow="0" yWindow="0" windowWidth="28800" windowHeight="11835"/>
  </bookViews>
  <sheets>
    <sheet name="Anexo 1 Matriz SINA Inf Gestión" sheetId="9" r:id="rId1"/>
    <sheet name="Anexo 2 Matriz Inf. Ejecución" sheetId="23" r:id="rId2"/>
    <sheet name="Anexo 3" sheetId="27" r:id="rId3"/>
    <sheet name="Anexo 5-1 Ingresos" sheetId="25" r:id="rId4"/>
    <sheet name="Anexo 5-2 Gastos (2)" sheetId="26" r:id="rId5"/>
    <sheet name="Anexo 3 Matriz Ind Min Jun" sheetId="18" state="hidden" r:id="rId6"/>
    <sheet name="Anexos 5-1 Ingresos " sheetId="21" state="hidden" r:id="rId7"/>
    <sheet name="Anexo 5-2 Gastos" sheetId="22" state="hidden" r:id="rId8"/>
    <sheet name="Anexo 2 Protocolo Inf Gestión" sheetId="11" state="hidden" r:id="rId9"/>
    <sheet name="Anexo 4 ProtocoloMatrizINdica" sheetId="10" state="hidden" r:id="rId10"/>
    <sheet name="Hoja1" sheetId="17" state="hidden" r:id="rId11"/>
    <sheet name="Hoja2" sheetId="24" state="hidden" r:id="rId12"/>
  </sheets>
  <externalReferences>
    <externalReference r:id="rId13"/>
    <externalReference r:id="rId14"/>
    <externalReference r:id="rId15"/>
    <externalReference r:id="rId16"/>
    <externalReference r:id="rId17"/>
    <externalReference r:id="rId18"/>
  </externalReferences>
  <definedNames>
    <definedName name="_xlnm.Print_Area" localSheetId="0">'Anexo 1 Matriz SINA Inf Gestión'!$B$1:$S$119</definedName>
    <definedName name="_xlnm.Print_Area" localSheetId="8">'Anexo 2 Protocolo Inf Gestión'!$A$1:$B$23</definedName>
    <definedName name="_xlnm.Print_Area" localSheetId="9">'Anexo 4 ProtocoloMatrizINdica'!$A$1:$B$15</definedName>
    <definedName name="_xlnm.Print_Area" localSheetId="3">'Anexo 5-1 Ingresos'!$A$2:$D$55</definedName>
    <definedName name="_xlnm.Print_Area" localSheetId="7">'Anexo 5-2 Gastos'!$A$1:$G$55</definedName>
    <definedName name="_xlnm.Print_Area" localSheetId="4">'Anexo 5-2 Gastos (2)'!$A$1:$I$40</definedName>
    <definedName name="_xlnm.Print_Area" localSheetId="6">'Anexos 5-1 Ingresos '!$A$1:$D$57</definedName>
    <definedName name="Lista_CAR" localSheetId="2">'[6]Datos Generales'!$H$5:$H$36</definedName>
    <definedName name="Lista_CAR">'[1]Datos Generales'!$H$5:$H$36</definedName>
    <definedName name="REPORTE" comment="SI SE REPORTA" localSheetId="2">[6]Formulas!$F$33:$F$34</definedName>
    <definedName name="REPORTE" comment="SI SE REPORTA">[1]Formulas!$F$33:$F$34</definedName>
    <definedName name="SI" comment="OPCION SI O NO" localSheetId="2">[6]Formulas!$D$33:$D$34</definedName>
    <definedName name="SI" comment="OPCION SI O NO">[1]Formulas!$D$33:$D$34</definedName>
    <definedName name="_xlnm.Print_Titles" localSheetId="0">'Anexo 1 Matriz SINA Inf Gestión'!$3:$4</definedName>
    <definedName name="_xlnm.Print_Titles" localSheetId="1">'Anexo 2 Matriz Inf. Ejecución'!$7:$8</definedName>
    <definedName name="_xlnm.Print_Titles" localSheetId="5">'Anexo 3 Matriz Ind Min Jun'!$7:$7</definedName>
    <definedName name="_xlnm.Print_Titles" localSheetId="7">'Anexo 5-2 Gastos'!$7:$8</definedName>
    <definedName name="Vigencias" localSheetId="2">'[6]Datos Generales'!$H$38:$H$45</definedName>
    <definedName name="Vigencias">'[1]Datos Generales'!$H$38:$H$45</definedName>
  </definedNames>
  <calcPr calcId="152511"/>
</workbook>
</file>

<file path=xl/calcChain.xml><?xml version="1.0" encoding="utf-8"?>
<calcChain xmlns="http://schemas.openxmlformats.org/spreadsheetml/2006/main">
  <c r="J32" i="27" l="1"/>
  <c r="N32" i="27" s="1"/>
  <c r="I32" i="27"/>
  <c r="M32" i="27" s="1"/>
  <c r="H32" i="27"/>
  <c r="C32" i="27"/>
  <c r="L32" i="27" s="1"/>
  <c r="N31" i="27"/>
  <c r="J31" i="27"/>
  <c r="I31" i="27"/>
  <c r="M31" i="27" s="1"/>
  <c r="H31" i="27"/>
  <c r="C31" i="27"/>
  <c r="L31" i="27" s="1"/>
  <c r="N30" i="27"/>
  <c r="M30" i="27"/>
  <c r="J30" i="27"/>
  <c r="I30" i="27"/>
  <c r="H30" i="27"/>
  <c r="C30" i="27"/>
  <c r="L30" i="27" s="1"/>
  <c r="M29" i="27"/>
  <c r="J29" i="27"/>
  <c r="N29" i="27" s="1"/>
  <c r="I29" i="27"/>
  <c r="H29" i="27"/>
  <c r="C29" i="27"/>
  <c r="L29" i="27" s="1"/>
  <c r="J28" i="27"/>
  <c r="N28" i="27" s="1"/>
  <c r="I28" i="27"/>
  <c r="M28" i="27" s="1"/>
  <c r="H28" i="27"/>
  <c r="C28" i="27"/>
  <c r="L28" i="27" s="1"/>
  <c r="N27" i="27"/>
  <c r="J27" i="27"/>
  <c r="I27" i="27"/>
  <c r="M27" i="27" s="1"/>
  <c r="H27" i="27"/>
  <c r="C27" i="27"/>
  <c r="L27" i="27" s="1"/>
  <c r="N26" i="27"/>
  <c r="M26" i="27"/>
  <c r="J26" i="27"/>
  <c r="I26" i="27"/>
  <c r="H26" i="27"/>
  <c r="C26" i="27"/>
  <c r="L26" i="27" s="1"/>
  <c r="M25" i="27"/>
  <c r="J25" i="27"/>
  <c r="N25" i="27" s="1"/>
  <c r="I25" i="27"/>
  <c r="H25" i="27"/>
  <c r="C25" i="27"/>
  <c r="L25" i="27" s="1"/>
  <c r="J24" i="27"/>
  <c r="N24" i="27" s="1"/>
  <c r="I24" i="27"/>
  <c r="M24" i="27" s="1"/>
  <c r="H24" i="27"/>
  <c r="C24" i="27"/>
  <c r="L24" i="27" s="1"/>
  <c r="N23" i="27"/>
  <c r="J23" i="27"/>
  <c r="I23" i="27"/>
  <c r="M23" i="27" s="1"/>
  <c r="H23" i="27"/>
  <c r="C23" i="27"/>
  <c r="L23" i="27" s="1"/>
  <c r="N22" i="27"/>
  <c r="M22" i="27"/>
  <c r="J22" i="27"/>
  <c r="I22" i="27"/>
  <c r="H22" i="27"/>
  <c r="C22" i="27"/>
  <c r="L22" i="27" s="1"/>
  <c r="M21" i="27"/>
  <c r="J21" i="27"/>
  <c r="N21" i="27" s="1"/>
  <c r="I21" i="27"/>
  <c r="H21" i="27"/>
  <c r="C21" i="27"/>
  <c r="L21" i="27" s="1"/>
  <c r="J20" i="27"/>
  <c r="N20" i="27" s="1"/>
  <c r="I20" i="27"/>
  <c r="M20" i="27" s="1"/>
  <c r="H20" i="27"/>
  <c r="C20" i="27"/>
  <c r="L20" i="27" s="1"/>
  <c r="N19" i="27"/>
  <c r="J19" i="27"/>
  <c r="I19" i="27"/>
  <c r="M19" i="27" s="1"/>
  <c r="H19" i="27"/>
  <c r="C19" i="27"/>
  <c r="L19" i="27" s="1"/>
  <c r="N18" i="27"/>
  <c r="M18" i="27"/>
  <c r="J18" i="27"/>
  <c r="I18" i="27"/>
  <c r="H18" i="27"/>
  <c r="C18" i="27"/>
  <c r="L18" i="27" s="1"/>
  <c r="M17" i="27"/>
  <c r="J17" i="27"/>
  <c r="N17" i="27" s="1"/>
  <c r="I17" i="27"/>
  <c r="H17" i="27"/>
  <c r="C17" i="27"/>
  <c r="L17" i="27" s="1"/>
  <c r="J16" i="27"/>
  <c r="N16" i="27" s="1"/>
  <c r="I16" i="27"/>
  <c r="M16" i="27" s="1"/>
  <c r="H16" i="27"/>
  <c r="C16" i="27"/>
  <c r="L16" i="27" s="1"/>
  <c r="J15" i="27"/>
  <c r="N15" i="27" s="1"/>
  <c r="I15" i="27"/>
  <c r="M15" i="27" s="1"/>
  <c r="H15" i="27"/>
  <c r="C15" i="27"/>
  <c r="L15" i="27" s="1"/>
  <c r="N14" i="27"/>
  <c r="M14" i="27"/>
  <c r="J14" i="27"/>
  <c r="I14" i="27"/>
  <c r="H14" i="27"/>
  <c r="C14" i="27"/>
  <c r="L14" i="27" s="1"/>
  <c r="M13" i="27"/>
  <c r="J13" i="27"/>
  <c r="N13" i="27" s="1"/>
  <c r="I13" i="27"/>
  <c r="H13" i="27"/>
  <c r="C13" i="27"/>
  <c r="L13" i="27" s="1"/>
  <c r="J12" i="27"/>
  <c r="N12" i="27" s="1"/>
  <c r="I12" i="27"/>
  <c r="M12" i="27" s="1"/>
  <c r="H12" i="27"/>
  <c r="C12" i="27"/>
  <c r="L12" i="27" s="1"/>
  <c r="N11" i="27"/>
  <c r="J11" i="27"/>
  <c r="I11" i="27"/>
  <c r="M11" i="27" s="1"/>
  <c r="H11" i="27"/>
  <c r="C11" i="27"/>
  <c r="L11" i="27" s="1"/>
  <c r="N10" i="27"/>
  <c r="M10" i="27"/>
  <c r="J10" i="27"/>
  <c r="I10" i="27"/>
  <c r="H10" i="27"/>
  <c r="C10" i="27"/>
  <c r="L10" i="27" s="1"/>
  <c r="M9" i="27"/>
  <c r="J9" i="27"/>
  <c r="N9" i="27" s="1"/>
  <c r="I9" i="27"/>
  <c r="H9" i="27"/>
  <c r="C9" i="27"/>
  <c r="L9" i="27" s="1"/>
  <c r="J8" i="27"/>
  <c r="N8" i="27" s="1"/>
  <c r="I8" i="27"/>
  <c r="M8" i="27" s="1"/>
  <c r="H8" i="27"/>
  <c r="C8" i="27"/>
  <c r="L8" i="27" s="1"/>
  <c r="N7" i="27"/>
  <c r="J7" i="27"/>
  <c r="I7" i="27"/>
  <c r="M7" i="27" s="1"/>
  <c r="H7" i="27"/>
  <c r="C7" i="27"/>
  <c r="L7" i="27" s="1"/>
  <c r="N6" i="27"/>
  <c r="M6" i="27"/>
  <c r="J6" i="27"/>
  <c r="I6" i="27"/>
  <c r="H6" i="27"/>
  <c r="C4" i="27"/>
  <c r="A2" i="27"/>
  <c r="C6" i="27" l="1"/>
  <c r="L6" i="27" s="1"/>
  <c r="K56" i="9" l="1"/>
  <c r="F19" i="9" l="1"/>
  <c r="Q30" i="9" l="1"/>
  <c r="J69" i="26" l="1"/>
  <c r="I69" i="26"/>
  <c r="H69" i="26"/>
  <c r="J68" i="26"/>
  <c r="I68" i="26"/>
  <c r="H68" i="26"/>
  <c r="J67" i="26"/>
  <c r="I67" i="26"/>
  <c r="H67" i="26"/>
  <c r="D67" i="26"/>
  <c r="J66" i="26"/>
  <c r="I66" i="26"/>
  <c r="H66" i="26"/>
  <c r="D66" i="26"/>
  <c r="J65" i="26"/>
  <c r="D65" i="26"/>
  <c r="C65" i="26"/>
  <c r="I65" i="26" s="1"/>
  <c r="B65" i="26"/>
  <c r="H65" i="26" s="1"/>
  <c r="I64" i="26"/>
  <c r="H64" i="26"/>
  <c r="D64" i="26"/>
  <c r="J64" i="26" s="1"/>
  <c r="I63" i="26"/>
  <c r="H63" i="26"/>
  <c r="D63" i="26"/>
  <c r="J63" i="26" s="1"/>
  <c r="H62" i="26"/>
  <c r="D62" i="26"/>
  <c r="J62" i="26" s="1"/>
  <c r="C62" i="26"/>
  <c r="I62" i="26" s="1"/>
  <c r="B62" i="26"/>
  <c r="J61" i="26"/>
  <c r="I61" i="26"/>
  <c r="H61" i="26"/>
  <c r="D61" i="26"/>
  <c r="J60" i="26"/>
  <c r="D60" i="26"/>
  <c r="C60" i="26"/>
  <c r="I60" i="26" s="1"/>
  <c r="B60" i="26"/>
  <c r="H60" i="26" s="1"/>
  <c r="J59" i="26"/>
  <c r="I59" i="26"/>
  <c r="H59" i="26"/>
  <c r="I58" i="26"/>
  <c r="H58" i="26"/>
  <c r="D58" i="26"/>
  <c r="J58" i="26" s="1"/>
  <c r="C57" i="26"/>
  <c r="I57" i="26" s="1"/>
  <c r="B57" i="26"/>
  <c r="H57" i="26" s="1"/>
  <c r="I56" i="26"/>
  <c r="H56" i="26"/>
  <c r="D56" i="26"/>
  <c r="J56" i="26" s="1"/>
  <c r="I55" i="26"/>
  <c r="H55" i="26"/>
  <c r="D55" i="26"/>
  <c r="J55" i="26" s="1"/>
  <c r="I54" i="26"/>
  <c r="D54" i="26"/>
  <c r="J54" i="26" s="1"/>
  <c r="C54" i="26"/>
  <c r="B54" i="26"/>
  <c r="H54" i="26" s="1"/>
  <c r="I53" i="26"/>
  <c r="H53" i="26"/>
  <c r="D53" i="26"/>
  <c r="J53" i="26" s="1"/>
  <c r="I52" i="26"/>
  <c r="H52" i="26"/>
  <c r="D52" i="26"/>
  <c r="J52" i="26" s="1"/>
  <c r="I51" i="26"/>
  <c r="H51" i="26"/>
  <c r="D51" i="26"/>
  <c r="J51" i="26" s="1"/>
  <c r="D50" i="26"/>
  <c r="J50" i="26" s="1"/>
  <c r="C50" i="26"/>
  <c r="I50" i="26" s="1"/>
  <c r="I48" i="26" s="1"/>
  <c r="B50" i="26"/>
  <c r="H50" i="26" s="1"/>
  <c r="B48" i="26"/>
  <c r="I46" i="26"/>
  <c r="H46" i="26"/>
  <c r="D46" i="26"/>
  <c r="J46" i="26" s="1"/>
  <c r="I45" i="26"/>
  <c r="H45" i="26"/>
  <c r="D45" i="26"/>
  <c r="J45" i="26" s="1"/>
  <c r="D44" i="26"/>
  <c r="J44" i="26" s="1"/>
  <c r="C44" i="26"/>
  <c r="I44" i="26" s="1"/>
  <c r="B44" i="26"/>
  <c r="H44" i="26" s="1"/>
  <c r="I43" i="26"/>
  <c r="H43" i="26"/>
  <c r="D43" i="26"/>
  <c r="J43" i="26" s="1"/>
  <c r="C43" i="26"/>
  <c r="C42" i="26"/>
  <c r="I42" i="26" s="1"/>
  <c r="B42" i="26"/>
  <c r="H42" i="26" s="1"/>
  <c r="I41" i="26"/>
  <c r="H41" i="26"/>
  <c r="D41" i="26"/>
  <c r="J41" i="26" s="1"/>
  <c r="I40" i="26"/>
  <c r="H40" i="26"/>
  <c r="D40" i="26"/>
  <c r="J40" i="26" s="1"/>
  <c r="H39" i="26"/>
  <c r="D39" i="26"/>
  <c r="J39" i="26" s="1"/>
  <c r="C39" i="26"/>
  <c r="I39" i="26" s="1"/>
  <c r="B39" i="26"/>
  <c r="J38" i="26"/>
  <c r="I38" i="26"/>
  <c r="H38" i="26"/>
  <c r="D38" i="26"/>
  <c r="J37" i="26"/>
  <c r="I37" i="26"/>
  <c r="H37" i="26"/>
  <c r="D37" i="26"/>
  <c r="J36" i="26"/>
  <c r="D36" i="26"/>
  <c r="C36" i="26"/>
  <c r="I36" i="26" s="1"/>
  <c r="B36" i="26"/>
  <c r="H36" i="26" s="1"/>
  <c r="J35" i="26"/>
  <c r="I35" i="26"/>
  <c r="H35" i="26"/>
  <c r="H34" i="26"/>
  <c r="D34" i="26"/>
  <c r="J34" i="26" s="1"/>
  <c r="C34" i="26"/>
  <c r="I34" i="26" s="1"/>
  <c r="H33" i="26"/>
  <c r="H32" i="26" s="1"/>
  <c r="D33" i="26"/>
  <c r="J33" i="26" s="1"/>
  <c r="J32" i="26" s="1"/>
  <c r="C33" i="26"/>
  <c r="I33" i="26" s="1"/>
  <c r="I32" i="26" s="1"/>
  <c r="G32" i="26"/>
  <c r="F32" i="26"/>
  <c r="E32" i="26"/>
  <c r="C32" i="26"/>
  <c r="B32" i="26"/>
  <c r="J31" i="26"/>
  <c r="I31" i="26"/>
  <c r="H31" i="26"/>
  <c r="D31" i="26"/>
  <c r="J30" i="26"/>
  <c r="I30" i="26"/>
  <c r="H30" i="26"/>
  <c r="D30" i="26"/>
  <c r="J29" i="26"/>
  <c r="I29" i="26"/>
  <c r="H29" i="26"/>
  <c r="D29" i="26"/>
  <c r="J28" i="26"/>
  <c r="I28" i="26"/>
  <c r="I27" i="26" s="1"/>
  <c r="I26" i="26" s="1"/>
  <c r="I70" i="26" s="1"/>
  <c r="H28" i="26"/>
  <c r="G28" i="26"/>
  <c r="F28" i="26"/>
  <c r="F27" i="26" s="1"/>
  <c r="F26" i="26" s="1"/>
  <c r="F70" i="26" s="1"/>
  <c r="E28" i="26"/>
  <c r="E27" i="26" s="1"/>
  <c r="E26" i="26" s="1"/>
  <c r="E70" i="26" s="1"/>
  <c r="D28" i="26"/>
  <c r="C28" i="26"/>
  <c r="B28" i="26"/>
  <c r="B27" i="26" s="1"/>
  <c r="B26" i="26" s="1"/>
  <c r="B70" i="26" s="1"/>
  <c r="G27" i="26"/>
  <c r="G26" i="26" s="1"/>
  <c r="G70" i="26" s="1"/>
  <c r="C27" i="26"/>
  <c r="J23" i="26"/>
  <c r="I23" i="26"/>
  <c r="H23" i="26"/>
  <c r="I22" i="26"/>
  <c r="H22" i="26"/>
  <c r="D22" i="26"/>
  <c r="J22" i="26" s="1"/>
  <c r="J21" i="26" s="1"/>
  <c r="J20" i="26" s="1"/>
  <c r="I21" i="26"/>
  <c r="I20" i="26" s="1"/>
  <c r="H21" i="26"/>
  <c r="H20" i="26" s="1"/>
  <c r="G21" i="26"/>
  <c r="F21" i="26"/>
  <c r="E21" i="26"/>
  <c r="E20" i="26" s="1"/>
  <c r="D21" i="26"/>
  <c r="D20" i="26" s="1"/>
  <c r="D12" i="26" s="1"/>
  <c r="C21" i="26"/>
  <c r="B21" i="26"/>
  <c r="G20" i="26"/>
  <c r="F20" i="26"/>
  <c r="C20" i="26"/>
  <c r="B20" i="26"/>
  <c r="J19" i="26"/>
  <c r="I19" i="26"/>
  <c r="H19" i="26"/>
  <c r="J18" i="26"/>
  <c r="J17" i="26" s="1"/>
  <c r="I18" i="26"/>
  <c r="H18" i="26"/>
  <c r="I17" i="26"/>
  <c r="I12" i="26" s="1"/>
  <c r="H17" i="26"/>
  <c r="G17" i="26"/>
  <c r="F17" i="26"/>
  <c r="E17" i="26"/>
  <c r="E12" i="26" s="1"/>
  <c r="D17" i="26"/>
  <c r="C17" i="26"/>
  <c r="B17" i="26"/>
  <c r="J16" i="26"/>
  <c r="I16" i="26"/>
  <c r="H16" i="26"/>
  <c r="D16" i="26"/>
  <c r="J15" i="26"/>
  <c r="I15" i="26"/>
  <c r="H15" i="26"/>
  <c r="D15" i="26"/>
  <c r="J14" i="26"/>
  <c r="I14" i="26"/>
  <c r="H14" i="26"/>
  <c r="D14" i="26"/>
  <c r="J13" i="26"/>
  <c r="I13" i="26"/>
  <c r="H13" i="26"/>
  <c r="G13" i="26"/>
  <c r="F13" i="26"/>
  <c r="F12" i="26" s="1"/>
  <c r="E13" i="26"/>
  <c r="D13" i="26"/>
  <c r="C13" i="26"/>
  <c r="B13" i="26"/>
  <c r="B12" i="26" s="1"/>
  <c r="H12" i="26"/>
  <c r="G12" i="26"/>
  <c r="C12" i="26"/>
  <c r="H11" i="26"/>
  <c r="F11" i="26"/>
  <c r="G11" i="26" s="1"/>
  <c r="D11" i="26"/>
  <c r="J11" i="26" s="1"/>
  <c r="H10" i="26"/>
  <c r="F10" i="26"/>
  <c r="I10" i="26" s="1"/>
  <c r="D10" i="26"/>
  <c r="I9" i="26"/>
  <c r="H9" i="26"/>
  <c r="D9" i="26"/>
  <c r="J9" i="26" s="1"/>
  <c r="H8" i="26"/>
  <c r="E8" i="26"/>
  <c r="D8" i="26"/>
  <c r="C8" i="26"/>
  <c r="C24" i="26" s="1"/>
  <c r="B8" i="26"/>
  <c r="B24" i="26" s="1"/>
  <c r="I7" i="26"/>
  <c r="H7" i="26"/>
  <c r="H24" i="26" s="1"/>
  <c r="G7" i="26"/>
  <c r="D7" i="26"/>
  <c r="D24" i="26" s="1"/>
  <c r="A3" i="26"/>
  <c r="D49" i="25"/>
  <c r="C49" i="25"/>
  <c r="D43" i="25"/>
  <c r="D41" i="25"/>
  <c r="C41" i="25"/>
  <c r="C33" i="25" s="1"/>
  <c r="D33" i="25"/>
  <c r="D25" i="25"/>
  <c r="C25" i="25"/>
  <c r="D20" i="25"/>
  <c r="C20" i="25"/>
  <c r="C15" i="25"/>
  <c r="D13" i="25"/>
  <c r="D12" i="25" s="1"/>
  <c r="C13" i="25"/>
  <c r="C12" i="25" s="1"/>
  <c r="D8" i="25"/>
  <c r="C8" i="25"/>
  <c r="C4" i="25"/>
  <c r="A3" i="25"/>
  <c r="H27" i="26" l="1"/>
  <c r="H26" i="26" s="1"/>
  <c r="H70" i="26" s="1"/>
  <c r="I8" i="26"/>
  <c r="I24" i="26" s="1"/>
  <c r="J12" i="26"/>
  <c r="E24" i="26"/>
  <c r="H48" i="26"/>
  <c r="J48" i="26"/>
  <c r="D57" i="26"/>
  <c r="J57" i="26" s="1"/>
  <c r="J7" i="26"/>
  <c r="G10" i="26"/>
  <c r="I11" i="26"/>
  <c r="D42" i="26"/>
  <c r="J42" i="26" s="1"/>
  <c r="J27" i="26" s="1"/>
  <c r="J26" i="26" s="1"/>
  <c r="J70" i="26" s="1"/>
  <c r="C48" i="26"/>
  <c r="C26" i="26" s="1"/>
  <c r="C70" i="26" s="1"/>
  <c r="F8" i="26"/>
  <c r="F24" i="26" s="1"/>
  <c r="D32" i="26"/>
  <c r="D27" i="26" s="1"/>
  <c r="C7" i="25"/>
  <c r="C6" i="25" s="1"/>
  <c r="C54" i="25" s="1"/>
  <c r="D7" i="25"/>
  <c r="D6" i="25" s="1"/>
  <c r="D54" i="25" s="1"/>
  <c r="D48" i="26" l="1"/>
  <c r="D26" i="26" s="1"/>
  <c r="D70" i="26" s="1"/>
  <c r="G8" i="26"/>
  <c r="G24" i="26" s="1"/>
  <c r="J10" i="26"/>
  <c r="J8" i="26" s="1"/>
  <c r="J24" i="26" s="1"/>
  <c r="H10" i="23" l="1"/>
  <c r="F6" i="9"/>
  <c r="J95" i="23"/>
  <c r="J87" i="23"/>
  <c r="J86" i="23"/>
  <c r="J61" i="23"/>
  <c r="J48" i="23"/>
  <c r="J26" i="23"/>
  <c r="H116" i="23"/>
  <c r="H117" i="23"/>
  <c r="I42" i="23"/>
  <c r="I13" i="23"/>
  <c r="I63" i="23"/>
  <c r="H63" i="23"/>
  <c r="F63" i="23"/>
  <c r="D63" i="23"/>
  <c r="D62" i="23"/>
  <c r="E52" i="23"/>
  <c r="D52" i="23"/>
  <c r="D30" i="23"/>
  <c r="I41" i="23"/>
  <c r="I44" i="23" s="1"/>
  <c r="N30" i="9"/>
  <c r="I20" i="23"/>
  <c r="I9" i="23"/>
  <c r="H136" i="23"/>
  <c r="I108" i="23"/>
  <c r="H80" i="23"/>
  <c r="I55" i="23"/>
  <c r="I120" i="23"/>
  <c r="H97" i="23"/>
  <c r="H98" i="23"/>
  <c r="H99" i="23"/>
  <c r="H100" i="23"/>
  <c r="H102" i="23"/>
  <c r="H103" i="23"/>
  <c r="H104" i="23"/>
  <c r="H105" i="23"/>
  <c r="H106" i="23"/>
  <c r="H107" i="23"/>
  <c r="H108" i="23"/>
  <c r="H109" i="23"/>
  <c r="H41" i="23"/>
  <c r="F117" i="23"/>
  <c r="F118" i="23"/>
  <c r="F116" i="23"/>
  <c r="F64" i="23"/>
  <c r="F66" i="23"/>
  <c r="F67" i="23"/>
  <c r="F62" i="23"/>
  <c r="H55" i="23"/>
  <c r="H152" i="23"/>
  <c r="H153" i="23"/>
  <c r="I153" i="23"/>
  <c r="H154" i="23"/>
  <c r="I154" i="23"/>
  <c r="H137" i="23"/>
  <c r="H138" i="23"/>
  <c r="I138" i="23"/>
  <c r="H139" i="23"/>
  <c r="I139" i="23"/>
  <c r="H140" i="23"/>
  <c r="I140" i="23"/>
  <c r="H141" i="23"/>
  <c r="H142" i="23"/>
  <c r="I142" i="23"/>
  <c r="H143" i="23"/>
  <c r="I143" i="23"/>
  <c r="H135" i="23"/>
  <c r="H127" i="23"/>
  <c r="H128" i="23"/>
  <c r="H129" i="23"/>
  <c r="H126" i="23"/>
  <c r="H118" i="23"/>
  <c r="H119" i="23"/>
  <c r="H120" i="23"/>
  <c r="I96" i="23"/>
  <c r="I100" i="23"/>
  <c r="I109" i="23"/>
  <c r="I110" i="23"/>
  <c r="J110" i="23" s="1"/>
  <c r="H88" i="23"/>
  <c r="I88" i="23"/>
  <c r="H89" i="23"/>
  <c r="H75" i="23"/>
  <c r="I75" i="23"/>
  <c r="H77" i="23"/>
  <c r="H78" i="23"/>
  <c r="I78" i="23"/>
  <c r="H79" i="23"/>
  <c r="H74" i="23"/>
  <c r="H64" i="23"/>
  <c r="I64" i="23"/>
  <c r="H65" i="23"/>
  <c r="H66" i="23"/>
  <c r="I66" i="23"/>
  <c r="H67" i="23"/>
  <c r="H68" i="23"/>
  <c r="I68" i="23"/>
  <c r="H62" i="23"/>
  <c r="H49" i="23"/>
  <c r="H50" i="23"/>
  <c r="H51" i="23"/>
  <c r="I51" i="23"/>
  <c r="H52" i="23"/>
  <c r="H53" i="23"/>
  <c r="H54" i="23"/>
  <c r="I54" i="23"/>
  <c r="H27" i="23"/>
  <c r="H28" i="23"/>
  <c r="I28" i="23"/>
  <c r="H29" i="23"/>
  <c r="H31" i="23"/>
  <c r="H32" i="23"/>
  <c r="H33" i="23"/>
  <c r="I33" i="23"/>
  <c r="H35" i="23"/>
  <c r="I11" i="23"/>
  <c r="I15" i="23"/>
  <c r="I16" i="23"/>
  <c r="H11" i="23"/>
  <c r="H12" i="23"/>
  <c r="H13" i="23"/>
  <c r="H15" i="23"/>
  <c r="H16" i="23"/>
  <c r="H17" i="23"/>
  <c r="H18" i="23"/>
  <c r="H19" i="23"/>
  <c r="H20" i="23"/>
  <c r="J149" i="23"/>
  <c r="I150" i="23"/>
  <c r="J150" i="23" s="1"/>
  <c r="I105" i="23"/>
  <c r="I106" i="23"/>
  <c r="I101" i="23"/>
  <c r="I79" i="23"/>
  <c r="I52" i="23"/>
  <c r="I14" i="23"/>
  <c r="D2" i="24"/>
  <c r="D5" i="24"/>
  <c r="D9" i="24"/>
  <c r="D11" i="24"/>
  <c r="D13" i="24"/>
  <c r="D14" i="24"/>
  <c r="E18" i="17"/>
  <c r="F9" i="22"/>
  <c r="G9" i="22"/>
  <c r="B10" i="22"/>
  <c r="C10" i="22"/>
  <c r="D10" i="22"/>
  <c r="E10" i="22"/>
  <c r="F11" i="22"/>
  <c r="G11" i="22"/>
  <c r="F12" i="22"/>
  <c r="G12" i="22"/>
  <c r="F13" i="22"/>
  <c r="G13" i="22"/>
  <c r="G10" i="22" s="1"/>
  <c r="C15" i="22"/>
  <c r="C14" i="22"/>
  <c r="D15" i="22"/>
  <c r="D14" i="22"/>
  <c r="E16" i="22"/>
  <c r="G16" i="22" s="1"/>
  <c r="G15" i="22" s="1"/>
  <c r="G14" i="22" s="1"/>
  <c r="F16" i="22"/>
  <c r="F17" i="22"/>
  <c r="G17" i="22"/>
  <c r="B18" i="22"/>
  <c r="F18" i="22" s="1"/>
  <c r="G18" i="22"/>
  <c r="B19" i="22"/>
  <c r="C19" i="22"/>
  <c r="D19" i="22"/>
  <c r="E19" i="22"/>
  <c r="F20" i="22"/>
  <c r="G20" i="22"/>
  <c r="G19" i="22" s="1"/>
  <c r="F21" i="22"/>
  <c r="G21" i="22"/>
  <c r="B23" i="22"/>
  <c r="C23" i="22"/>
  <c r="D23" i="22"/>
  <c r="E23" i="22"/>
  <c r="F24" i="22"/>
  <c r="F23" i="22" s="1"/>
  <c r="G24" i="22"/>
  <c r="G23" i="22" s="1"/>
  <c r="B29" i="22"/>
  <c r="C29" i="22"/>
  <c r="D29" i="22"/>
  <c r="E29" i="22"/>
  <c r="F30" i="22"/>
  <c r="G30" i="22"/>
  <c r="F31" i="22"/>
  <c r="G31" i="22"/>
  <c r="F32" i="22"/>
  <c r="G32" i="22"/>
  <c r="F33" i="22"/>
  <c r="G33" i="22"/>
  <c r="B34" i="22"/>
  <c r="C34" i="22"/>
  <c r="D34" i="22"/>
  <c r="E34" i="22"/>
  <c r="F35" i="22"/>
  <c r="G35" i="22"/>
  <c r="F36" i="22"/>
  <c r="G36" i="22"/>
  <c r="F37" i="22"/>
  <c r="G37" i="22"/>
  <c r="F38" i="22"/>
  <c r="G38" i="22"/>
  <c r="G34" i="22" s="1"/>
  <c r="F39" i="22"/>
  <c r="G39" i="22"/>
  <c r="B40" i="22"/>
  <c r="C40" i="22"/>
  <c r="D40" i="22"/>
  <c r="E40" i="22"/>
  <c r="F41" i="22"/>
  <c r="G41" i="22"/>
  <c r="F42" i="22"/>
  <c r="G42" i="22"/>
  <c r="F43" i="22"/>
  <c r="F40" i="22"/>
  <c r="G43" i="22"/>
  <c r="G40" i="22"/>
  <c r="B44" i="22"/>
  <c r="C44" i="22"/>
  <c r="D44" i="22"/>
  <c r="E44" i="22"/>
  <c r="F45" i="22"/>
  <c r="F44" i="22"/>
  <c r="G45" i="22"/>
  <c r="F46" i="22"/>
  <c r="G46" i="22"/>
  <c r="G44" i="22"/>
  <c r="B47" i="22"/>
  <c r="C47" i="22"/>
  <c r="D47" i="22"/>
  <c r="E47" i="22"/>
  <c r="F48" i="22"/>
  <c r="F47" i="22"/>
  <c r="G48" i="22"/>
  <c r="G47" i="22"/>
  <c r="B49" i="22"/>
  <c r="C49" i="22"/>
  <c r="D49" i="22"/>
  <c r="E49" i="22"/>
  <c r="F50" i="22"/>
  <c r="G50" i="22"/>
  <c r="G49" i="22" s="1"/>
  <c r="F51" i="22"/>
  <c r="F49" i="22" s="1"/>
  <c r="G51" i="22"/>
  <c r="F52" i="22"/>
  <c r="G52" i="22"/>
  <c r="F53" i="22"/>
  <c r="G53" i="22"/>
  <c r="F59" i="22"/>
  <c r="C9" i="21"/>
  <c r="D9" i="21"/>
  <c r="C14" i="21"/>
  <c r="D14" i="21"/>
  <c r="C22" i="21"/>
  <c r="C21" i="21" s="1"/>
  <c r="D22" i="21"/>
  <c r="C25" i="21"/>
  <c r="D25" i="21"/>
  <c r="C27" i="21"/>
  <c r="D27" i="21"/>
  <c r="C29" i="21"/>
  <c r="D29" i="21"/>
  <c r="C30" i="21"/>
  <c r="D30" i="21"/>
  <c r="C32" i="21"/>
  <c r="D32" i="21"/>
  <c r="C33" i="21"/>
  <c r="D33" i="21"/>
  <c r="D34" i="21"/>
  <c r="C41" i="21"/>
  <c r="D41" i="21"/>
  <c r="C44" i="21"/>
  <c r="D44" i="21"/>
  <c r="C46" i="21"/>
  <c r="D46" i="21"/>
  <c r="C51" i="21"/>
  <c r="D51" i="21"/>
  <c r="D50" i="21" s="1"/>
  <c r="C53" i="21"/>
  <c r="J9" i="18"/>
  <c r="A10" i="18"/>
  <c r="D10" i="18"/>
  <c r="J10" i="18"/>
  <c r="D12" i="18"/>
  <c r="J12" i="18"/>
  <c r="D13" i="18"/>
  <c r="J13" i="18"/>
  <c r="D14" i="18"/>
  <c r="J14" i="18"/>
  <c r="D15" i="18"/>
  <c r="J15" i="18"/>
  <c r="J17" i="18"/>
  <c r="D19" i="18"/>
  <c r="J19" i="18"/>
  <c r="A20" i="18"/>
  <c r="A21" i="18"/>
  <c r="A23" i="18" s="1"/>
  <c r="A25" i="18"/>
  <c r="J20" i="18"/>
  <c r="D21" i="18"/>
  <c r="J21" i="18"/>
  <c r="D22" i="18"/>
  <c r="J22" i="18"/>
  <c r="D23" i="18"/>
  <c r="J23" i="18"/>
  <c r="D24" i="18"/>
  <c r="J24" i="18"/>
  <c r="J25" i="18"/>
  <c r="J27" i="18"/>
  <c r="D28" i="18"/>
  <c r="J28" i="18"/>
  <c r="A29" i="18"/>
  <c r="A31" i="18" s="1"/>
  <c r="A32" i="18" s="1"/>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K13" i="23"/>
  <c r="K21" i="23"/>
  <c r="N23" i="23"/>
  <c r="M48" i="23"/>
  <c r="N83" i="23"/>
  <c r="O83" i="23"/>
  <c r="M102" i="23"/>
  <c r="M112" i="23"/>
  <c r="N102" i="23"/>
  <c r="N112" i="23"/>
  <c r="O112" i="23"/>
  <c r="K145" i="23"/>
  <c r="M145" i="23"/>
  <c r="O145" i="23"/>
  <c r="I17" i="23"/>
  <c r="I18" i="23"/>
  <c r="G29" i="22"/>
  <c r="I117" i="23"/>
  <c r="I76" i="23"/>
  <c r="I98" i="23"/>
  <c r="I99" i="23"/>
  <c r="F10" i="22"/>
  <c r="I102" i="23"/>
  <c r="D42" i="21"/>
  <c r="F19" i="22"/>
  <c r="D28" i="22"/>
  <c r="B15" i="22"/>
  <c r="B14" i="22" s="1"/>
  <c r="K30" i="9"/>
  <c r="I10" i="23"/>
  <c r="H9" i="23"/>
  <c r="I30" i="23"/>
  <c r="J30" i="23" s="1"/>
  <c r="H42" i="23"/>
  <c r="J42" i="23" s="1"/>
  <c r="I119" i="23"/>
  <c r="I12" i="23"/>
  <c r="I97" i="23"/>
  <c r="F65" i="23"/>
  <c r="E15" i="22"/>
  <c r="E14" i="22" s="1"/>
  <c r="E26" i="22" s="1"/>
  <c r="C50" i="21"/>
  <c r="J13" i="23" l="1"/>
  <c r="J9" i="23"/>
  <c r="D26" i="21"/>
  <c r="D13" i="21" s="1"/>
  <c r="D8" i="21" s="1"/>
  <c r="D7" i="21" s="1"/>
  <c r="D21" i="21"/>
  <c r="I118" i="23"/>
  <c r="J66" i="23"/>
  <c r="J16" i="23"/>
  <c r="J28" i="23"/>
  <c r="J68" i="23"/>
  <c r="I27" i="23"/>
  <c r="I128" i="23"/>
  <c r="J128" i="23" s="1"/>
  <c r="I104" i="23"/>
  <c r="J104" i="23" s="1"/>
  <c r="I65" i="23"/>
  <c r="J65" i="23" s="1"/>
  <c r="J11" i="23"/>
  <c r="J78" i="23"/>
  <c r="J108" i="23"/>
  <c r="J55" i="23"/>
  <c r="I136" i="23"/>
  <c r="J136" i="23" s="1"/>
  <c r="J75" i="23"/>
  <c r="I67" i="23"/>
  <c r="J67" i="23" s="1"/>
  <c r="H130" i="23"/>
  <c r="M111" i="9"/>
  <c r="Q46" i="9"/>
  <c r="J98" i="23"/>
  <c r="J88" i="23"/>
  <c r="J154" i="23"/>
  <c r="M64" i="9"/>
  <c r="J27" i="23"/>
  <c r="J33" i="23"/>
  <c r="J79" i="23"/>
  <c r="I77" i="23"/>
  <c r="J77" i="23" s="1"/>
  <c r="I80" i="23"/>
  <c r="J80" i="23" s="1"/>
  <c r="N88" i="9"/>
  <c r="J118" i="23"/>
  <c r="J20" i="23"/>
  <c r="J63" i="23"/>
  <c r="I29" i="23"/>
  <c r="J29" i="23" s="1"/>
  <c r="M30" i="9"/>
  <c r="O30" i="9" s="1"/>
  <c r="Q88" i="9"/>
  <c r="I31" i="23"/>
  <c r="J31" i="23" s="1"/>
  <c r="I135" i="23"/>
  <c r="J135" i="23" s="1"/>
  <c r="J15" i="23"/>
  <c r="J54" i="23"/>
  <c r="J64" i="23"/>
  <c r="J138" i="23"/>
  <c r="J153" i="23"/>
  <c r="I116" i="23"/>
  <c r="I122" i="23" s="1"/>
  <c r="N34" i="9"/>
  <c r="M101" i="9"/>
  <c r="N56" i="9"/>
  <c r="K34" i="9"/>
  <c r="K64" i="9"/>
  <c r="K55" i="9" s="1"/>
  <c r="J51" i="23"/>
  <c r="I89" i="23"/>
  <c r="J89" i="23" s="1"/>
  <c r="H101" i="23"/>
  <c r="J101" i="23" s="1"/>
  <c r="M46" i="9"/>
  <c r="J10" i="23"/>
  <c r="H90" i="23"/>
  <c r="I141" i="23"/>
  <c r="J141" i="23" s="1"/>
  <c r="J97" i="23"/>
  <c r="M56" i="9"/>
  <c r="I107" i="23"/>
  <c r="J107" i="23" s="1"/>
  <c r="I129" i="23"/>
  <c r="J129" i="23" s="1"/>
  <c r="N46" i="9"/>
  <c r="I151" i="23"/>
  <c r="J151" i="23" s="1"/>
  <c r="I32" i="23"/>
  <c r="J32" i="23" s="1"/>
  <c r="H69" i="23"/>
  <c r="J139" i="23"/>
  <c r="J119" i="23"/>
  <c r="M88" i="9"/>
  <c r="I62" i="23"/>
  <c r="J62" i="23" s="1"/>
  <c r="I53" i="23"/>
  <c r="J53" i="23" s="1"/>
  <c r="I35" i="23"/>
  <c r="J35" i="23" s="1"/>
  <c r="J17" i="23"/>
  <c r="N101" i="9"/>
  <c r="J52" i="23"/>
  <c r="J142" i="23"/>
  <c r="J106" i="23"/>
  <c r="J143" i="23"/>
  <c r="K19" i="9"/>
  <c r="H144" i="23"/>
  <c r="K101" i="9"/>
  <c r="K46" i="9"/>
  <c r="I49" i="23"/>
  <c r="J49" i="23" s="1"/>
  <c r="N64" i="9"/>
  <c r="F119" i="23"/>
  <c r="J105" i="23"/>
  <c r="I103" i="23"/>
  <c r="J103" i="23" s="1"/>
  <c r="N19" i="9"/>
  <c r="M95" i="9"/>
  <c r="J102" i="23"/>
  <c r="K95" i="9"/>
  <c r="Q64" i="9"/>
  <c r="I34" i="23"/>
  <c r="J100" i="23"/>
  <c r="K111" i="9"/>
  <c r="N111" i="9"/>
  <c r="N100" i="9" s="1"/>
  <c r="F30" i="9"/>
  <c r="Q111" i="9"/>
  <c r="J99" i="23"/>
  <c r="B28" i="22"/>
  <c r="F28" i="22" s="1"/>
  <c r="J117" i="23"/>
  <c r="E28" i="22"/>
  <c r="E55" i="22" s="1"/>
  <c r="C28" i="22"/>
  <c r="J18" i="23"/>
  <c r="H14" i="23"/>
  <c r="H34" i="23"/>
  <c r="M19" i="9"/>
  <c r="M34" i="9"/>
  <c r="H56" i="23"/>
  <c r="H76" i="23"/>
  <c r="I126" i="23"/>
  <c r="J126" i="23" s="1"/>
  <c r="N95" i="9"/>
  <c r="I127" i="23"/>
  <c r="J127" i="23" s="1"/>
  <c r="J140" i="23"/>
  <c r="I137" i="23"/>
  <c r="J137" i="23" s="1"/>
  <c r="J152" i="23"/>
  <c r="H155" i="23"/>
  <c r="J41" i="23"/>
  <c r="H43" i="23"/>
  <c r="J109" i="23"/>
  <c r="H96" i="23"/>
  <c r="M70" i="9"/>
  <c r="M69" i="9" s="1"/>
  <c r="J12" i="23"/>
  <c r="J120" i="23"/>
  <c r="H121" i="23"/>
  <c r="K88" i="9"/>
  <c r="C42" i="21"/>
  <c r="C34" i="21" s="1"/>
  <c r="F34" i="22"/>
  <c r="F29" i="22"/>
  <c r="D26" i="22"/>
  <c r="D55" i="22" s="1"/>
  <c r="M6" i="9"/>
  <c r="N6" i="9"/>
  <c r="I19" i="23"/>
  <c r="J19" i="23" s="1"/>
  <c r="F15" i="22"/>
  <c r="F14" i="22" s="1"/>
  <c r="F26" i="22" s="1"/>
  <c r="F55" i="22" s="1"/>
  <c r="F58" i="22" s="1"/>
  <c r="F60" i="22" s="1"/>
  <c r="N70" i="9"/>
  <c r="I74" i="23"/>
  <c r="C26" i="22"/>
  <c r="C55" i="22" s="1"/>
  <c r="I50" i="23"/>
  <c r="B26" i="22"/>
  <c r="B55" i="22" s="1"/>
  <c r="C26" i="21"/>
  <c r="P30" i="9"/>
  <c r="R30" i="9" s="1"/>
  <c r="C13" i="21"/>
  <c r="C8" i="21" s="1"/>
  <c r="P64" i="9"/>
  <c r="R64" i="9" s="1"/>
  <c r="D55" i="21"/>
  <c r="O101" i="9" l="1"/>
  <c r="O56" i="9"/>
  <c r="K87" i="9"/>
  <c r="F95" i="9"/>
  <c r="K70" i="9"/>
  <c r="K69" i="9" s="1"/>
  <c r="I156" i="23"/>
  <c r="I157" i="23" s="1"/>
  <c r="F64" i="9"/>
  <c r="O88" i="9"/>
  <c r="O64" i="9"/>
  <c r="M55" i="9"/>
  <c r="F46" i="9"/>
  <c r="F101" i="9"/>
  <c r="F5" i="9"/>
  <c r="M100" i="9"/>
  <c r="O100" i="9" s="1"/>
  <c r="F56" i="9"/>
  <c r="F55" i="9" s="1"/>
  <c r="M87" i="9"/>
  <c r="Q87" i="9"/>
  <c r="Q56" i="9"/>
  <c r="Q55" i="9" s="1"/>
  <c r="O46" i="9"/>
  <c r="I112" i="23"/>
  <c r="F88" i="9"/>
  <c r="Q101" i="9"/>
  <c r="Q100" i="9" s="1"/>
  <c r="Q70" i="9"/>
  <c r="Q69" i="9" s="1"/>
  <c r="O111" i="9"/>
  <c r="I145" i="23"/>
  <c r="O19" i="9"/>
  <c r="F111" i="9"/>
  <c r="F100" i="9" s="1"/>
  <c r="F34" i="9"/>
  <c r="I70" i="23"/>
  <c r="I71" i="23" s="1"/>
  <c r="Q19" i="9"/>
  <c r="N33" i="9"/>
  <c r="I37" i="23"/>
  <c r="M5" i="9"/>
  <c r="I91" i="23"/>
  <c r="I92" i="23" s="1"/>
  <c r="J121" i="23"/>
  <c r="K6" i="9"/>
  <c r="K5" i="9" s="1"/>
  <c r="N55" i="9"/>
  <c r="Q34" i="9"/>
  <c r="Q33" i="9" s="1"/>
  <c r="K33" i="9"/>
  <c r="F70" i="9"/>
  <c r="F69" i="9" s="1"/>
  <c r="Q6" i="9"/>
  <c r="K100" i="9"/>
  <c r="J155" i="23"/>
  <c r="Q95" i="9"/>
  <c r="I146" i="23"/>
  <c r="J144" i="23"/>
  <c r="G26" i="22"/>
  <c r="C7" i="21"/>
  <c r="C55" i="21" s="1"/>
  <c r="I82" i="23"/>
  <c r="J74" i="23"/>
  <c r="O6" i="9"/>
  <c r="N5" i="9"/>
  <c r="I45" i="23"/>
  <c r="J43" i="23"/>
  <c r="O95" i="9"/>
  <c r="N87" i="9"/>
  <c r="H21" i="23"/>
  <c r="J14" i="23"/>
  <c r="J76" i="23"/>
  <c r="H81" i="23"/>
  <c r="I22" i="23"/>
  <c r="I131" i="23"/>
  <c r="I123" i="23"/>
  <c r="I57" i="23"/>
  <c r="I58" i="23" s="1"/>
  <c r="J50" i="23"/>
  <c r="O70" i="9"/>
  <c r="N69" i="9"/>
  <c r="O69" i="9" s="1"/>
  <c r="J96" i="23"/>
  <c r="H111" i="23"/>
  <c r="M33" i="9"/>
  <c r="O34" i="9"/>
  <c r="J34" i="23"/>
  <c r="H36" i="23"/>
  <c r="J36" i="23" s="1"/>
  <c r="G28" i="22"/>
  <c r="P6" i="9"/>
  <c r="O87" i="9" l="1"/>
  <c r="P95" i="9"/>
  <c r="R95" i="9" s="1"/>
  <c r="F87" i="9"/>
  <c r="F118" i="9" s="1"/>
  <c r="F33" i="9"/>
  <c r="O55" i="9"/>
  <c r="J69" i="23"/>
  <c r="O33" i="9"/>
  <c r="J90" i="23"/>
  <c r="J111" i="23"/>
  <c r="Q118" i="9"/>
  <c r="Q5" i="9"/>
  <c r="K118" i="9"/>
  <c r="E18" i="24" s="1"/>
  <c r="J81" i="23"/>
  <c r="I132" i="23"/>
  <c r="J130" i="23"/>
  <c r="M118" i="9"/>
  <c r="O5" i="9"/>
  <c r="N118" i="9"/>
  <c r="I113" i="23"/>
  <c r="I23" i="23"/>
  <c r="I159" i="23"/>
  <c r="I158" i="23"/>
  <c r="J21" i="23"/>
  <c r="J56" i="23"/>
  <c r="P70" i="9"/>
  <c r="P69" i="9" s="1"/>
  <c r="R69" i="9" s="1"/>
  <c r="I38" i="23"/>
  <c r="I83" i="23"/>
  <c r="G55" i="22"/>
  <c r="P34" i="9"/>
  <c r="R6" i="9"/>
  <c r="P46" i="9" l="1"/>
  <c r="R46" i="9" s="1"/>
  <c r="P88" i="9"/>
  <c r="R88" i="9" s="1"/>
  <c r="P101" i="9"/>
  <c r="R101" i="9" s="1"/>
  <c r="P111" i="9"/>
  <c r="R111" i="9" s="1"/>
  <c r="P56" i="9"/>
  <c r="R56" i="9" s="1"/>
  <c r="O118" i="9"/>
  <c r="I160" i="23"/>
  <c r="R70" i="9"/>
  <c r="J158" i="23"/>
  <c r="R34" i="9"/>
  <c r="P100" i="9" l="1"/>
  <c r="R100" i="9" s="1"/>
  <c r="P87" i="9"/>
  <c r="R87" i="9" s="1"/>
  <c r="P33" i="9"/>
  <c r="R33" i="9" s="1"/>
  <c r="P19" i="9"/>
  <c r="R19" i="9" s="1"/>
  <c r="P55" i="9"/>
  <c r="R55" i="9" s="1"/>
  <c r="P118" i="9" l="1"/>
  <c r="R118" i="9" s="1"/>
  <c r="P5" i="9"/>
  <c r="R5" i="9" l="1"/>
  <c r="S5" i="9"/>
</calcChain>
</file>

<file path=xl/comments1.xml><?xml version="1.0" encoding="utf-8"?>
<comments xmlns="http://schemas.openxmlformats.org/spreadsheetml/2006/main">
  <authors>
    <author>jvargas</author>
  </authors>
  <commentList>
    <comment ref="K145" authorId="0" shapeId="0">
      <text>
        <r>
          <rPr>
            <b/>
            <sz val="8"/>
            <color indexed="81"/>
            <rFont val="Tahoma"/>
            <family val="2"/>
          </rPr>
          <t>jvargas:
PROMEDIO FISICO</t>
        </r>
      </text>
    </comment>
  </commentList>
</comments>
</file>

<file path=xl/sharedStrings.xml><?xml version="1.0" encoding="utf-8"?>
<sst xmlns="http://schemas.openxmlformats.org/spreadsheetml/2006/main" count="1397" uniqueCount="613">
  <si>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</si>
  <si>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</si>
  <si>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</si>
  <si>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</si>
  <si>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</si>
  <si>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</si>
  <si>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</si>
  <si>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</si>
  <si>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</si>
  <si>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</si>
  <si>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</si>
  <si>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</si>
  <si>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</si>
  <si>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</si>
  <si>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</si>
  <si>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</si>
  <si>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</si>
  <si>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</si>
  <si>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</si>
  <si>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</si>
  <si>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</si>
  <si>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</si>
  <si>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</si>
  <si>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</si>
  <si>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(17)
OBSERVACIONES</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</si>
  <si>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</si>
  <si>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</si>
  <si>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</si>
  <si>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</si>
  <si>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</si>
  <si>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</si>
  <si>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</si>
  <si>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</si>
  <si>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</si>
  <si>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</si>
  <si>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</si>
  <si>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</si>
  <si>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</si>
  <si>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</si>
  <si>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</si>
  <si>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</si>
  <si>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</si>
  <si>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</si>
  <si>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</si>
  <si>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</si>
  <si>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</si>
  <si>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</si>
  <si>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</si>
  <si>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</si>
  <si>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</si>
  <si>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</si>
  <si>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</si>
  <si>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</si>
  <si>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</si>
  <si>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</si>
  <si>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</si>
  <si>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</si>
  <si>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</si>
  <si>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</si>
  <si>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</si>
  <si>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</si>
  <si>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</si>
  <si>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</si>
  <si>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</si>
  <si>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</si>
  <si>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</si>
  <si>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</si>
  <si>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</si>
  <si>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</si>
  <si>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</si>
  <si>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</si>
  <si>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</si>
  <si>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</si>
  <si>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</si>
  <si>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</si>
  <si>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</si>
  <si>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</si>
  <si>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</si>
  <si>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</si>
  <si>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</si>
  <si>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</si>
  <si>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</si>
  <si>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</si>
  <si>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</si>
  <si>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</si>
  <si>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</si>
  <si>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</si>
  <si>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</si>
  <si>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</si>
  <si>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</si>
  <si>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</si>
  <si>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</si>
  <si>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</si>
  <si>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</si>
  <si>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</si>
  <si>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</si>
  <si>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</si>
  <si>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</si>
  <si>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</si>
  <si>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</si>
  <si>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</si>
  <si>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</si>
  <si>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</si>
  <si>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</si>
  <si>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</si>
  <si>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</si>
  <si>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</si>
  <si>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</si>
  <si>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</si>
  <si>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</si>
  <si>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</si>
  <si>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</si>
  <si>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</si>
  <si>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</si>
  <si>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</si>
  <si>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</si>
  <si>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</si>
  <si>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</si>
  <si>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</si>
  <si>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</si>
  <si>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</si>
  <si>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</si>
  <si>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</si>
  <si>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</si>
  <si>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</si>
  <si>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</si>
  <si>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</si>
  <si>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</si>
  <si>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</si>
  <si>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</si>
  <si>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</si>
  <si>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</si>
  <si>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</si>
  <si>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</si>
  <si>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*El total de las metas físicas y financieras será el resultado de una sumatoria, promedio aritmético o ponderado segun el caso, y sólo se aplica para las columnas relacionadas con porcentajes de avance y metas financieras.</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</si>
  <si>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</si>
  <si>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</si>
  <si>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</si>
  <si>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</si>
  <si>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</si>
  <si>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</si>
  <si>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</si>
  <si>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</si>
  <si>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</si>
  <si>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</si>
  <si>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</si>
  <si>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</si>
  <si>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</si>
  <si>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</si>
  <si>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</si>
  <si>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</si>
  <si>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</si>
  <si>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</si>
  <si>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</si>
  <si>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</si>
  <si>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</si>
  <si>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</si>
  <si>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</si>
  <si>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</si>
  <si>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</si>
  <si>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</si>
  <si>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</si>
  <si>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</si>
  <si>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</si>
  <si>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</si>
  <si>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</si>
  <si>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</si>
  <si>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</si>
  <si>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</si>
  <si>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</si>
  <si>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</si>
  <si>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</si>
  <si>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</si>
  <si>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</si>
  <si>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</si>
  <si>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</si>
  <si>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</si>
  <si>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</si>
  <si>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</si>
  <si>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</si>
  <si>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</si>
  <si>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</si>
  <si>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Hectáreas</t>
  </si>
  <si>
    <t>Unidad *</t>
  </si>
  <si>
    <t>Estrategia *</t>
  </si>
  <si>
    <t>Estudio</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</si>
  <si>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</si>
  <si>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</si>
  <si>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</si>
  <si>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ANEXO 5-1</t>
  </si>
  <si>
    <t>INFORME DE EJECUCION PRESUPUESTAL DE INGRESOS AÑO 2015</t>
  </si>
  <si>
    <t>CORPORACION AUTONOMA REGIONAL DEL ALTO MAGDALENA CAM</t>
  </si>
  <si>
    <t>RECURSOS VIGENCIA (AÑO):2015  A JUNIO 30 DE 2015</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</si>
  <si>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</si>
  <si>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</si>
  <si>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</si>
  <si>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</si>
  <si>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</si>
  <si>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</si>
  <si>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</si>
  <si>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</si>
  <si>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</si>
  <si>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</si>
  <si>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</si>
  <si>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</si>
  <si>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</si>
  <si>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</si>
  <si>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</si>
  <si>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</si>
  <si>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</si>
  <si>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</si>
  <si>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</si>
  <si>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</si>
  <si>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</si>
  <si>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</si>
  <si>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</si>
  <si>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</si>
  <si>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</si>
  <si>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</si>
  <si>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</si>
  <si>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</si>
  <si>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</si>
  <si>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</si>
  <si>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</si>
  <si>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</si>
  <si>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</si>
  <si>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</si>
  <si>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</si>
  <si>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</si>
  <si>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</si>
  <si>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</si>
  <si>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</si>
  <si>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</si>
  <si>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</si>
  <si>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</si>
  <si>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</si>
  <si>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</si>
  <si>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</si>
  <si>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</si>
  <si>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</si>
  <si>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</si>
  <si>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</si>
  <si>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ELABORO: SILVIA RAMOS CRUZ  F, PROFESIONAL UNIVERSITARIO PRESUPUESTO</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</si>
  <si>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</si>
  <si>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</si>
  <si>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</si>
  <si>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</si>
  <si>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</si>
  <si>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</si>
  <si>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</si>
  <si>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</si>
  <si>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</si>
  <si>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</si>
  <si>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</si>
  <si>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</si>
  <si>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</si>
  <si>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</si>
  <si>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</si>
  <si>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</si>
  <si>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</si>
  <si>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</si>
  <si>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</si>
  <si>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</si>
  <si>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</si>
  <si>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</si>
  <si>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</si>
  <si>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</si>
  <si>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</si>
  <si>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</si>
  <si>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</si>
  <si>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</si>
  <si>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</si>
  <si>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</si>
  <si>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</si>
  <si>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</si>
  <si>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</si>
  <si>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</si>
  <si>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</si>
  <si>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</si>
  <si>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</si>
  <si>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</si>
  <si>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</si>
  <si>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</si>
  <si>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</si>
  <si>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</si>
  <si>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</si>
  <si>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</si>
  <si>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</si>
  <si>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</si>
  <si>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</si>
  <si>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</si>
  <si>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</si>
  <si>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</si>
  <si>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</si>
  <si>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</si>
  <si>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</si>
  <si>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INFORME DE EJECUCION PLAN DE ACCION</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</si>
  <si>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</si>
  <si>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</si>
  <si>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</si>
  <si>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</si>
  <si>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</si>
  <si>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</si>
  <si>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</si>
  <si>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</si>
  <si>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</si>
  <si>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</si>
  <si>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</si>
  <si>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</si>
  <si>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</si>
  <si>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</si>
  <si>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</si>
  <si>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</si>
  <si>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</si>
  <si>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</si>
  <si>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</si>
  <si>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25100000+25692258</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</si>
  <si>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</si>
  <si>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</si>
  <si>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</si>
  <si>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</si>
  <si>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</si>
  <si>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</si>
  <si>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</si>
  <si>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</si>
  <si>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</si>
  <si>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</si>
  <si>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</si>
  <si>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</si>
  <si>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</si>
  <si>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</si>
  <si>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</si>
  <si>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</si>
  <si>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</si>
  <si>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</si>
  <si>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</si>
  <si>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</si>
  <si>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</si>
  <si>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</si>
  <si>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</si>
  <si>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</si>
  <si>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</si>
  <si>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</si>
  <si>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</si>
  <si>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</si>
  <si>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</si>
  <si>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Proyecto No. 1.1  Ordenamiento y administracion del recurso hídrico y las cuencas Hidrográficas</t>
  </si>
  <si>
    <t>Suelos degradados en recuperación o rehabilitacón</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</si>
  <si>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</si>
  <si>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</si>
  <si>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</si>
  <si>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</si>
  <si>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</si>
  <si>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</si>
  <si>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</si>
  <si>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</si>
  <si>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</si>
  <si>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</si>
  <si>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</si>
  <si>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</si>
  <si>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</si>
  <si>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</si>
  <si>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</si>
  <si>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Proyecto No. 1.2 RECUPERACION DE CUENCAS  HIDROGRAFICAS</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</si>
  <si>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</si>
  <si>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</si>
  <si>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</si>
  <si>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</si>
  <si>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</si>
  <si>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</si>
  <si>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</si>
  <si>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</si>
  <si>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</si>
  <si>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</si>
  <si>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</si>
  <si>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</si>
  <si>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</si>
  <si>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</si>
  <si>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</si>
  <si>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</si>
  <si>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</si>
  <si>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</si>
  <si>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</si>
  <si>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</si>
  <si>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</si>
  <si>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Promoción e implementación del Pacto Intersectorial por la Madera Ilegal</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</si>
  <si>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</si>
  <si>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</si>
  <si>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</si>
  <si>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</si>
  <si>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</si>
  <si>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</si>
  <si>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</si>
  <si>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</si>
  <si>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</si>
  <si>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</si>
  <si>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</si>
  <si>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</si>
  <si>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</si>
  <si>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</si>
  <si>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</si>
  <si>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</si>
  <si>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</si>
  <si>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</si>
  <si>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</si>
  <si>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</si>
  <si>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</si>
  <si>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</si>
  <si>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</si>
  <si>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</si>
  <si>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</si>
  <si>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</si>
  <si>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</si>
  <si>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</si>
  <si>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</si>
  <si>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</si>
  <si>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</si>
  <si>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</si>
  <si>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</si>
  <si>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</si>
  <si>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</si>
  <si>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</si>
  <si>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</si>
  <si>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</si>
  <si>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</si>
  <si>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</si>
  <si>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</si>
  <si>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</si>
  <si>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</si>
  <si>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</si>
  <si>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</si>
  <si>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</si>
  <si>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</si>
  <si>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</si>
  <si>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</si>
  <si>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</si>
  <si>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</si>
  <si>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</si>
  <si>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</si>
  <si>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</si>
  <si>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</si>
  <si>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</si>
  <si>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</si>
  <si>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</si>
  <si>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</si>
  <si>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Proyecto No.2.2:   CONSERVACION Y RECUPERACION DE ECOSISTEMAS ESTRATEGICOS Y SU BIODIVERSIDAD</t>
  </si>
  <si>
    <t>PROGRAMA No. 3  ADAPTACIÓN PARA EL CRECIMIENTO VERDE</t>
  </si>
  <si>
    <t>Proyecto No.3.1:    CRECIMIENTO VERDE DE SECTORES PRODUCTIVOS</t>
  </si>
  <si>
    <t xml:space="preserve">Proyecto No.3.2: AREAS URBANAS SOSTENIBLES Y RESILIENTES   </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</si>
  <si>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</si>
  <si>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</si>
  <si>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</si>
  <si>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</si>
  <si>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</si>
  <si>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 xml:space="preserve">
P 1: AGUA PARA TODOS </t>
  </si>
  <si>
    <t>P 1.1: ORDENAMIENTO Y ADMINISTRACIÓN DEL RECURSO HIDRICO Y LAS CUENCAS HIDROGRÁFICAS</t>
  </si>
  <si>
    <t>P 1.2: RECUPERACION DE CUENCAS  HIDROGRAFICAS</t>
  </si>
  <si>
    <t>P 2: BIODIVERSIDAD: FUENTE DE VIDA</t>
  </si>
  <si>
    <t>P 2.2:  CONSERVACION Y RECUPERACION DE ECOSISTEMAS ESTRATEGICOS Y SU BIODIVERSIDAD</t>
  </si>
  <si>
    <t>P 3: ADAPTACIÓN PARA EL CRECIMIENTO VERDE</t>
  </si>
  <si>
    <t xml:space="preserve">P 3.2: AREAS URBANAS SOSTENIBLES Y RESILIENTES  </t>
  </si>
  <si>
    <t>P 4: CUIDA TU NATURALEZA</t>
  </si>
  <si>
    <t>P4.1:  CONTROL Y VIGILANCIA AMBIENTAL</t>
  </si>
  <si>
    <t>P 5.2: GESTION DEL RIESGO DE SASTRES</t>
  </si>
  <si>
    <t>P 6: EDUCACIÓN CAMINO DE PAZ</t>
  </si>
  <si>
    <t>P6.1: CAM: MODELO DE GESTIÓN CORPORATIVA</t>
  </si>
  <si>
    <t xml:space="preserve">
P6.2:EDUCACIÓN AMBIENTAL: OPITA DE CORAZON  </t>
  </si>
  <si>
    <t>PRESUPUESTO APROPIADO PLAN DE ACCION VIGENCIA 2016</t>
  </si>
  <si>
    <t>VALOR TOTAL COMPROMETIDO PLAN DE ACCION VIGENCIA 2016</t>
  </si>
  <si>
    <t>INDICE GLOBAL DE EJECUCION FINANCIERA PLAN DE ACCION 2016</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</si>
  <si>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</si>
  <si>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</si>
  <si>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</si>
  <si>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</si>
  <si>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</si>
  <si>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</si>
  <si>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Porcentaje de la superficie de áreas protegidas regionales declaradas, homologadas o recategorizadas, inscritas en el RUNAP.</t>
  </si>
  <si>
    <t>UNIDAD</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</si>
  <si>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</si>
  <si>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</si>
  <si>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</si>
  <si>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</si>
  <si>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Número</t>
  </si>
  <si>
    <t>Dias*</t>
  </si>
  <si>
    <t xml:space="preserve">Municipio </t>
  </si>
  <si>
    <t>Sede</t>
  </si>
  <si>
    <t>Política*</t>
  </si>
  <si>
    <t>Sendero</t>
  </si>
  <si>
    <t>Proyecto No. 5.1  Planificación Ambiental Territorial</t>
  </si>
  <si>
    <t xml:space="preserve">Unidad </t>
  </si>
  <si>
    <t xml:space="preserve">Áreas revegetalizadas naturalmente para la protección y restauración de cuencas abastecedoras. </t>
  </si>
  <si>
    <t>Predios</t>
  </si>
  <si>
    <t xml:space="preserve">Aplicación </t>
  </si>
  <si>
    <t>Sistema *</t>
  </si>
  <si>
    <t>Seguimiento*</t>
  </si>
  <si>
    <t>Gastos de Gestión, Operación, Administración y Promoción del Proyecto</t>
  </si>
  <si>
    <t>Global</t>
  </si>
  <si>
    <t>Proyecto No. 1.3:   Descontaminación de Fuentes Hídricas</t>
  </si>
  <si>
    <t>PROGRAMA 1 Ordenamiento y administracion del recurso hídrico y las cuencas Hidrográficas</t>
  </si>
  <si>
    <t xml:space="preserve">Proyecto No. 5.2 Gestion de riesgo de desastres </t>
  </si>
  <si>
    <t>N/A</t>
  </si>
  <si>
    <t xml:space="preserve">Estación </t>
  </si>
  <si>
    <t xml:space="preserve">Municipios </t>
  </si>
  <si>
    <t>Promoción e implementación del Pacto Intersectorial por la Madera legal</t>
  </si>
  <si>
    <t>Áreas estratégicas</t>
  </si>
  <si>
    <t>Áreas reforestadas gestionadas para la protección de cuencas abastecedoras.</t>
  </si>
  <si>
    <t>A DICIEMBRE 30 DE 2016</t>
  </si>
  <si>
    <t>NA</t>
  </si>
  <si>
    <r>
      <t xml:space="preserve">VIGENCIA EVALUADA (AÑO): </t>
    </r>
    <r>
      <rPr>
        <b/>
        <u/>
        <sz val="11"/>
        <rFont val="Arial"/>
        <family val="2"/>
      </rPr>
      <t xml:space="preserve">2016 </t>
    </r>
    <r>
      <rPr>
        <b/>
        <sz val="11"/>
        <rFont val="Arial"/>
        <family val="2"/>
      </rPr>
      <t xml:space="preserve"> PERIODO EVALUADO: ENERO-DICIEMBRE DE 2016</t>
    </r>
  </si>
  <si>
    <t xml:space="preserve">N/A </t>
  </si>
  <si>
    <t xml:space="preserve">ANEXO No. 5-1. INFORME DE EJECUCION PRESUPUESTAL DE INGRESOS </t>
  </si>
  <si>
    <t xml:space="preserve">ANEXO No.5-2. INFORME DE EJECUCION PRESUPUESTAL DE GASTOS </t>
  </si>
  <si>
    <t>RECURSOS VIGENCIA:  Diciembre 31 de 2016</t>
  </si>
  <si>
    <t>APROPIACION DEFINITIVA</t>
  </si>
  <si>
    <t>EJECUCION    (COMPROMISOS)</t>
  </si>
  <si>
    <t>EJECUCION    (PAGOS)</t>
  </si>
  <si>
    <t>PLAN OPERATIVO INVERSION</t>
  </si>
  <si>
    <t>Programa 1.</t>
  </si>
  <si>
    <t>Planificación y gestión de Áreas Naturales Protegidas para la  conservación del Patrimonio Natural del Huila</t>
  </si>
  <si>
    <t>Planificación, conservación y uso sostenible en zonas secas y otros ecosistemas</t>
  </si>
  <si>
    <t>Aprovechamiento Sostenible de la biodiversidad y mercados verdes</t>
  </si>
  <si>
    <t>Programa 2</t>
  </si>
  <si>
    <t>Protección y recuperación del Recurso Hídrico</t>
  </si>
  <si>
    <t>Planificación, Ordenación y Administración del Recurso Hídrico</t>
  </si>
  <si>
    <t>Implementacion de procesos de restauracion pasiva</t>
  </si>
  <si>
    <t>Programa 3</t>
  </si>
  <si>
    <t>Planificación y ordenación  del territorio</t>
  </si>
  <si>
    <t>Gestión del Riesgo de Desastres</t>
  </si>
  <si>
    <t>Programa 4</t>
  </si>
  <si>
    <t>Fortalecimiento de la Gobernabilidad y la Autoridad Ambiental</t>
  </si>
  <si>
    <t>Fortalecimiento Institucional y consolidación  del Sistema Integrado de gestión</t>
  </si>
  <si>
    <t>Programa 5</t>
  </si>
  <si>
    <t>Programa 6</t>
  </si>
  <si>
    <t>Institucionalización, Formulación e Implementación del plan de acción departamental de cambio climático.</t>
  </si>
  <si>
    <t>Estrategias de Desarrollo Bajas en Carbono</t>
  </si>
  <si>
    <t>PLAN ACCION 2016 A 2019</t>
  </si>
  <si>
    <t>Pograma 1</t>
  </si>
  <si>
    <t>1,1 Ordenamiento y Admon RH y Cuencas Hidrograficas</t>
  </si>
  <si>
    <t>1,2 Recuperacion de Cuencas Hidrograficas</t>
  </si>
  <si>
    <t>1,3 descontaminacion de Fuentes Hidricas</t>
  </si>
  <si>
    <t>2,1 Conocimiento y Planificacion de Ecosistemas Estrategicos</t>
  </si>
  <si>
    <t>2,2 Conservacion y Recuperacion de Ecosistemas Estrategicos y su Biodiversidad</t>
  </si>
  <si>
    <t>3,1 Crecimiento Verde de Sectores Productivos</t>
  </si>
  <si>
    <t>3,2 Areas  Urbanas Sostenibles y Resilientes</t>
  </si>
  <si>
    <t>4,1 Control y vigilancia Ambiental</t>
  </si>
  <si>
    <t>5,1 Planificacion Ambiental Territorial</t>
  </si>
  <si>
    <t>5,2 Gestion del Riesgo de Desastres</t>
  </si>
  <si>
    <t>6,1 CAM Modelo de Gestion Corporativa</t>
  </si>
  <si>
    <t>6,2 Educacion Ambiental Opita de Corazon</t>
  </si>
  <si>
    <t>TOTAL PRESUPUESTO  DE INVERSION</t>
  </si>
  <si>
    <t xml:space="preserve"> (7)                                                    META FISICA DEL PLAN             (Según unidad de medida)</t>
  </si>
  <si>
    <t>(14)                                         META FINANCIERA   DEL PLAN             ($)</t>
  </si>
  <si>
    <t>CORPORACIÓN AUTÓNOMA REGIONAL DEL ALTO MAGDALENA CAM
MATRIZ DE SEGUIMIENTO DEL PLAN DE ACCIÓN 
ANEXO No1. AVANCE EN LAS METAS FÍSICAS Y FINANCIERAS DEL PLAN DE ACCIÓN 2016-2019</t>
  </si>
  <si>
    <t>Meta ajustada mediante Acuerdo de Consejo Directivo No. 014 de diciembre de 2016</t>
  </si>
  <si>
    <t>Meta ajustada mediante Acuerdo de Consejo Directivo No. 014 de diciembre de 2017</t>
  </si>
  <si>
    <t>Meta ajustada mediante Acuerdo de Consejo Directivo No. 012 de noviembre de 2016</t>
  </si>
  <si>
    <t>Meta ajustada mediante Acuerdo de Consejo Directivo No. 012 de noviembre de 2017</t>
  </si>
  <si>
    <t>P 1.3: DESCONTAMINACIÓN DE FUENTES HÍDRICAS</t>
  </si>
  <si>
    <t>RECURSOS VIGENCIA :  VIGENCIA 2016</t>
  </si>
  <si>
    <t xml:space="preserve">ANEXO NO. 3. MATRIZ DE REPORTE DE AVANCE DE INDICADORES MÍNIMOS DE GESTIÓN INCORPORADOS EN LA RESOLUCIÓN 667 DE 2016  </t>
  </si>
  <si>
    <t>PERIODO REPORTADO:</t>
  </si>
  <si>
    <t>N</t>
  </si>
  <si>
    <t>Indicador</t>
  </si>
  <si>
    <t>Acuerdo</t>
  </si>
  <si>
    <t>Programas</t>
  </si>
  <si>
    <t>Observaciones</t>
  </si>
  <si>
    <t>Acuerdo Consejo Directivo</t>
  </si>
  <si>
    <t>Programa o Proyecto asociado</t>
  </si>
  <si>
    <t>1.</t>
  </si>
  <si>
    <t>Porcentaje de avance en la formulación y/o ajuste de los Planes de Ordenación y Manejo de Cuencas (POMCAS), Planes de Manejo de Acuíferos (PMA) y Planes de Manejo de Microcuencas (PMM)</t>
  </si>
  <si>
    <t>2.</t>
  </si>
  <si>
    <t>Porcentaje de cuerpos de agua con planes de ordenamiento del recurso hídrico (PORH) adoptados</t>
  </si>
  <si>
    <t>3.</t>
  </si>
  <si>
    <t>Porcentaje de Planes de Saneamiento y Manejo de Vertimientos (PSMV) con seguimiento</t>
  </si>
  <si>
    <t>4.</t>
  </si>
  <si>
    <t>5.</t>
  </si>
  <si>
    <t>6.</t>
  </si>
  <si>
    <t>7.</t>
  </si>
  <si>
    <t>8.</t>
  </si>
  <si>
    <t>Porcentaje de suelos degradados en recuperación o rehabilitación</t>
  </si>
  <si>
    <t>9.</t>
  </si>
  <si>
    <t>Porcentaje de la superficie de áreas protegidas regionales declaradas, homologadas o recategorizadas, inscritas en el RUNAP</t>
  </si>
  <si>
    <t>10.</t>
  </si>
  <si>
    <t>Porcentaje de páramos delimitados por el MADS, con zonificación y régimen de usos adoptados por la CAR</t>
  </si>
  <si>
    <t>11.</t>
  </si>
  <si>
    <t>Porcentaje de avance en la formulación del Plan de Ordenación Forestal</t>
  </si>
  <si>
    <t>12.</t>
  </si>
  <si>
    <t>13.</t>
  </si>
  <si>
    <t>14.</t>
  </si>
  <si>
    <t>Porcentaje de especies invasoras con medidas de prevención, control y manejo en ejecución</t>
  </si>
  <si>
    <t>15.</t>
  </si>
  <si>
    <t>Porcentaje de áreas de ecosistemas en restauración, rehabilitación y reforestación</t>
  </si>
  <si>
    <t>16.</t>
  </si>
  <si>
    <t>Implementación de acciones en manejo integrado de zonas costeras</t>
  </si>
  <si>
    <t>17.</t>
  </si>
  <si>
    <t>18.</t>
  </si>
  <si>
    <t>19.</t>
  </si>
  <si>
    <t>Porcentaje de ejecución de acciones en Gestión Ambiental Urbana</t>
  </si>
  <si>
    <t>20.</t>
  </si>
  <si>
    <t>Implementación del Programa Regional de Negocios Verdes por la autoridad ambiental</t>
  </si>
  <si>
    <t>21.</t>
  </si>
  <si>
    <t>Tiempo promedio de trámite para la resolución de autorizaciones ambientales otorgadas por la corporación</t>
  </si>
  <si>
    <t>22.</t>
  </si>
  <si>
    <t>23.</t>
  </si>
  <si>
    <t>Porcentaje de Procesos Sancionatorios Resueltos</t>
  </si>
  <si>
    <t>24.</t>
  </si>
  <si>
    <t>25.</t>
  </si>
  <si>
    <t>26.</t>
  </si>
  <si>
    <t>27.</t>
  </si>
  <si>
    <t>Ejecución de Acciones en Educación Ambiental</t>
  </si>
  <si>
    <t>Investigación, conocimiento y/o Manejo de Áreas de importancia estratégica y  de la biodiversidad</t>
  </si>
  <si>
    <t>Áreas protegidas  inscritas con planes de manejo en ejecución</t>
  </si>
  <si>
    <t>Áreas protegidas registradas con planes de manejo en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</si>
</sst>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4" formatCode="0.0%"/>
  </numFmts>
  <fonts count="66">
    <font>
      <sz val="10"/>
      <name val="Arial"/>
    </font>
    <font>
      <sz val="11"/>
      <color theme="1"/>
      <name val="Calibri"/>
      <family val="2"/>
      <scheme val="minor"/>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sz val="8"/>
      <name val="Univers"/>
      <family val="2"/>
    </font>
    <font>
      <b/>
      <sz val="9"/>
      <name val="Univers"/>
      <family val="2"/>
    </font>
    <font>
      <b/>
      <sz val="8"/>
      <name val="Univers"/>
      <family val="2"/>
    </font>
    <font>
      <sz val="10"/>
      <name val="Arial"/>
      <family val="2"/>
    </font>
    <font>
      <sz val="6"/>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b/>
      <sz val="11"/>
      <color indexed="10"/>
      <name val="Arial"/>
      <family val="2"/>
    </font>
    <font>
      <sz val="11"/>
      <color indexed="8"/>
      <name val="Arial"/>
      <family val="2"/>
    </font>
    <font>
      <sz val="20"/>
      <name val="Arial"/>
      <family val="2"/>
    </font>
    <font>
      <sz val="11"/>
      <color theme="1"/>
      <name val="Calibri"/>
      <family val="2"/>
      <scheme val="minor"/>
    </font>
    <font>
      <b/>
      <sz val="12"/>
      <color rgb="FF7030A0"/>
      <name val="Arial"/>
      <family val="2"/>
    </font>
    <font>
      <sz val="8"/>
      <color theme="1"/>
      <name val="Univers"/>
      <family val="2"/>
    </font>
    <font>
      <sz val="9"/>
      <color rgb="FFFF0000"/>
      <name val="Arial"/>
      <family val="2"/>
    </font>
    <font>
      <sz val="11"/>
      <color theme="1"/>
      <name val="Arial"/>
      <family val="2"/>
    </font>
    <font>
      <sz val="11"/>
      <color rgb="FFFF0000"/>
      <name val="Arial"/>
      <family val="2"/>
    </font>
    <font>
      <b/>
      <sz val="11"/>
      <color theme="1"/>
      <name val="Arial"/>
      <family val="2"/>
    </font>
    <font>
      <b/>
      <sz val="11"/>
      <color rgb="FF222222"/>
      <name val="Arial"/>
      <family val="2"/>
    </font>
    <font>
      <sz val="11"/>
      <color rgb="FF222222"/>
      <name val="Arial"/>
      <family val="2"/>
    </font>
    <font>
      <sz val="10"/>
      <color rgb="FFC00000"/>
      <name val="Arial"/>
      <family val="2"/>
    </font>
    <font>
      <b/>
      <sz val="6"/>
      <name val="Arial"/>
      <family val="2"/>
    </font>
    <font>
      <b/>
      <sz val="10"/>
      <name val="Univers"/>
      <family val="2"/>
    </font>
    <font>
      <b/>
      <sz val="8"/>
      <name val="Univers"/>
    </font>
    <font>
      <b/>
      <sz val="12"/>
      <name val="Arial Narrow"/>
      <family val="2"/>
    </font>
    <font>
      <sz val="9"/>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s>
  <fills count="27">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CCFFCC"/>
        <bgColor indexed="64"/>
      </patternFill>
    </fill>
    <fill>
      <patternFill patternType="solid">
        <fgColor rgb="FFA5A5A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249977111117893"/>
        <bgColor indexed="64"/>
      </patternFill>
    </fill>
    <fill>
      <patternFill patternType="solid">
        <fgColor indexed="41"/>
        <bgColor indexed="64"/>
      </patternFill>
    </fill>
  </fills>
  <borders count="62">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style="medium">
        <color indexed="64"/>
      </top>
      <bottom/>
      <diagonal/>
    </border>
    <border>
      <left style="medium">
        <color indexed="64"/>
      </left>
      <right/>
      <top/>
      <bottom style="thin">
        <color indexed="64"/>
      </bottom>
      <diagonal/>
    </border>
  </borders>
  <cellStyleXfs count="17">
    <xf numFmtId="0" fontId="0" fillId="0" borderId="0"/>
    <xf numFmtId="170" fontId="3" fillId="0" borderId="0" applyFont="0" applyFill="0" applyBorder="0" applyAlignment="0" applyProtection="0"/>
    <xf numFmtId="166" fontId="3" fillId="0" borderId="0" applyFont="0" applyFill="0" applyBorder="0" applyAlignment="0" applyProtection="0"/>
    <xf numFmtId="172" fontId="29" fillId="0" borderId="0" applyFont="0" applyFill="0" applyBorder="0" applyAlignment="0" applyProtection="0"/>
    <xf numFmtId="165" fontId="23" fillId="0" borderId="0" applyFont="0" applyFill="0" applyBorder="0" applyAlignment="0" applyProtection="0"/>
    <xf numFmtId="43" fontId="34" fillId="0" borderId="0" applyFont="0" applyFill="0" applyBorder="0" applyAlignment="0" applyProtection="0"/>
    <xf numFmtId="165" fontId="48" fillId="0" borderId="0" applyFont="0" applyFill="0" applyBorder="0" applyAlignment="0" applyProtection="0"/>
    <xf numFmtId="164" fontId="23" fillId="0" borderId="0" applyFont="0" applyFill="0" applyBorder="0" applyAlignment="0" applyProtection="0"/>
    <xf numFmtId="0" fontId="48" fillId="0" borderId="0"/>
    <xf numFmtId="0" fontId="2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3" fillId="0" borderId="0"/>
    <xf numFmtId="0" fontId="64" fillId="0" borderId="0" applyNumberFormat="0" applyFill="0" applyBorder="0" applyAlignment="0" applyProtection="0"/>
    <xf numFmtId="9" fontId="1" fillId="0" borderId="0" applyFont="0" applyFill="0" applyBorder="0" applyAlignment="0" applyProtection="0"/>
  </cellStyleXfs>
  <cellXfs count="683">
    <xf numFmtId="0" fontId="0" fillId="0" borderId="0" xfId="0"/>
    <xf numFmtId="0" fontId="6" fillId="0" borderId="0" xfId="0" applyFont="1" applyFill="1" applyAlignment="1">
      <alignment vertical="center" wrapText="1"/>
    </xf>
    <xf numFmtId="3" fontId="6" fillId="0" borderId="0" xfId="0" applyNumberFormat="1" applyFont="1" applyFill="1" applyAlignment="1">
      <alignment horizontal="center" vertical="center" wrapText="1"/>
    </xf>
    <xf numFmtId="0" fontId="6" fillId="0" borderId="0" xfId="0" applyFont="1" applyFill="1" applyAlignment="1">
      <alignment horizontal="justify" vertical="center" wrapText="1"/>
    </xf>
    <xf numFmtId="0" fontId="5"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0" borderId="4" xfId="0" applyFont="1" applyBorder="1" applyAlignment="1">
      <alignment wrapText="1"/>
    </xf>
    <xf numFmtId="0" fontId="13" fillId="0" borderId="4" xfId="0" applyFont="1" applyBorder="1" applyAlignment="1">
      <alignment horizontal="justify" wrapText="1"/>
    </xf>
    <xf numFmtId="0" fontId="13" fillId="0" borderId="5" xfId="0" applyFont="1" applyBorder="1" applyAlignment="1">
      <alignment horizontal="justify" wrapText="1"/>
    </xf>
    <xf numFmtId="0" fontId="0" fillId="0" borderId="0" xfId="0" applyBorder="1" applyAlignment="1">
      <alignment horizontal="left"/>
    </xf>
    <xf numFmtId="0" fontId="14" fillId="0" borderId="1" xfId="0" applyFont="1" applyBorder="1" applyAlignment="1">
      <alignment vertical="top" wrapText="1"/>
    </xf>
    <xf numFmtId="0" fontId="14" fillId="0" borderId="1" xfId="0" applyFont="1" applyFill="1" applyBorder="1" applyAlignment="1">
      <alignment vertical="top" wrapText="1"/>
    </xf>
    <xf numFmtId="0" fontId="8" fillId="0" borderId="2" xfId="0" applyFont="1" applyFill="1" applyBorder="1" applyAlignment="1">
      <alignment horizontal="justify" wrapText="1"/>
    </xf>
    <xf numFmtId="0" fontId="8" fillId="0" borderId="2" xfId="0" applyFont="1" applyBorder="1" applyAlignment="1">
      <alignment horizontal="justify" wrapText="1"/>
    </xf>
    <xf numFmtId="0" fontId="7" fillId="0" borderId="0" xfId="0" applyFont="1" applyFill="1" applyBorder="1" applyAlignment="1">
      <alignment horizontal="center" vertical="center"/>
    </xf>
    <xf numFmtId="0" fontId="19" fillId="2" borderId="6" xfId="0" applyFont="1" applyFill="1" applyBorder="1" applyAlignment="1">
      <alignment horizontal="center" vertical="center"/>
    </xf>
    <xf numFmtId="0" fontId="15" fillId="2" borderId="7" xfId="0" quotePrefix="1" applyFont="1" applyFill="1" applyBorder="1" applyAlignment="1">
      <alignment horizontal="center" vertical="center" wrapText="1"/>
    </xf>
    <xf numFmtId="0" fontId="6" fillId="0" borderId="8" xfId="0" applyFont="1" applyFill="1" applyBorder="1" applyAlignment="1">
      <alignment vertical="center"/>
    </xf>
    <xf numFmtId="0" fontId="6" fillId="0" borderId="9" xfId="0" applyFont="1" applyFill="1" applyBorder="1" applyAlignment="1">
      <alignment vertical="center"/>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22" fillId="0" borderId="12" xfId="0" applyFont="1" applyFill="1" applyBorder="1" applyAlignment="1">
      <alignment horizontal="center" vertical="center" wrapText="1"/>
    </xf>
    <xf numFmtId="0" fontId="20" fillId="0" borderId="0" xfId="0" applyFont="1" applyFill="1" applyBorder="1" applyAlignment="1">
      <alignment vertical="center"/>
    </xf>
    <xf numFmtId="0" fontId="20" fillId="0" borderId="0" xfId="0" applyFont="1" applyBorder="1" applyAlignment="1">
      <alignment vertical="center"/>
    </xf>
    <xf numFmtId="0" fontId="20" fillId="0" borderId="0" xfId="0" applyFont="1" applyFill="1" applyAlignment="1">
      <alignment vertical="center" wrapText="1"/>
    </xf>
    <xf numFmtId="3" fontId="20" fillId="0" borderId="0" xfId="0" applyNumberFormat="1" applyFont="1" applyFill="1" applyAlignment="1">
      <alignment vertical="center" wrapText="1"/>
    </xf>
    <xf numFmtId="0" fontId="20" fillId="3" borderId="0" xfId="0" applyFont="1" applyFill="1" applyAlignment="1">
      <alignment vertical="center" wrapText="1"/>
    </xf>
    <xf numFmtId="168" fontId="20" fillId="0" borderId="0" xfId="2" applyNumberFormat="1" applyFont="1" applyFill="1" applyAlignment="1">
      <alignment vertical="center" wrapText="1"/>
    </xf>
    <xf numFmtId="0" fontId="20" fillId="2" borderId="0" xfId="0" applyFont="1" applyFill="1" applyAlignment="1">
      <alignment vertical="center" wrapText="1"/>
    </xf>
    <xf numFmtId="0" fontId="7" fillId="0" borderId="13" xfId="0" applyFont="1" applyFill="1" applyBorder="1" applyAlignment="1">
      <alignment horizontal="center" vertical="center"/>
    </xf>
    <xf numFmtId="0" fontId="22" fillId="0" borderId="10" xfId="0"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15" fillId="2" borderId="14" xfId="0" quotePrefix="1" applyFont="1" applyFill="1" applyBorder="1" applyAlignment="1">
      <alignment horizontal="center" vertical="center" wrapText="1"/>
    </xf>
    <xf numFmtId="3" fontId="5" fillId="4" borderId="10" xfId="0" applyNumberFormat="1" applyFont="1" applyFill="1" applyBorder="1" applyAlignment="1">
      <alignment vertical="center" wrapText="1"/>
    </xf>
    <xf numFmtId="3" fontId="6" fillId="4" borderId="10" xfId="0" applyNumberFormat="1" applyFont="1" applyFill="1" applyBorder="1" applyAlignment="1">
      <alignment horizontal="center" vertical="center" wrapText="1"/>
    </xf>
    <xf numFmtId="0" fontId="25" fillId="2" borderId="10" xfId="0" applyFont="1" applyFill="1" applyBorder="1" applyAlignment="1">
      <alignment horizontal="justify" vertical="center" wrapText="1"/>
    </xf>
    <xf numFmtId="0" fontId="26" fillId="0" borderId="15" xfId="0" applyFont="1" applyFill="1" applyBorder="1" applyAlignment="1">
      <alignment horizontal="center" vertical="center" wrapText="1"/>
    </xf>
    <xf numFmtId="0" fontId="25" fillId="0" borderId="10"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pplyAlignment="1">
      <alignment horizontal="justify" vertical="center" wrapText="1"/>
    </xf>
    <xf numFmtId="0" fontId="25" fillId="0" borderId="12" xfId="0" applyFont="1" applyFill="1" applyBorder="1" applyAlignment="1">
      <alignment horizontal="justify" vertical="center" wrapText="1"/>
    </xf>
    <xf numFmtId="0" fontId="26" fillId="0" borderId="16" xfId="0" applyFont="1" applyFill="1" applyBorder="1" applyAlignment="1">
      <alignment horizontal="center" vertical="center" wrapText="1"/>
    </xf>
    <xf numFmtId="0" fontId="25" fillId="2" borderId="17" xfId="0" applyFont="1" applyFill="1" applyBorder="1" applyAlignment="1">
      <alignment horizontal="justify" vertical="center" wrapText="1"/>
    </xf>
    <xf numFmtId="0" fontId="25" fillId="0" borderId="17" xfId="0" applyFont="1" applyFill="1" applyBorder="1" applyAlignment="1">
      <alignment horizontal="center" vertical="center" wrapText="1"/>
    </xf>
    <xf numFmtId="0" fontId="26" fillId="0" borderId="15" xfId="0" applyFont="1" applyFill="1" applyBorder="1" applyAlignment="1">
      <alignment horizontal="center" vertical="center" textRotation="90" wrapText="1"/>
    </xf>
    <xf numFmtId="3" fontId="27" fillId="0" borderId="10" xfId="0" applyNumberFormat="1" applyFont="1" applyFill="1" applyBorder="1" applyAlignment="1">
      <alignment horizontal="center" vertical="center" wrapText="1"/>
    </xf>
    <xf numFmtId="3" fontId="28" fillId="0" borderId="10" xfId="0"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3" fillId="0" borderId="0" xfId="0" applyFont="1"/>
    <xf numFmtId="0" fontId="20" fillId="12" borderId="0" xfId="0" applyFont="1" applyFill="1" applyAlignment="1">
      <alignment vertical="center" wrapText="1"/>
    </xf>
    <xf numFmtId="0" fontId="20" fillId="0" borderId="18" xfId="0" applyFont="1" applyFill="1" applyBorder="1" applyAlignment="1">
      <alignment vertical="center" wrapText="1"/>
    </xf>
    <xf numFmtId="0" fontId="49" fillId="0" borderId="12" xfId="0" applyFont="1" applyFill="1" applyBorder="1" applyAlignment="1">
      <alignment horizontal="center" vertical="center" wrapText="1"/>
    </xf>
    <xf numFmtId="0" fontId="6" fillId="0" borderId="0" xfId="0" applyFont="1" applyAlignment="1">
      <alignment wrapText="1"/>
    </xf>
    <xf numFmtId="0" fontId="20" fillId="0" borderId="18" xfId="0" applyFont="1" applyFill="1" applyBorder="1" applyAlignment="1">
      <alignment vertical="center"/>
    </xf>
    <xf numFmtId="3" fontId="5" fillId="0" borderId="12" xfId="0" applyNumberFormat="1" applyFont="1" applyFill="1" applyBorder="1" applyAlignment="1">
      <alignment vertical="center" wrapText="1"/>
    </xf>
    <xf numFmtId="3" fontId="6" fillId="0" borderId="12" xfId="0" applyNumberFormat="1" applyFont="1" applyFill="1" applyBorder="1" applyAlignment="1">
      <alignment horizontal="right" vertical="center" wrapText="1"/>
    </xf>
    <xf numFmtId="3" fontId="6" fillId="0" borderId="12" xfId="0" applyNumberFormat="1" applyFont="1" applyFill="1" applyBorder="1" applyAlignment="1">
      <alignment horizontal="center" vertical="center" wrapText="1"/>
    </xf>
    <xf numFmtId="3" fontId="25" fillId="4" borderId="12" xfId="0" applyNumberFormat="1" applyFont="1" applyFill="1" applyBorder="1" applyAlignment="1">
      <alignment horizontal="center" vertical="center" wrapText="1"/>
    </xf>
    <xf numFmtId="3" fontId="25" fillId="4" borderId="12" xfId="0" applyNumberFormat="1" applyFont="1" applyFill="1" applyBorder="1" applyAlignment="1">
      <alignment horizontal="right" vertical="center" wrapText="1"/>
    </xf>
    <xf numFmtId="3" fontId="5" fillId="2" borderId="17" xfId="0" applyNumberFormat="1" applyFont="1" applyFill="1" applyBorder="1" applyAlignment="1">
      <alignment horizontal="center" vertical="center" wrapText="1"/>
    </xf>
    <xf numFmtId="3" fontId="22" fillId="13" borderId="19" xfId="0" applyNumberFormat="1" applyFont="1" applyFill="1" applyBorder="1" applyAlignment="1">
      <alignment vertical="center" wrapText="1"/>
    </xf>
    <xf numFmtId="0" fontId="0" fillId="0" borderId="0" xfId="0" applyBorder="1"/>
    <xf numFmtId="0" fontId="31" fillId="0" borderId="10" xfId="0" applyFont="1" applyBorder="1" applyProtection="1"/>
    <xf numFmtId="0" fontId="32" fillId="0" borderId="10" xfId="0" applyFont="1" applyBorder="1" applyAlignment="1" applyProtection="1">
      <alignment horizontal="center" vertical="top"/>
    </xf>
    <xf numFmtId="1" fontId="33" fillId="5" borderId="10" xfId="0" applyNumberFormat="1" applyFont="1" applyFill="1" applyBorder="1" applyProtection="1"/>
    <xf numFmtId="0" fontId="32" fillId="5" borderId="10" xfId="0" applyFont="1" applyFill="1" applyBorder="1" applyProtection="1"/>
    <xf numFmtId="1" fontId="33" fillId="6" borderId="10" xfId="0" applyNumberFormat="1" applyFont="1" applyFill="1" applyBorder="1" applyProtection="1"/>
    <xf numFmtId="0" fontId="32" fillId="6" borderId="10" xfId="0" applyFont="1" applyFill="1" applyBorder="1" applyProtection="1"/>
    <xf numFmtId="1" fontId="33" fillId="2" borderId="10" xfId="0" applyNumberFormat="1" applyFont="1" applyFill="1" applyBorder="1" applyProtection="1"/>
    <xf numFmtId="0" fontId="32" fillId="2" borderId="10" xfId="0" applyFont="1" applyFill="1" applyBorder="1" applyProtection="1"/>
    <xf numFmtId="1" fontId="33" fillId="0" borderId="10" xfId="0" applyNumberFormat="1" applyFont="1" applyBorder="1" applyProtection="1"/>
    <xf numFmtId="0" fontId="31" fillId="0" borderId="10" xfId="0" applyFont="1" applyFill="1" applyBorder="1" applyProtection="1"/>
    <xf numFmtId="0" fontId="33" fillId="0" borderId="10" xfId="0" applyFont="1" applyFill="1" applyBorder="1" applyProtection="1"/>
    <xf numFmtId="0" fontId="32" fillId="0" borderId="10" xfId="0" applyFont="1" applyBorder="1" applyProtection="1"/>
    <xf numFmtId="1" fontId="31" fillId="0" borderId="10" xfId="0" applyNumberFormat="1" applyFont="1" applyBorder="1" applyProtection="1"/>
    <xf numFmtId="1" fontId="32" fillId="5" borderId="10" xfId="0" applyNumberFormat="1" applyFont="1" applyFill="1" applyBorder="1" applyProtection="1"/>
    <xf numFmtId="1" fontId="33" fillId="7" borderId="10" xfId="0" applyNumberFormat="1" applyFont="1" applyFill="1" applyBorder="1" applyProtection="1"/>
    <xf numFmtId="1" fontId="32" fillId="7" borderId="10" xfId="0" applyNumberFormat="1" applyFont="1" applyFill="1" applyBorder="1" applyProtection="1"/>
    <xf numFmtId="0" fontId="0" fillId="0" borderId="0" xfId="0" applyProtection="1"/>
    <xf numFmtId="3" fontId="0" fillId="0" borderId="0" xfId="0" applyNumberFormat="1" applyProtection="1"/>
    <xf numFmtId="0" fontId="35" fillId="0" borderId="0" xfId="0" applyFont="1" applyProtection="1"/>
    <xf numFmtId="4" fontId="23" fillId="0" borderId="0" xfId="0" applyNumberFormat="1" applyFont="1" applyProtection="1"/>
    <xf numFmtId="0" fontId="22" fillId="0" borderId="0" xfId="0" applyFont="1" applyAlignment="1" applyProtection="1">
      <alignment horizontal="center"/>
    </xf>
    <xf numFmtId="3" fontId="32" fillId="5" borderId="10" xfId="5" applyNumberFormat="1" applyFont="1" applyFill="1" applyBorder="1" applyProtection="1"/>
    <xf numFmtId="3" fontId="32" fillId="6" borderId="10" xfId="5" applyNumberFormat="1" applyFont="1" applyFill="1" applyBorder="1" applyProtection="1"/>
    <xf numFmtId="3" fontId="32" fillId="2" borderId="10" xfId="5" applyNumberFormat="1" applyFont="1" applyFill="1" applyBorder="1" applyProtection="1"/>
    <xf numFmtId="3" fontId="31" fillId="0" borderId="10" xfId="5" applyNumberFormat="1" applyFont="1" applyFill="1" applyBorder="1" applyProtection="1"/>
    <xf numFmtId="3" fontId="33" fillId="0" borderId="10" xfId="5" applyNumberFormat="1" applyFont="1" applyFill="1" applyBorder="1" applyProtection="1"/>
    <xf numFmtId="3" fontId="32" fillId="0" borderId="10" xfId="5" applyNumberFormat="1" applyFont="1" applyBorder="1" applyProtection="1"/>
    <xf numFmtId="3" fontId="33" fillId="0" borderId="10" xfId="5" applyNumberFormat="1" applyFont="1" applyBorder="1" applyProtection="1"/>
    <xf numFmtId="3" fontId="33" fillId="7" borderId="10" xfId="5" applyNumberFormat="1" applyFont="1" applyFill="1" applyBorder="1" applyProtection="1"/>
    <xf numFmtId="3" fontId="32" fillId="7" borderId="10" xfId="5" applyNumberFormat="1" applyFont="1" applyFill="1" applyBorder="1" applyProtection="1"/>
    <xf numFmtId="3" fontId="23" fillId="0" borderId="0" xfId="0" applyNumberFormat="1" applyFont="1" applyProtection="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2" fillId="0" borderId="0" xfId="0" applyFont="1" applyBorder="1" applyAlignment="1" applyProtection="1">
      <alignment horizontal="centerContinuous" vertical="center"/>
    </xf>
    <xf numFmtId="0" fontId="22" fillId="0" borderId="0" xfId="0" applyFont="1" applyBorder="1" applyAlignment="1" applyProtection="1">
      <alignment vertical="center"/>
    </xf>
    <xf numFmtId="0" fontId="0" fillId="0" borderId="0" xfId="0" applyBorder="1" applyAlignment="1" applyProtection="1">
      <alignment vertical="center"/>
    </xf>
    <xf numFmtId="0" fontId="14" fillId="0" borderId="10"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33" fillId="0" borderId="15" xfId="0" applyFont="1" applyFill="1" applyBorder="1" applyAlignment="1" applyProtection="1">
      <alignment vertical="center"/>
    </xf>
    <xf numFmtId="4" fontId="33" fillId="0" borderId="10" xfId="0" applyNumberFormat="1" applyFont="1" applyFill="1" applyBorder="1" applyAlignment="1" applyProtection="1">
      <alignment vertical="center"/>
    </xf>
    <xf numFmtId="4" fontId="33" fillId="0" borderId="12" xfId="0" applyNumberFormat="1" applyFont="1" applyFill="1" applyBorder="1" applyAlignment="1" applyProtection="1">
      <alignment vertical="center"/>
    </xf>
    <xf numFmtId="4" fontId="0" fillId="0" borderId="0" xfId="0" applyNumberFormat="1" applyAlignment="1">
      <alignment vertical="center"/>
    </xf>
    <xf numFmtId="0" fontId="31" fillId="0" borderId="15" xfId="0" applyFont="1" applyFill="1" applyBorder="1" applyAlignment="1" applyProtection="1">
      <alignment vertical="center"/>
    </xf>
    <xf numFmtId="4" fontId="31" fillId="0" borderId="10" xfId="0" applyNumberFormat="1" applyFont="1" applyFill="1" applyBorder="1" applyAlignment="1" applyProtection="1">
      <alignment vertical="center"/>
    </xf>
    <xf numFmtId="4" fontId="31" fillId="0" borderId="12" xfId="0" applyNumberFormat="1" applyFont="1" applyFill="1" applyBorder="1" applyAlignment="1" applyProtection="1">
      <alignment vertical="center"/>
    </xf>
    <xf numFmtId="4" fontId="23" fillId="0" borderId="0" xfId="0" applyNumberFormat="1" applyFont="1" applyAlignment="1">
      <alignment vertical="center"/>
    </xf>
    <xf numFmtId="4" fontId="31" fillId="0" borderId="20" xfId="0" applyNumberFormat="1" applyFont="1" applyBorder="1" applyAlignment="1" applyProtection="1">
      <alignment vertical="center"/>
    </xf>
    <xf numFmtId="4" fontId="31" fillId="0" borderId="21" xfId="0" applyNumberFormat="1" applyFont="1" applyBorder="1" applyAlignment="1" applyProtection="1">
      <alignment vertical="center"/>
    </xf>
    <xf numFmtId="4" fontId="33" fillId="0" borderId="21" xfId="0" applyNumberFormat="1" applyFont="1" applyFill="1" applyBorder="1" applyAlignment="1" applyProtection="1">
      <alignment vertical="center"/>
    </xf>
    <xf numFmtId="4" fontId="31" fillId="0" borderId="22" xfId="0" applyNumberFormat="1" applyFont="1" applyFill="1" applyBorder="1" applyAlignment="1" applyProtection="1">
      <alignment vertical="center"/>
    </xf>
    <xf numFmtId="0" fontId="33" fillId="0" borderId="6" xfId="0" applyFont="1" applyFill="1" applyBorder="1" applyAlignment="1" applyProtection="1">
      <alignment vertical="center"/>
    </xf>
    <xf numFmtId="4" fontId="33" fillId="0" borderId="7" xfId="0" applyNumberFormat="1" applyFont="1" applyFill="1" applyBorder="1" applyAlignment="1" applyProtection="1">
      <alignment vertical="center"/>
    </xf>
    <xf numFmtId="4" fontId="33" fillId="0" borderId="14" xfId="0" applyNumberFormat="1" applyFont="1" applyFill="1" applyBorder="1" applyAlignment="1" applyProtection="1">
      <alignment vertical="center"/>
    </xf>
    <xf numFmtId="0" fontId="33" fillId="7" borderId="15" xfId="0" applyFont="1" applyFill="1" applyBorder="1" applyAlignment="1" applyProtection="1">
      <alignment vertical="center" wrapText="1"/>
      <protection locked="0"/>
    </xf>
    <xf numFmtId="4" fontId="33" fillId="0" borderId="10" xfId="0" applyNumberFormat="1" applyFont="1" applyFill="1" applyBorder="1" applyAlignment="1" applyProtection="1">
      <alignment vertical="center" wrapText="1"/>
      <protection locked="0"/>
    </xf>
    <xf numFmtId="0" fontId="21" fillId="14" borderId="23" xfId="0" applyFont="1" applyFill="1" applyBorder="1" applyAlignment="1">
      <alignment horizontal="justify" vertical="center" wrapText="1"/>
    </xf>
    <xf numFmtId="3" fontId="37" fillId="0" borderId="15" xfId="0" applyNumberFormat="1" applyFont="1" applyBorder="1" applyAlignment="1">
      <alignment wrapText="1"/>
    </xf>
    <xf numFmtId="4" fontId="31" fillId="0" borderId="10" xfId="0" applyNumberFormat="1" applyFont="1" applyFill="1" applyBorder="1" applyAlignment="1" applyProtection="1">
      <alignment vertical="center" wrapText="1"/>
      <protection locked="0"/>
    </xf>
    <xf numFmtId="4" fontId="50" fillId="0" borderId="10" xfId="0" applyNumberFormat="1" applyFont="1" applyFill="1" applyBorder="1" applyAlignment="1" applyProtection="1">
      <alignment vertical="center" wrapText="1"/>
      <protection locked="0"/>
    </xf>
    <xf numFmtId="4" fontId="33" fillId="0" borderId="12" xfId="0" applyNumberFormat="1" applyFont="1" applyFill="1" applyBorder="1" applyAlignment="1" applyProtection="1">
      <alignment vertical="center" wrapText="1"/>
      <protection locked="0"/>
    </xf>
    <xf numFmtId="4" fontId="38" fillId="0" borderId="10" xfId="0" applyNumberFormat="1" applyFont="1" applyFill="1" applyBorder="1" applyAlignment="1" applyProtection="1">
      <alignment vertical="center" wrapText="1"/>
      <protection locked="0"/>
    </xf>
    <xf numFmtId="4" fontId="38" fillId="0" borderId="12" xfId="0" applyNumberFormat="1" applyFont="1" applyFill="1" applyBorder="1" applyAlignment="1" applyProtection="1">
      <alignment vertical="center" wrapText="1"/>
      <protection locked="0"/>
    </xf>
    <xf numFmtId="0" fontId="37" fillId="0" borderId="15" xfId="0" applyFont="1" applyBorder="1" applyAlignment="1">
      <alignment vertical="center" wrapText="1"/>
    </xf>
    <xf numFmtId="3" fontId="37" fillId="0" borderId="15" xfId="0" applyNumberFormat="1" applyFont="1" applyBorder="1" applyAlignment="1">
      <alignment horizontal="justify"/>
    </xf>
    <xf numFmtId="0" fontId="33" fillId="7" borderId="15" xfId="0" applyFont="1" applyFill="1" applyBorder="1" applyAlignment="1" applyProtection="1">
      <alignment vertical="center"/>
    </xf>
    <xf numFmtId="4" fontId="39" fillId="7" borderId="15" xfId="0" applyNumberFormat="1" applyFont="1" applyFill="1" applyBorder="1" applyAlignment="1" applyProtection="1">
      <alignment vertical="center"/>
    </xf>
    <xf numFmtId="4" fontId="39" fillId="0" borderId="10" xfId="0" applyNumberFormat="1" applyFont="1" applyBorder="1" applyAlignment="1" applyProtection="1">
      <alignment vertical="center"/>
    </xf>
    <xf numFmtId="0" fontId="33" fillId="7" borderId="16" xfId="0" applyFont="1" applyFill="1" applyBorder="1" applyAlignment="1" applyProtection="1">
      <alignment vertical="center"/>
    </xf>
    <xf numFmtId="4" fontId="33" fillId="0" borderId="17" xfId="0" applyNumberFormat="1" applyFont="1" applyFill="1" applyBorder="1" applyAlignment="1" applyProtection="1">
      <alignment vertical="center"/>
    </xf>
    <xf numFmtId="4" fontId="33" fillId="0" borderId="19" xfId="0" applyNumberFormat="1" applyFont="1" applyFill="1" applyBorder="1" applyAlignment="1" applyProtection="1">
      <alignment vertical="center"/>
    </xf>
    <xf numFmtId="0" fontId="40" fillId="7" borderId="0" xfId="0" applyFont="1" applyFill="1" applyBorder="1" applyAlignment="1" applyProtection="1">
      <alignment horizontal="centerContinuous" vertical="center" wrapText="1"/>
    </xf>
    <xf numFmtId="0" fontId="41" fillId="0" borderId="0" xfId="0" applyFont="1" applyFill="1" applyBorder="1" applyAlignment="1" applyProtection="1">
      <alignment horizontal="centerContinuous" vertical="center" wrapText="1"/>
    </xf>
    <xf numFmtId="4" fontId="41" fillId="0" borderId="0" xfId="0" applyNumberFormat="1" applyFont="1" applyFill="1" applyBorder="1" applyAlignment="1" applyProtection="1">
      <alignment horizontal="centerContinuous" vertical="center" wrapText="1"/>
    </xf>
    <xf numFmtId="1" fontId="33" fillId="7" borderId="0" xfId="0" applyNumberFormat="1" applyFont="1" applyFill="1" applyBorder="1" applyAlignment="1" applyProtection="1">
      <alignment horizontal="centerContinuous" vertical="center" wrapText="1"/>
    </xf>
    <xf numFmtId="0" fontId="0" fillId="7"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3" fillId="0" borderId="0" xfId="0" applyNumberFormat="1" applyFont="1" applyAlignment="1" applyProtection="1">
      <alignment vertical="center"/>
    </xf>
    <xf numFmtId="0" fontId="22" fillId="7" borderId="0" xfId="0" applyFont="1" applyFill="1" applyAlignment="1">
      <alignment vertical="center"/>
    </xf>
    <xf numFmtId="0" fontId="23" fillId="7" borderId="0" xfId="0" applyFont="1" applyFill="1" applyAlignment="1">
      <alignment vertical="center"/>
    </xf>
    <xf numFmtId="0" fontId="0" fillId="7" borderId="0" xfId="0" applyFill="1" applyAlignment="1">
      <alignment vertical="center"/>
    </xf>
    <xf numFmtId="3" fontId="6" fillId="8" borderId="10" xfId="0" applyNumberFormat="1" applyFont="1" applyFill="1" applyBorder="1"/>
    <xf numFmtId="3" fontId="6" fillId="2" borderId="10" xfId="0" applyNumberFormat="1" applyFont="1" applyFill="1" applyBorder="1"/>
    <xf numFmtId="3" fontId="6" fillId="4" borderId="10" xfId="0" applyNumberFormat="1" applyFont="1" applyFill="1" applyBorder="1"/>
    <xf numFmtId="3" fontId="6" fillId="4" borderId="10" xfId="0" applyNumberFormat="1" applyFont="1" applyFill="1" applyBorder="1" applyAlignment="1">
      <alignment vertical="center" wrapText="1"/>
    </xf>
    <xf numFmtId="0" fontId="27" fillId="0" borderId="0" xfId="0" applyFont="1" applyFill="1" applyAlignment="1">
      <alignment horizontal="center" vertical="center" wrapText="1"/>
    </xf>
    <xf numFmtId="3" fontId="25" fillId="0" borderId="0" xfId="0" applyNumberFormat="1" applyFont="1" applyFill="1" applyAlignment="1">
      <alignment vertical="center" wrapText="1"/>
    </xf>
    <xf numFmtId="3" fontId="27" fillId="0" borderId="0" xfId="0" applyNumberFormat="1" applyFont="1" applyFill="1" applyAlignment="1">
      <alignment vertical="center" wrapText="1"/>
    </xf>
    <xf numFmtId="3" fontId="5" fillId="8" borderId="10"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0" fontId="27" fillId="0" borderId="0" xfId="0" applyFont="1" applyFill="1" applyAlignment="1">
      <alignment vertical="center" wrapText="1"/>
    </xf>
    <xf numFmtId="3" fontId="6" fillId="8" borderId="10" xfId="0" applyNumberFormat="1" applyFont="1" applyFill="1" applyBorder="1" applyAlignment="1">
      <alignment vertical="center" wrapText="1"/>
    </xf>
    <xf numFmtId="3" fontId="6" fillId="2" borderId="10" xfId="0" applyNumberFormat="1" applyFont="1" applyFill="1" applyBorder="1" applyAlignment="1">
      <alignment vertical="center" wrapText="1"/>
    </xf>
    <xf numFmtId="3" fontId="5" fillId="0" borderId="0" xfId="0" applyNumberFormat="1" applyFont="1" applyFill="1" applyAlignment="1">
      <alignment vertical="center" wrapText="1"/>
    </xf>
    <xf numFmtId="3" fontId="5" fillId="9" borderId="10" xfId="0" applyNumberFormat="1" applyFont="1" applyFill="1" applyBorder="1" applyAlignment="1">
      <alignment vertical="center" wrapText="1"/>
    </xf>
    <xf numFmtId="3" fontId="42" fillId="8" borderId="10" xfId="0" applyNumberFormat="1" applyFont="1" applyFill="1" applyBorder="1" applyAlignment="1">
      <alignment vertical="center" wrapText="1"/>
    </xf>
    <xf numFmtId="3" fontId="5" fillId="0" borderId="24" xfId="0" applyNumberFormat="1" applyFont="1" applyFill="1" applyBorder="1" applyAlignment="1">
      <alignment horizontal="right" vertical="center" wrapText="1"/>
    </xf>
    <xf numFmtId="3" fontId="6" fillId="9" borderId="10"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6" fillId="10" borderId="10" xfId="0" applyNumberFormat="1" applyFont="1" applyFill="1" applyBorder="1" applyAlignment="1">
      <alignment vertical="center" wrapText="1"/>
    </xf>
    <xf numFmtId="3" fontId="5" fillId="0" borderId="0" xfId="0" applyNumberFormat="1" applyFont="1" applyFill="1" applyBorder="1" applyAlignment="1">
      <alignment horizontal="right" vertical="center" wrapText="1"/>
    </xf>
    <xf numFmtId="0" fontId="5" fillId="0" borderId="0" xfId="0" applyFont="1" applyFill="1" applyAlignment="1">
      <alignment vertical="center" wrapText="1"/>
    </xf>
    <xf numFmtId="3" fontId="5" fillId="9" borderId="0" xfId="0" applyNumberFormat="1" applyFont="1" applyFill="1" applyBorder="1" applyAlignment="1">
      <alignment vertical="center" wrapText="1"/>
    </xf>
    <xf numFmtId="3" fontId="5" fillId="0" borderId="13" xfId="0" applyNumberFormat="1" applyFont="1" applyFill="1" applyBorder="1" applyAlignment="1">
      <alignment horizontal="right" vertical="center" wrapText="1"/>
    </xf>
    <xf numFmtId="0" fontId="6" fillId="7" borderId="0" xfId="0" applyFont="1" applyFill="1" applyAlignment="1">
      <alignment horizontal="center" vertical="center" wrapText="1"/>
    </xf>
    <xf numFmtId="4" fontId="6" fillId="0" borderId="0" xfId="0" applyNumberFormat="1" applyFont="1" applyFill="1" applyAlignment="1">
      <alignment horizontal="right" vertical="center" wrapText="1"/>
    </xf>
    <xf numFmtId="4" fontId="6" fillId="7" borderId="0" xfId="0" applyNumberFormat="1" applyFont="1" applyFill="1" applyAlignment="1">
      <alignment horizontal="right" vertical="center" wrapText="1"/>
    </xf>
    <xf numFmtId="0" fontId="20"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2" fillId="12" borderId="10" xfId="0" applyFont="1" applyFill="1" applyBorder="1" applyAlignment="1">
      <alignment horizontal="center" vertical="center"/>
    </xf>
    <xf numFmtId="0" fontId="0" fillId="0" borderId="10" xfId="0" applyBorder="1" applyAlignment="1">
      <alignment horizontal="center" vertical="center" wrapText="1"/>
    </xf>
    <xf numFmtId="0" fontId="22" fillId="12" borderId="10" xfId="0" applyFont="1" applyFill="1" applyBorder="1" applyAlignment="1">
      <alignment horizontal="center" vertical="center" wrapText="1"/>
    </xf>
    <xf numFmtId="0" fontId="26" fillId="0" borderId="0" xfId="0" applyFont="1"/>
    <xf numFmtId="3" fontId="26" fillId="0" borderId="0" xfId="0" applyNumberFormat="1" applyFont="1"/>
    <xf numFmtId="0" fontId="5" fillId="0" borderId="25" xfId="0" applyFont="1" applyFill="1" applyBorder="1" applyAlignment="1">
      <alignment horizontal="center" vertical="top" wrapText="1"/>
    </xf>
    <xf numFmtId="0" fontId="13" fillId="0" borderId="4" xfId="0" applyFont="1" applyBorder="1" applyAlignment="1">
      <alignment horizontal="justify" vertical="top" wrapText="1"/>
    </xf>
    <xf numFmtId="0" fontId="12" fillId="15" borderId="4" xfId="0" applyFont="1" applyFill="1" applyBorder="1" applyAlignment="1">
      <alignment wrapText="1"/>
    </xf>
    <xf numFmtId="0" fontId="13" fillId="15" borderId="4" xfId="0" applyFont="1" applyFill="1" applyBorder="1" applyAlignment="1">
      <alignment horizontal="justify" vertical="top" wrapText="1"/>
    </xf>
    <xf numFmtId="0" fontId="13" fillId="0" borderId="4" xfId="0" applyFont="1" applyBorder="1" applyAlignment="1">
      <alignment horizontal="justify"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20" fillId="0" borderId="0" xfId="0" applyFont="1" applyFill="1" applyAlignment="1">
      <alignment vertical="top" wrapText="1"/>
    </xf>
    <xf numFmtId="0" fontId="51" fillId="0" borderId="18" xfId="0" applyFont="1" applyFill="1" applyBorder="1" applyAlignment="1">
      <alignment vertical="center" wrapText="1"/>
    </xf>
    <xf numFmtId="0" fontId="51" fillId="0" borderId="0" xfId="0" applyFont="1" applyFill="1" applyAlignment="1">
      <alignment vertical="center" wrapText="1"/>
    </xf>
    <xf numFmtId="0" fontId="0" fillId="15" borderId="10" xfId="0" applyFill="1" applyBorder="1" applyAlignment="1">
      <alignment horizontal="center" vertical="center"/>
    </xf>
    <xf numFmtId="0" fontId="23" fillId="0" borderId="0" xfId="0" applyFont="1" applyAlignment="1">
      <alignment horizontal="center" vertical="center"/>
    </xf>
    <xf numFmtId="3" fontId="5" fillId="21" borderId="10" xfId="0" applyNumberFormat="1" applyFont="1" applyFill="1" applyBorder="1" applyAlignment="1">
      <alignment vertical="center" wrapText="1"/>
    </xf>
    <xf numFmtId="4" fontId="5" fillId="21" borderId="10" xfId="0" applyNumberFormat="1" applyFont="1" applyFill="1" applyBorder="1" applyAlignment="1">
      <alignment horizontal="center" vertical="center" wrapText="1"/>
    </xf>
    <xf numFmtId="3" fontId="5" fillId="21" borderId="10" xfId="0" applyNumberFormat="1" applyFont="1" applyFill="1" applyBorder="1" applyAlignment="1">
      <alignment horizontal="center" vertical="center" wrapText="1"/>
    </xf>
    <xf numFmtId="3" fontId="6" fillId="21" borderId="10" xfId="0" applyNumberFormat="1" applyFont="1" applyFill="1" applyBorder="1" applyAlignment="1">
      <alignment horizontal="right" vertical="center" wrapText="1"/>
    </xf>
    <xf numFmtId="3" fontId="6" fillId="21" borderId="10" xfId="0" applyNumberFormat="1" applyFont="1" applyFill="1" applyBorder="1" applyAlignment="1">
      <alignment horizontal="center" vertical="center" wrapText="1"/>
    </xf>
    <xf numFmtId="3" fontId="25" fillId="21" borderId="12" xfId="0" applyNumberFormat="1" applyFont="1" applyFill="1" applyBorder="1" applyAlignment="1">
      <alignment horizontal="right" vertical="center" wrapText="1"/>
    </xf>
    <xf numFmtId="0" fontId="5" fillId="21" borderId="15" xfId="0" applyFont="1" applyFill="1" applyBorder="1" applyAlignment="1">
      <alignment horizontal="center" vertical="center" wrapText="1"/>
    </xf>
    <xf numFmtId="0" fontId="22" fillId="0" borderId="21"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12" borderId="7" xfId="0" applyFont="1" applyFill="1" applyBorder="1" applyAlignment="1">
      <alignment horizontal="center" vertical="top" wrapText="1"/>
    </xf>
    <xf numFmtId="0" fontId="22" fillId="0" borderId="21" xfId="0" applyFont="1" applyFill="1" applyBorder="1" applyAlignment="1">
      <alignment horizontal="center" vertical="center" wrapText="1"/>
    </xf>
    <xf numFmtId="0" fontId="20" fillId="2" borderId="0" xfId="0" applyFont="1" applyFill="1" applyAlignment="1">
      <alignment horizontal="center" vertical="center" wrapText="1"/>
    </xf>
    <xf numFmtId="3" fontId="6" fillId="22" borderId="10" xfId="0" applyNumberFormat="1" applyFont="1" applyFill="1" applyBorder="1" applyAlignment="1">
      <alignment vertical="center" wrapText="1"/>
    </xf>
    <xf numFmtId="0" fontId="25" fillId="0" borderId="0" xfId="0" applyFont="1" applyFill="1" applyAlignment="1">
      <alignment vertical="center" wrapText="1"/>
    </xf>
    <xf numFmtId="3" fontId="30" fillId="0" borderId="0" xfId="2" applyNumberFormat="1" applyFont="1" applyFill="1" applyAlignment="1">
      <alignment vertical="center" wrapText="1"/>
    </xf>
    <xf numFmtId="166" fontId="20" fillId="0" borderId="0" xfId="2" applyFont="1" applyFill="1" applyAlignment="1">
      <alignment vertical="center" wrapText="1"/>
    </xf>
    <xf numFmtId="168" fontId="25" fillId="0" borderId="0" xfId="2" applyNumberFormat="1" applyFont="1" applyFill="1" applyAlignment="1">
      <alignment vertical="center" wrapText="1"/>
    </xf>
    <xf numFmtId="0" fontId="5" fillId="0" borderId="18"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18" borderId="7" xfId="0" applyFont="1" applyFill="1" applyBorder="1" applyAlignment="1">
      <alignment horizontal="center" vertical="center" wrapText="1"/>
    </xf>
    <xf numFmtId="0" fontId="5" fillId="18" borderId="17" xfId="0" applyFont="1" applyFill="1" applyBorder="1" applyAlignment="1">
      <alignment horizontal="center" vertical="center" wrapText="1"/>
    </xf>
    <xf numFmtId="3" fontId="5" fillId="9" borderId="18" xfId="0" applyNumberFormat="1" applyFont="1" applyFill="1" applyBorder="1" applyAlignment="1">
      <alignment vertical="center" wrapText="1"/>
    </xf>
    <xf numFmtId="3" fontId="6" fillId="22" borderId="18" xfId="0" applyNumberFormat="1" applyFont="1" applyFill="1" applyBorder="1" applyAlignment="1">
      <alignment vertical="center" wrapText="1"/>
    </xf>
    <xf numFmtId="3" fontId="6" fillId="4" borderId="18" xfId="0" applyNumberFormat="1" applyFont="1" applyFill="1" applyBorder="1" applyAlignment="1">
      <alignment vertical="center" wrapText="1"/>
    </xf>
    <xf numFmtId="3" fontId="6" fillId="0" borderId="10" xfId="0" applyNumberFormat="1" applyFont="1" applyFill="1" applyBorder="1" applyAlignment="1">
      <alignment horizontal="center" vertical="center" wrapText="1"/>
    </xf>
    <xf numFmtId="165" fontId="5" fillId="12" borderId="7" xfId="2" applyNumberFormat="1" applyFont="1" applyFill="1" applyBorder="1" applyAlignment="1">
      <alignment vertical="center" wrapText="1"/>
    </xf>
    <xf numFmtId="3" fontId="5" fillId="12" borderId="7" xfId="0" applyNumberFormat="1" applyFont="1" applyFill="1" applyBorder="1" applyAlignment="1">
      <alignment horizontal="center" vertical="center" wrapText="1"/>
    </xf>
    <xf numFmtId="168" fontId="5" fillId="12" borderId="7" xfId="2" applyNumberFormat="1" applyFont="1" applyFill="1" applyBorder="1" applyAlignment="1">
      <alignment vertical="center" wrapText="1"/>
    </xf>
    <xf numFmtId="0" fontId="5" fillId="12" borderId="6" xfId="0" applyFont="1" applyFill="1" applyBorder="1" applyAlignment="1">
      <alignment horizontal="center" vertical="top" wrapText="1"/>
    </xf>
    <xf numFmtId="0" fontId="6" fillId="21" borderId="15" xfId="9" applyFont="1" applyFill="1" applyBorder="1" applyAlignment="1">
      <alignment horizontal="justify" vertical="center" wrapText="1"/>
    </xf>
    <xf numFmtId="0" fontId="6" fillId="17" borderId="15" xfId="9" applyFont="1" applyFill="1" applyBorder="1" applyAlignment="1">
      <alignment horizontal="justify" vertical="center" wrapText="1"/>
    </xf>
    <xf numFmtId="0" fontId="6" fillId="0" borderId="10" xfId="9" applyFont="1" applyFill="1" applyBorder="1" applyAlignment="1">
      <alignment horizontal="center" vertical="center" wrapText="1"/>
    </xf>
    <xf numFmtId="3" fontId="6" fillId="0" borderId="10" xfId="9" applyNumberFormat="1" applyFont="1" applyFill="1" applyBorder="1" applyAlignment="1">
      <alignment vertical="center" wrapText="1"/>
    </xf>
    <xf numFmtId="3" fontId="6" fillId="0" borderId="10" xfId="9" applyNumberFormat="1" applyFont="1" applyFill="1" applyBorder="1" applyAlignment="1">
      <alignment horizontal="center" vertical="center" wrapText="1"/>
    </xf>
    <xf numFmtId="3" fontId="6" fillId="0" borderId="10" xfId="0" applyNumberFormat="1" applyFont="1" applyFill="1" applyBorder="1" applyAlignment="1">
      <alignment vertical="top" wrapText="1"/>
    </xf>
    <xf numFmtId="3" fontId="6" fillId="0" borderId="10" xfId="0" applyNumberFormat="1" applyFont="1" applyFill="1" applyBorder="1" applyAlignment="1">
      <alignment horizontal="right" vertical="center" wrapText="1"/>
    </xf>
    <xf numFmtId="4" fontId="6" fillId="0" borderId="10" xfId="0" applyNumberFormat="1" applyFont="1" applyFill="1" applyBorder="1" applyAlignment="1">
      <alignment horizontal="center" vertical="center" wrapText="1"/>
    </xf>
    <xf numFmtId="0" fontId="6" fillId="16" borderId="15" xfId="0" applyFont="1" applyFill="1" applyBorder="1" applyAlignment="1">
      <alignment horizontal="justify" vertical="center" wrapText="1"/>
    </xf>
    <xf numFmtId="0" fontId="52" fillId="0" borderId="10" xfId="0" applyFont="1" applyFill="1" applyBorder="1" applyAlignment="1">
      <alignment horizontal="center" vertical="center"/>
    </xf>
    <xf numFmtId="0" fontId="6" fillId="19" borderId="15" xfId="0" applyFont="1" applyFill="1" applyBorder="1" applyAlignment="1">
      <alignment horizontal="justify" vertical="center" wrapText="1"/>
    </xf>
    <xf numFmtId="0" fontId="6" fillId="20" borderId="15" xfId="0" applyFont="1" applyFill="1" applyBorder="1" applyAlignment="1">
      <alignment horizontal="justify" vertical="center" wrapText="1"/>
    </xf>
    <xf numFmtId="0" fontId="6" fillId="17" borderId="15" xfId="0" applyFont="1" applyFill="1" applyBorder="1" applyAlignment="1">
      <alignment horizontal="justify" vertical="center" wrapText="1"/>
    </xf>
    <xf numFmtId="0" fontId="46" fillId="0" borderId="10" xfId="9" applyFont="1" applyFill="1" applyBorder="1" applyAlignment="1">
      <alignment horizontal="center" vertical="center" wrapText="1"/>
    </xf>
    <xf numFmtId="167" fontId="6" fillId="0" borderId="10" xfId="9" applyNumberFormat="1" applyFont="1" applyFill="1" applyBorder="1" applyAlignment="1">
      <alignment horizontal="center" vertical="center" wrapText="1"/>
    </xf>
    <xf numFmtId="3" fontId="6" fillId="0" borderId="10" xfId="0" applyNumberFormat="1" applyFont="1" applyFill="1" applyBorder="1" applyAlignment="1">
      <alignment horizontal="center" vertical="top" wrapText="1"/>
    </xf>
    <xf numFmtId="167" fontId="6" fillId="0" borderId="10"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0" fontId="5" fillId="0" borderId="15" xfId="9" applyFont="1" applyFill="1" applyBorder="1" applyAlignment="1">
      <alignment horizontal="justify" vertical="center" wrapText="1"/>
    </xf>
    <xf numFmtId="3" fontId="5" fillId="21" borderId="10" xfId="9" applyNumberFormat="1" applyFont="1" applyFill="1" applyBorder="1" applyAlignment="1">
      <alignment horizontal="right" vertical="center" wrapText="1"/>
    </xf>
    <xf numFmtId="3" fontId="6" fillId="21" borderId="10" xfId="9" applyNumberFormat="1" applyFont="1" applyFill="1" applyBorder="1" applyAlignment="1">
      <alignment horizontal="center" vertical="center" wrapText="1"/>
    </xf>
    <xf numFmtId="3" fontId="5" fillId="21" borderId="10" xfId="0" applyNumberFormat="1" applyFont="1" applyFill="1" applyBorder="1" applyAlignment="1">
      <alignment vertical="top" wrapText="1"/>
    </xf>
    <xf numFmtId="168" fontId="5" fillId="21" borderId="10" xfId="2" applyNumberFormat="1" applyFont="1" applyFill="1" applyBorder="1" applyAlignment="1">
      <alignment vertical="center" wrapText="1"/>
    </xf>
    <xf numFmtId="3" fontId="5" fillId="21" borderId="10" xfId="0" applyNumberFormat="1" applyFont="1" applyFill="1" applyBorder="1" applyAlignment="1">
      <alignment horizontal="right" vertical="center" wrapText="1"/>
    </xf>
    <xf numFmtId="0" fontId="6" fillId="16" borderId="15" xfId="9" applyFont="1" applyFill="1" applyBorder="1" applyAlignment="1">
      <alignment horizontal="justify" vertical="center" wrapText="1"/>
    </xf>
    <xf numFmtId="0" fontId="46" fillId="0" borderId="10" xfId="9" applyFont="1" applyBorder="1" applyAlignment="1">
      <alignment horizontal="center" vertical="center" wrapText="1"/>
    </xf>
    <xf numFmtId="3" fontId="6" fillId="16" borderId="10" xfId="9" applyNumberFormat="1" applyFont="1" applyFill="1" applyBorder="1" applyAlignment="1">
      <alignment horizontal="center" vertical="center" wrapText="1"/>
    </xf>
    <xf numFmtId="0" fontId="5" fillId="16" borderId="15" xfId="9" applyFont="1" applyFill="1" applyBorder="1" applyAlignment="1">
      <alignment horizontal="justify" vertical="center" wrapText="1"/>
    </xf>
    <xf numFmtId="0" fontId="6" fillId="16" borderId="10" xfId="9" applyFont="1" applyFill="1" applyBorder="1" applyAlignment="1">
      <alignment horizontal="center" vertical="center" wrapText="1"/>
    </xf>
    <xf numFmtId="0" fontId="46" fillId="16" borderId="10" xfId="9" applyFont="1" applyFill="1" applyBorder="1" applyAlignment="1">
      <alignment horizontal="center" vertical="center" wrapText="1"/>
    </xf>
    <xf numFmtId="0" fontId="5" fillId="0" borderId="15" xfId="9" applyFont="1" applyFill="1" applyBorder="1" applyAlignment="1">
      <alignment vertical="center" wrapText="1"/>
    </xf>
    <xf numFmtId="0" fontId="46" fillId="21" borderId="10" xfId="0" applyFont="1" applyFill="1" applyBorder="1" applyAlignment="1">
      <alignment horizontal="center" vertical="center" wrapText="1"/>
    </xf>
    <xf numFmtId="3" fontId="46" fillId="21" borderId="10" xfId="0" applyNumberFormat="1" applyFont="1" applyFill="1" applyBorder="1" applyAlignment="1">
      <alignment horizontal="center" vertical="center" wrapText="1"/>
    </xf>
    <xf numFmtId="168" fontId="5" fillId="21" borderId="10" xfId="2" applyNumberFormat="1" applyFont="1" applyFill="1" applyBorder="1" applyAlignment="1">
      <alignment horizontal="center" vertical="center" wrapText="1"/>
    </xf>
    <xf numFmtId="3" fontId="5" fillId="21" borderId="10" xfId="9"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5" fillId="12" borderId="15" xfId="0" applyFont="1" applyFill="1" applyBorder="1" applyAlignment="1">
      <alignment horizontal="center" vertical="center" wrapText="1"/>
    </xf>
    <xf numFmtId="3" fontId="6" fillId="12" borderId="10" xfId="0" applyNumberFormat="1" applyFont="1" applyFill="1" applyBorder="1" applyAlignment="1">
      <alignment horizontal="center" vertical="center" wrapText="1"/>
    </xf>
    <xf numFmtId="3" fontId="5" fillId="12" borderId="10" xfId="9" applyNumberFormat="1" applyFont="1" applyFill="1" applyBorder="1" applyAlignment="1">
      <alignment horizontal="right" vertical="center" wrapText="1"/>
    </xf>
    <xf numFmtId="3" fontId="6" fillId="12" borderId="10" xfId="9" applyNumberFormat="1" applyFont="1" applyFill="1" applyBorder="1" applyAlignment="1">
      <alignment horizontal="center" vertical="center" wrapText="1"/>
    </xf>
    <xf numFmtId="3" fontId="5" fillId="12" borderId="10" xfId="0" applyNumberFormat="1" applyFont="1" applyFill="1" applyBorder="1" applyAlignment="1">
      <alignment vertical="top" wrapText="1"/>
    </xf>
    <xf numFmtId="3" fontId="6" fillId="12" borderId="10" xfId="0" applyNumberFormat="1" applyFont="1" applyFill="1" applyBorder="1" applyAlignment="1">
      <alignment horizontal="right" vertical="center" wrapText="1"/>
    </xf>
    <xf numFmtId="3" fontId="5" fillId="12" borderId="10" xfId="9" applyNumberFormat="1" applyFont="1" applyFill="1" applyBorder="1" applyAlignment="1">
      <alignment horizontal="center" vertical="center" wrapText="1"/>
    </xf>
    <xf numFmtId="3" fontId="5" fillId="12" borderId="10" xfId="0" applyNumberFormat="1" applyFont="1" applyFill="1" applyBorder="1" applyAlignment="1">
      <alignment horizontal="center" vertical="center" wrapText="1"/>
    </xf>
    <xf numFmtId="168" fontId="5" fillId="12" borderId="10" xfId="2" applyNumberFormat="1" applyFont="1" applyFill="1" applyBorder="1" applyAlignment="1">
      <alignment horizontal="center" vertical="center" wrapText="1"/>
    </xf>
    <xf numFmtId="0" fontId="5" fillId="21" borderId="10" xfId="0" applyFont="1" applyFill="1" applyBorder="1" applyAlignment="1">
      <alignment horizontal="center" vertical="center" wrapText="1"/>
    </xf>
    <xf numFmtId="3" fontId="46" fillId="0" borderId="10" xfId="9" applyNumberFormat="1" applyFont="1" applyFill="1" applyBorder="1" applyAlignment="1">
      <alignment horizontal="center" vertical="center" wrapText="1"/>
    </xf>
    <xf numFmtId="0" fontId="5" fillId="16" borderId="15" xfId="0" applyFont="1" applyFill="1" applyBorder="1" applyAlignment="1">
      <alignment horizontal="justify" vertical="center" wrapText="1"/>
    </xf>
    <xf numFmtId="0" fontId="52" fillId="16" borderId="10" xfId="0" applyFont="1" applyFill="1" applyBorder="1" applyAlignment="1">
      <alignment horizontal="center" vertical="center"/>
    </xf>
    <xf numFmtId="0" fontId="6" fillId="21" borderId="10" xfId="9" applyFont="1" applyFill="1" applyBorder="1" applyAlignment="1">
      <alignment horizontal="center" vertical="center" wrapText="1"/>
    </xf>
    <xf numFmtId="169" fontId="6" fillId="0" borderId="10" xfId="0" applyNumberFormat="1" applyFont="1" applyFill="1" applyBorder="1" applyAlignment="1">
      <alignment horizontal="center" vertical="center" wrapText="1"/>
    </xf>
    <xf numFmtId="168" fontId="6" fillId="0" borderId="0" xfId="2" applyNumberFormat="1" applyFont="1" applyFill="1" applyAlignment="1">
      <alignment horizontal="center" vertical="center" wrapText="1"/>
    </xf>
    <xf numFmtId="171" fontId="5" fillId="12" borderId="10" xfId="9" applyNumberFormat="1" applyFont="1" applyFill="1" applyBorder="1" applyAlignment="1">
      <alignment vertical="center" wrapText="1"/>
    </xf>
    <xf numFmtId="0" fontId="6" fillId="12" borderId="10" xfId="9" applyFont="1" applyFill="1" applyBorder="1" applyAlignment="1">
      <alignment vertical="center" wrapText="1"/>
    </xf>
    <xf numFmtId="171" fontId="5" fillId="12" borderId="10" xfId="0" applyNumberFormat="1" applyFont="1" applyFill="1" applyBorder="1" applyAlignment="1">
      <alignment vertical="center" wrapText="1"/>
    </xf>
    <xf numFmtId="0" fontId="5" fillId="21" borderId="10" xfId="0" applyFont="1" applyFill="1" applyBorder="1" applyAlignment="1">
      <alignment horizontal="justify" vertical="center" wrapText="1"/>
    </xf>
    <xf numFmtId="3" fontId="5" fillId="21" borderId="10" xfId="9" applyNumberFormat="1" applyFont="1" applyFill="1" applyBorder="1" applyAlignment="1">
      <alignment vertical="center" wrapText="1"/>
    </xf>
    <xf numFmtId="0" fontId="6" fillId="21" borderId="10" xfId="9" applyFont="1" applyFill="1" applyBorder="1" applyAlignment="1">
      <alignment vertical="center" wrapText="1"/>
    </xf>
    <xf numFmtId="0" fontId="6" fillId="0" borderId="15" xfId="0" applyFont="1" applyFill="1" applyBorder="1" applyAlignment="1">
      <alignment horizontal="justify" vertical="center" wrapText="1"/>
    </xf>
    <xf numFmtId="0" fontId="5" fillId="0" borderId="15" xfId="0" applyFont="1" applyFill="1" applyBorder="1" applyAlignment="1">
      <alignment horizontal="justify" vertical="center" wrapText="1"/>
    </xf>
    <xf numFmtId="171" fontId="5" fillId="21" borderId="10" xfId="0" applyNumberFormat="1" applyFont="1" applyFill="1" applyBorder="1" applyAlignment="1">
      <alignment vertical="center" wrapText="1"/>
    </xf>
    <xf numFmtId="3" fontId="5" fillId="12" borderId="10" xfId="9" applyNumberFormat="1" applyFont="1" applyFill="1" applyBorder="1" applyAlignment="1">
      <alignment vertical="center" wrapText="1"/>
    </xf>
    <xf numFmtId="3" fontId="5" fillId="12" borderId="10" xfId="0" applyNumberFormat="1" applyFont="1" applyFill="1" applyBorder="1" applyAlignment="1">
      <alignment vertical="center" wrapText="1"/>
    </xf>
    <xf numFmtId="0" fontId="6" fillId="0" borderId="10" xfId="0" applyFont="1" applyFill="1" applyBorder="1" applyAlignment="1">
      <alignment horizontal="center" vertical="top" wrapText="1"/>
    </xf>
    <xf numFmtId="0" fontId="52" fillId="16" borderId="10" xfId="0" applyFont="1" applyFill="1" applyBorder="1" applyAlignment="1">
      <alignment horizontal="center" vertical="center" wrapText="1"/>
    </xf>
    <xf numFmtId="3" fontId="5" fillId="12" borderId="15" xfId="0" applyNumberFormat="1" applyFont="1" applyFill="1" applyBorder="1" applyAlignment="1">
      <alignment horizontal="center" vertical="center" wrapText="1"/>
    </xf>
    <xf numFmtId="3" fontId="5" fillId="12" borderId="10" xfId="0" applyNumberFormat="1" applyFont="1" applyFill="1" applyBorder="1" applyAlignment="1">
      <alignment horizontal="right" vertical="center" wrapText="1"/>
    </xf>
    <xf numFmtId="0" fontId="5" fillId="12" borderId="10" xfId="9" applyFont="1" applyFill="1" applyBorder="1" applyAlignment="1">
      <alignment vertical="center" wrapText="1"/>
    </xf>
    <xf numFmtId="0" fontId="6" fillId="17" borderId="15" xfId="0" applyFont="1" applyFill="1" applyBorder="1" applyAlignment="1">
      <alignment horizontal="justify" vertical="center"/>
    </xf>
    <xf numFmtId="0" fontId="5" fillId="21" borderId="15" xfId="9" applyFont="1" applyFill="1" applyBorder="1" applyAlignment="1">
      <alignment horizontal="justify" vertical="center" wrapText="1"/>
    </xf>
    <xf numFmtId="0" fontId="46" fillId="12" borderId="10" xfId="0" applyFont="1" applyFill="1" applyBorder="1" applyAlignment="1">
      <alignment horizontal="center" vertical="center" wrapText="1"/>
    </xf>
    <xf numFmtId="3" fontId="45" fillId="13" borderId="17" xfId="0" applyNumberFormat="1" applyFont="1" applyFill="1" applyBorder="1" applyAlignment="1">
      <alignment horizontal="right" vertical="center" wrapText="1"/>
    </xf>
    <xf numFmtId="167" fontId="5" fillId="13" borderId="17" xfId="0" applyNumberFormat="1" applyFont="1" applyFill="1" applyBorder="1" applyAlignment="1">
      <alignment horizontal="center" vertical="center" wrapText="1"/>
    </xf>
    <xf numFmtId="3" fontId="5" fillId="13" borderId="17" xfId="0" applyNumberFormat="1" applyFont="1" applyFill="1" applyBorder="1" applyAlignment="1">
      <alignment horizontal="center" vertical="center" wrapText="1"/>
    </xf>
    <xf numFmtId="3" fontId="5" fillId="13" borderId="17" xfId="0" applyNumberFormat="1" applyFont="1" applyFill="1" applyBorder="1" applyAlignment="1">
      <alignment horizontal="right" vertical="center" wrapText="1"/>
    </xf>
    <xf numFmtId="166" fontId="47" fillId="0" borderId="0" xfId="2" applyFont="1" applyFill="1" applyAlignment="1">
      <alignment vertical="center" wrapText="1"/>
    </xf>
    <xf numFmtId="0" fontId="47" fillId="0" borderId="0" xfId="0" applyFont="1" applyFill="1" applyAlignment="1">
      <alignment vertical="center" wrapText="1"/>
    </xf>
    <xf numFmtId="0" fontId="6" fillId="17" borderId="33" xfId="9" applyFont="1" applyFill="1" applyBorder="1" applyAlignment="1">
      <alignment horizontal="justify" vertical="center" wrapText="1"/>
    </xf>
    <xf numFmtId="0" fontId="52" fillId="24" borderId="26" xfId="0" applyFont="1" applyFill="1" applyBorder="1" applyAlignment="1">
      <alignment horizontal="center" vertical="center"/>
    </xf>
    <xf numFmtId="0" fontId="6" fillId="0" borderId="26" xfId="9" applyFont="1" applyFill="1" applyBorder="1" applyAlignment="1">
      <alignment horizontal="center" vertical="center" wrapText="1"/>
    </xf>
    <xf numFmtId="3" fontId="6" fillId="0" borderId="26" xfId="9" applyNumberFormat="1" applyFont="1" applyFill="1" applyBorder="1" applyAlignment="1">
      <alignment vertical="center" wrapText="1"/>
    </xf>
    <xf numFmtId="3" fontId="6" fillId="0" borderId="24" xfId="9" applyNumberFormat="1" applyFont="1" applyFill="1" applyBorder="1" applyAlignment="1">
      <alignment horizontal="right" vertical="center" wrapText="1"/>
    </xf>
    <xf numFmtId="169" fontId="6" fillId="0" borderId="42" xfId="9" applyNumberFormat="1" applyFont="1" applyFill="1" applyBorder="1" applyAlignment="1">
      <alignment horizontal="center" vertical="center" wrapText="1"/>
    </xf>
    <xf numFmtId="3" fontId="6" fillId="0" borderId="29" xfId="0" applyNumberFormat="1" applyFont="1" applyFill="1" applyBorder="1" applyAlignment="1">
      <alignment horizontal="right" vertical="center" wrapText="1"/>
    </xf>
    <xf numFmtId="0" fontId="6" fillId="16" borderId="10" xfId="0" applyFont="1" applyFill="1" applyBorder="1" applyAlignment="1">
      <alignment horizontal="justify" vertical="center" wrapText="1"/>
    </xf>
    <xf numFmtId="0" fontId="52" fillId="24" borderId="10" xfId="0" applyFont="1" applyFill="1" applyBorder="1" applyAlignment="1">
      <alignment horizontal="center" vertical="center"/>
    </xf>
    <xf numFmtId="0" fontId="6" fillId="19" borderId="10" xfId="0" applyFont="1" applyFill="1" applyBorder="1" applyAlignment="1">
      <alignment horizontal="justify" vertical="center" wrapText="1"/>
    </xf>
    <xf numFmtId="0" fontId="6" fillId="20" borderId="10" xfId="0" applyFont="1" applyFill="1" applyBorder="1" applyAlignment="1">
      <alignment horizontal="justify" vertical="center" wrapText="1"/>
    </xf>
    <xf numFmtId="0" fontId="6" fillId="17" borderId="10" xfId="0" applyFont="1" applyFill="1" applyBorder="1" applyAlignment="1">
      <alignment horizontal="justify" vertical="center" wrapText="1"/>
    </xf>
    <xf numFmtId="167" fontId="6" fillId="0" borderId="26" xfId="9" applyNumberFormat="1" applyFont="1" applyFill="1" applyBorder="1" applyAlignment="1">
      <alignment vertical="center" wrapText="1"/>
    </xf>
    <xf numFmtId="0" fontId="6" fillId="17" borderId="10" xfId="9" applyFont="1" applyFill="1" applyBorder="1" applyAlignment="1">
      <alignment horizontal="justify" vertical="center" wrapText="1"/>
    </xf>
    <xf numFmtId="0" fontId="6" fillId="0" borderId="15" xfId="9" applyFont="1" applyFill="1" applyBorder="1" applyAlignment="1">
      <alignment horizontal="justify" vertical="center" wrapText="1"/>
    </xf>
    <xf numFmtId="0" fontId="6" fillId="24" borderId="10" xfId="0" applyFont="1" applyFill="1" applyBorder="1" applyAlignment="1">
      <alignment horizontal="center" vertical="center"/>
    </xf>
    <xf numFmtId="3" fontId="6" fillId="0" borderId="27" xfId="9" applyNumberFormat="1" applyFont="1" applyFill="1" applyBorder="1" applyAlignment="1">
      <alignment horizontal="center" vertical="center" wrapText="1"/>
    </xf>
    <xf numFmtId="4" fontId="6" fillId="0" borderId="10" xfId="0" applyNumberFormat="1" applyFont="1" applyFill="1" applyBorder="1" applyAlignment="1">
      <alignment horizontal="right" vertical="center" wrapText="1"/>
    </xf>
    <xf numFmtId="169" fontId="5" fillId="0" borderId="10"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3" fontId="6" fillId="0" borderId="10" xfId="9" applyNumberFormat="1" applyFont="1" applyFill="1" applyBorder="1" applyAlignment="1">
      <alignment horizontal="right" vertical="center" wrapText="1"/>
    </xf>
    <xf numFmtId="0" fontId="46" fillId="16" borderId="21" xfId="9" applyFont="1" applyFill="1" applyBorder="1" applyAlignment="1">
      <alignment horizontal="center" vertical="center" wrapText="1"/>
    </xf>
    <xf numFmtId="0" fontId="5" fillId="0" borderId="10" xfId="9" applyFont="1" applyFill="1" applyBorder="1" applyAlignment="1">
      <alignment vertical="center" wrapText="1"/>
    </xf>
    <xf numFmtId="3" fontId="5" fillId="0" borderId="10" xfId="9" applyNumberFormat="1" applyFont="1" applyFill="1" applyBorder="1" applyAlignment="1">
      <alignment horizontal="center" vertical="center" wrapText="1"/>
    </xf>
    <xf numFmtId="3" fontId="5" fillId="0" borderId="18" xfId="9" applyNumberFormat="1" applyFont="1" applyFill="1" applyBorder="1" applyAlignment="1">
      <alignment horizontal="center" vertical="center" wrapText="1"/>
    </xf>
    <xf numFmtId="0" fontId="6" fillId="11" borderId="43" xfId="0" applyFont="1" applyFill="1" applyBorder="1" applyAlignment="1">
      <alignment vertical="center" wrapText="1"/>
    </xf>
    <xf numFmtId="3" fontId="6" fillId="0" borderId="0" xfId="0" applyNumberFormat="1" applyFont="1"/>
    <xf numFmtId="0" fontId="6" fillId="0" borderId="0" xfId="0" applyFont="1"/>
    <xf numFmtId="0" fontId="5" fillId="11" borderId="10" xfId="0" applyFont="1" applyFill="1" applyBorder="1" applyAlignment="1">
      <alignment horizontal="center" vertical="center" wrapText="1"/>
    </xf>
    <xf numFmtId="0" fontId="6" fillId="11" borderId="4" xfId="0" applyFont="1" applyFill="1" applyBorder="1" applyAlignment="1">
      <alignment vertical="center" wrapText="1"/>
    </xf>
    <xf numFmtId="0" fontId="6" fillId="11" borderId="5" xfId="0" applyFont="1" applyFill="1" applyBorder="1" applyAlignment="1">
      <alignment vertical="center" wrapText="1"/>
    </xf>
    <xf numFmtId="0" fontId="6" fillId="0" borderId="15" xfId="0" applyFont="1" applyBorder="1"/>
    <xf numFmtId="0" fontId="6" fillId="7" borderId="20" xfId="0" applyFont="1" applyFill="1" applyBorder="1" applyAlignment="1">
      <alignment vertical="center" wrapText="1"/>
    </xf>
    <xf numFmtId="3" fontId="6" fillId="7" borderId="0" xfId="0" applyNumberFormat="1" applyFont="1" applyFill="1" applyAlignment="1">
      <alignment vertical="center" wrapText="1"/>
    </xf>
    <xf numFmtId="0" fontId="6" fillId="7" borderId="0" xfId="0" applyFont="1" applyFill="1" applyAlignment="1">
      <alignment vertical="center" wrapText="1"/>
    </xf>
    <xf numFmtId="0" fontId="6" fillId="0" borderId="0" xfId="0" applyFont="1" applyFill="1" applyAlignment="1">
      <alignment horizontal="center" vertical="center" wrapText="1"/>
    </xf>
    <xf numFmtId="3" fontId="5" fillId="11" borderId="17" xfId="0" applyNumberFormat="1" applyFont="1" applyFill="1" applyBorder="1" applyAlignment="1">
      <alignment horizontal="center" vertical="center" wrapText="1"/>
    </xf>
    <xf numFmtId="3" fontId="5" fillId="18" borderId="17" xfId="0" applyNumberFormat="1" applyFont="1" applyFill="1" applyBorder="1" applyAlignment="1">
      <alignment horizontal="center" vertical="center" wrapText="1"/>
    </xf>
    <xf numFmtId="4" fontId="5" fillId="18" borderId="17" xfId="0" applyNumberFormat="1" applyFont="1" applyFill="1" applyBorder="1" applyAlignment="1">
      <alignment horizontal="center" vertical="center" wrapText="1"/>
    </xf>
    <xf numFmtId="4" fontId="5" fillId="11" borderId="19" xfId="0" applyNumberFormat="1" applyFont="1" applyFill="1" applyBorder="1" applyAlignment="1">
      <alignment horizontal="center" vertical="center" wrapText="1"/>
    </xf>
    <xf numFmtId="3" fontId="6" fillId="0" borderId="0" xfId="0" applyNumberFormat="1" applyFont="1" applyFill="1" applyAlignment="1">
      <alignment vertical="center" wrapText="1"/>
    </xf>
    <xf numFmtId="0" fontId="5" fillId="0" borderId="26" xfId="0" applyFont="1" applyFill="1" applyBorder="1" applyAlignment="1">
      <alignment horizontal="center" vertical="top" wrapText="1"/>
    </xf>
    <xf numFmtId="0" fontId="5" fillId="0" borderId="24" xfId="0" applyFont="1" applyFill="1" applyBorder="1" applyAlignment="1">
      <alignment horizontal="center" vertical="top" wrapText="1"/>
    </xf>
    <xf numFmtId="3" fontId="6" fillId="9" borderId="0" xfId="0" applyNumberFormat="1" applyFont="1" applyFill="1" applyAlignment="1">
      <alignment vertical="center" wrapText="1"/>
    </xf>
    <xf numFmtId="0" fontId="5" fillId="0" borderId="10" xfId="0" applyFont="1" applyFill="1" applyBorder="1" applyAlignment="1">
      <alignment horizontal="center" vertical="top" wrapText="1"/>
    </xf>
    <xf numFmtId="3" fontId="6" fillId="10" borderId="0" xfId="0" applyNumberFormat="1" applyFont="1" applyFill="1" applyAlignment="1">
      <alignment vertical="center" wrapText="1"/>
    </xf>
    <xf numFmtId="3" fontId="6" fillId="15" borderId="10" xfId="0" applyNumberFormat="1" applyFont="1" applyFill="1" applyBorder="1" applyAlignment="1">
      <alignment vertical="center" wrapText="1"/>
    </xf>
    <xf numFmtId="0" fontId="5" fillId="18" borderId="10" xfId="0" applyFont="1" applyFill="1" applyBorder="1" applyAlignment="1">
      <alignment horizontal="center" vertical="center" wrapText="1"/>
    </xf>
    <xf numFmtId="0" fontId="5" fillId="11" borderId="21" xfId="0" applyFont="1" applyFill="1" applyBorder="1" applyAlignment="1">
      <alignment horizontal="center" vertical="center" wrapText="1"/>
    </xf>
    <xf numFmtId="4" fontId="5" fillId="11" borderId="10" xfId="0" applyNumberFormat="1" applyFont="1" applyFill="1" applyBorder="1" applyAlignment="1">
      <alignment horizontal="center" vertical="center" wrapText="1"/>
    </xf>
    <xf numFmtId="4" fontId="5" fillId="11" borderId="12" xfId="0" applyNumberFormat="1" applyFont="1" applyFill="1" applyBorder="1" applyAlignment="1">
      <alignment horizontal="center" vertical="center" wrapText="1"/>
    </xf>
    <xf numFmtId="3" fontId="5" fillId="11" borderId="10" xfId="0" applyNumberFormat="1" applyFont="1" applyFill="1" applyBorder="1" applyAlignment="1">
      <alignment horizontal="center" vertical="center" wrapText="1"/>
    </xf>
    <xf numFmtId="4" fontId="5" fillId="18" borderId="10" xfId="0" applyNumberFormat="1" applyFont="1" applyFill="1" applyBorder="1" applyAlignment="1">
      <alignment horizontal="center" vertical="center" wrapText="1"/>
    </xf>
    <xf numFmtId="3" fontId="6" fillId="0" borderId="27" xfId="9" applyNumberFormat="1" applyFont="1" applyFill="1" applyBorder="1" applyAlignment="1">
      <alignment horizontal="right" vertical="center" wrapText="1"/>
    </xf>
    <xf numFmtId="3" fontId="5" fillId="0" borderId="10" xfId="0" applyNumberFormat="1" applyFont="1" applyFill="1" applyBorder="1" applyAlignment="1">
      <alignment horizontal="right" vertical="center" wrapText="1"/>
    </xf>
    <xf numFmtId="3" fontId="6" fillId="0" borderId="18" xfId="9" applyNumberFormat="1" applyFont="1" applyFill="1" applyBorder="1" applyAlignment="1">
      <alignment horizontal="right" vertical="center" wrapText="1"/>
    </xf>
    <xf numFmtId="0" fontId="6" fillId="16" borderId="27" xfId="0" applyFont="1" applyFill="1" applyBorder="1" applyAlignment="1">
      <alignment horizontal="justify" vertical="center" wrapText="1"/>
    </xf>
    <xf numFmtId="0" fontId="5" fillId="16" borderId="27" xfId="0" applyFont="1" applyFill="1" applyBorder="1" applyAlignment="1">
      <alignment horizontal="justify" vertical="center" wrapText="1"/>
    </xf>
    <xf numFmtId="0" fontId="6" fillId="17" borderId="27" xfId="0" applyFont="1" applyFill="1" applyBorder="1" applyAlignment="1">
      <alignment horizontal="justify" vertical="center" wrapText="1"/>
    </xf>
    <xf numFmtId="3" fontId="6" fillId="0" borderId="21" xfId="9" applyNumberFormat="1" applyFont="1" applyFill="1" applyBorder="1" applyAlignment="1">
      <alignment horizontal="right" vertical="center" wrapText="1"/>
    </xf>
    <xf numFmtId="3" fontId="6" fillId="0" borderId="24" xfId="9" applyNumberFormat="1" applyFont="1" applyFill="1" applyBorder="1" applyAlignment="1">
      <alignment horizontal="center" vertical="center" wrapText="1"/>
    </xf>
    <xf numFmtId="3" fontId="6" fillId="0" borderId="26" xfId="9" applyNumberFormat="1" applyFont="1" applyFill="1" applyBorder="1" applyAlignment="1">
      <alignment horizontal="right" vertical="center" wrapText="1"/>
    </xf>
    <xf numFmtId="0" fontId="5" fillId="16" borderId="10" xfId="0" applyFont="1" applyFill="1" applyBorder="1" applyAlignment="1">
      <alignment horizontal="justify" vertical="center" wrapText="1"/>
    </xf>
    <xf numFmtId="0" fontId="6" fillId="0" borderId="26" xfId="9" applyFont="1" applyFill="1" applyBorder="1" applyAlignment="1">
      <alignment vertical="center" wrapText="1"/>
    </xf>
    <xf numFmtId="3" fontId="53" fillId="0" borderId="10" xfId="0" applyNumberFormat="1" applyFont="1" applyFill="1" applyBorder="1" applyAlignment="1">
      <alignment horizontal="right" vertical="center" wrapText="1"/>
    </xf>
    <xf numFmtId="3" fontId="54" fillId="0" borderId="10" xfId="0" applyNumberFormat="1" applyFont="1" applyFill="1" applyBorder="1" applyAlignment="1">
      <alignment horizontal="right" vertical="center" wrapText="1"/>
    </xf>
    <xf numFmtId="9" fontId="54" fillId="0" borderId="10" xfId="0" applyNumberFormat="1" applyFont="1" applyFill="1" applyBorder="1" applyAlignment="1">
      <alignment horizontal="right" vertical="center" wrapText="1"/>
    </xf>
    <xf numFmtId="0" fontId="5" fillId="18" borderId="21" xfId="0" applyFont="1" applyFill="1" applyBorder="1" applyAlignment="1">
      <alignment horizontal="center" vertical="center" wrapText="1"/>
    </xf>
    <xf numFmtId="0" fontId="6" fillId="0" borderId="10"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6" fillId="0" borderId="10" xfId="0" applyFont="1" applyFill="1" applyBorder="1"/>
    <xf numFmtId="0" fontId="6" fillId="0" borderId="26" xfId="0" applyFont="1" applyFill="1" applyBorder="1"/>
    <xf numFmtId="0" fontId="6" fillId="0" borderId="21" xfId="0" applyFont="1" applyFill="1" applyBorder="1"/>
    <xf numFmtId="0" fontId="6" fillId="16" borderId="10" xfId="9" applyFont="1" applyFill="1" applyBorder="1" applyAlignment="1">
      <alignment horizontal="justify" vertical="center" wrapText="1"/>
    </xf>
    <xf numFmtId="0" fontId="5" fillId="0" borderId="10" xfId="9" applyFont="1" applyFill="1" applyBorder="1" applyAlignment="1">
      <alignment horizontal="justify" vertical="center" wrapText="1"/>
    </xf>
    <xf numFmtId="174" fontId="5" fillId="0" borderId="10" xfId="0" applyNumberFormat="1" applyFont="1" applyFill="1" applyBorder="1" applyAlignment="1">
      <alignment horizontal="right" vertical="center" wrapText="1"/>
    </xf>
    <xf numFmtId="174" fontId="54" fillId="0" borderId="10" xfId="0" applyNumberFormat="1" applyFont="1" applyFill="1" applyBorder="1" applyAlignment="1">
      <alignment horizontal="right" vertical="center" wrapText="1"/>
    </xf>
    <xf numFmtId="3" fontId="5" fillId="18" borderId="10" xfId="0" applyNumberFormat="1" applyFont="1" applyFill="1" applyBorder="1" applyAlignment="1">
      <alignment horizontal="center" vertical="center" wrapText="1"/>
    </xf>
    <xf numFmtId="3" fontId="5" fillId="11" borderId="12" xfId="0" applyNumberFormat="1" applyFont="1" applyFill="1" applyBorder="1" applyAlignment="1">
      <alignment horizontal="center" vertical="center" wrapText="1"/>
    </xf>
    <xf numFmtId="0" fontId="5" fillId="16" borderId="10" xfId="9" applyFont="1" applyFill="1" applyBorder="1" applyAlignment="1">
      <alignment horizontal="justify" vertical="center" wrapText="1"/>
    </xf>
    <xf numFmtId="171" fontId="6" fillId="17" borderId="10" xfId="2" applyNumberFormat="1" applyFont="1" applyFill="1" applyBorder="1" applyAlignment="1">
      <alignment horizontal="justify" vertical="center" wrapText="1"/>
    </xf>
    <xf numFmtId="0" fontId="5" fillId="18" borderId="26" xfId="0" applyFont="1" applyFill="1" applyBorder="1" applyAlignment="1">
      <alignment horizontal="center" vertical="center" wrapText="1"/>
    </xf>
    <xf numFmtId="0" fontId="5" fillId="22" borderId="10" xfId="0" applyFont="1" applyFill="1" applyBorder="1" applyAlignment="1">
      <alignment horizontal="center" vertical="top" wrapText="1"/>
    </xf>
    <xf numFmtId="3" fontId="6" fillId="22" borderId="0" xfId="0" applyNumberFormat="1" applyFont="1" applyFill="1" applyAlignment="1">
      <alignment vertical="center" wrapText="1"/>
    </xf>
    <xf numFmtId="0" fontId="6" fillId="22" borderId="0" xfId="0" applyFont="1" applyFill="1" applyAlignment="1">
      <alignment vertical="center" wrapText="1"/>
    </xf>
    <xf numFmtId="3" fontId="5" fillId="0" borderId="10" xfId="9" applyNumberFormat="1" applyFont="1" applyFill="1" applyBorder="1" applyAlignment="1">
      <alignment horizontal="right" vertical="center" wrapText="1"/>
    </xf>
    <xf numFmtId="0" fontId="5" fillId="18" borderId="10" xfId="0" applyFont="1" applyFill="1" applyBorder="1" applyAlignment="1">
      <alignment horizontal="left" vertical="center" wrapText="1"/>
    </xf>
    <xf numFmtId="1" fontId="6" fillId="0" borderId="10" xfId="9"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6" fillId="0" borderId="21" xfId="9" applyNumberFormat="1" applyFont="1" applyFill="1" applyBorder="1" applyAlignment="1">
      <alignment horizontal="center" vertical="center" wrapText="1"/>
    </xf>
    <xf numFmtId="0" fontId="5" fillId="0" borderId="28" xfId="0" applyFont="1" applyFill="1" applyBorder="1" applyAlignment="1">
      <alignment horizontal="center" vertical="top" wrapText="1"/>
    </xf>
    <xf numFmtId="0" fontId="6" fillId="16" borderId="17" xfId="0" applyFont="1" applyFill="1" applyBorder="1" applyAlignment="1">
      <alignment horizontal="justify" vertical="center" wrapText="1"/>
    </xf>
    <xf numFmtId="3" fontId="5" fillId="16" borderId="7" xfId="0" applyNumberFormat="1" applyFont="1" applyFill="1" applyBorder="1" applyAlignment="1">
      <alignment horizontal="right" vertical="center" wrapText="1"/>
    </xf>
    <xf numFmtId="3" fontId="5" fillId="16" borderId="10" xfId="0" applyNumberFormat="1" applyFont="1" applyFill="1" applyBorder="1" applyAlignment="1">
      <alignment horizontal="right" vertical="center" wrapText="1"/>
    </xf>
    <xf numFmtId="9" fontId="5" fillId="16" borderId="17" xfId="0" applyNumberFormat="1" applyFont="1" applyFill="1" applyBorder="1" applyAlignment="1">
      <alignment horizontal="right" vertical="center" wrapText="1"/>
    </xf>
    <xf numFmtId="0" fontId="55" fillId="0" borderId="0" xfId="0" applyFont="1" applyAlignment="1">
      <alignment wrapText="1"/>
    </xf>
    <xf numFmtId="0" fontId="56" fillId="0" borderId="0" xfId="0" applyFont="1" applyAlignment="1">
      <alignment wrapText="1"/>
    </xf>
    <xf numFmtId="167" fontId="6" fillId="0" borderId="10" xfId="9" applyNumberFormat="1" applyFont="1" applyFill="1" applyBorder="1" applyAlignment="1">
      <alignment horizontal="right" vertical="center" wrapText="1"/>
    </xf>
    <xf numFmtId="0" fontId="6" fillId="0" borderId="10" xfId="0" applyFont="1" applyFill="1" applyBorder="1" applyAlignment="1">
      <alignment vertical="center" wrapText="1"/>
    </xf>
    <xf numFmtId="9" fontId="5" fillId="0" borderId="18" xfId="10" applyFont="1" applyFill="1" applyBorder="1" applyAlignment="1">
      <alignment horizontal="right" vertical="center" wrapText="1"/>
    </xf>
    <xf numFmtId="0" fontId="6" fillId="0" borderId="0" xfId="0" applyFont="1" applyFill="1"/>
    <xf numFmtId="168" fontId="5" fillId="0" borderId="14" xfId="0" applyNumberFormat="1" applyFont="1" applyFill="1" applyBorder="1" applyAlignment="1">
      <alignment horizontal="center" vertical="top" wrapText="1"/>
    </xf>
    <xf numFmtId="0" fontId="23" fillId="25" borderId="0" xfId="9" applyFill="1"/>
    <xf numFmtId="0" fontId="23" fillId="0" borderId="0" xfId="9"/>
    <xf numFmtId="0" fontId="22" fillId="0" borderId="0" xfId="9" applyFont="1" applyAlignment="1" applyProtection="1">
      <alignment horizontal="center"/>
    </xf>
    <xf numFmtId="0" fontId="23" fillId="0" borderId="0" xfId="9" applyFont="1"/>
    <xf numFmtId="0" fontId="22" fillId="0" borderId="31" xfId="9" applyFont="1" applyBorder="1" applyAlignment="1" applyProtection="1"/>
    <xf numFmtId="0" fontId="23" fillId="0" borderId="0" xfId="9" applyFont="1" applyProtection="1"/>
    <xf numFmtId="0" fontId="31" fillId="0" borderId="10" xfId="11" applyFont="1" applyBorder="1" applyProtection="1"/>
    <xf numFmtId="0" fontId="32" fillId="0" borderId="10" xfId="11" applyFont="1" applyBorder="1" applyAlignment="1" applyProtection="1">
      <alignment horizontal="center" vertical="top"/>
    </xf>
    <xf numFmtId="0" fontId="23" fillId="0" borderId="0" xfId="9" applyFont="1" applyAlignment="1">
      <alignment vertical="center"/>
    </xf>
    <xf numFmtId="1" fontId="33" fillId="5" borderId="10" xfId="11" applyNumberFormat="1" applyFont="1" applyFill="1" applyBorder="1" applyProtection="1"/>
    <xf numFmtId="0" fontId="32" fillId="5" borderId="10" xfId="11" applyFont="1" applyFill="1" applyBorder="1" applyProtection="1"/>
    <xf numFmtId="3" fontId="32" fillId="5" borderId="10" xfId="12" applyNumberFormat="1" applyFont="1" applyFill="1" applyBorder="1" applyProtection="1"/>
    <xf numFmtId="1" fontId="33" fillId="6" borderId="10" xfId="11" applyNumberFormat="1" applyFont="1" applyFill="1" applyBorder="1" applyProtection="1"/>
    <xf numFmtId="0" fontId="32" fillId="6" borderId="10" xfId="11" applyFont="1" applyFill="1" applyBorder="1" applyProtection="1"/>
    <xf numFmtId="3" fontId="32" fillId="6" borderId="10" xfId="12" applyNumberFormat="1" applyFont="1" applyFill="1" applyBorder="1" applyProtection="1"/>
    <xf numFmtId="1" fontId="33" fillId="2" borderId="10" xfId="11" applyNumberFormat="1" applyFont="1" applyFill="1" applyBorder="1" applyProtection="1"/>
    <xf numFmtId="0" fontId="32" fillId="2" borderId="10" xfId="11" applyFont="1" applyFill="1" applyBorder="1" applyProtection="1"/>
    <xf numFmtId="3" fontId="32" fillId="2" borderId="10" xfId="12" applyNumberFormat="1" applyFont="1" applyFill="1" applyBorder="1" applyProtection="1"/>
    <xf numFmtId="1" fontId="33" fillId="0" borderId="10" xfId="11" applyNumberFormat="1" applyFont="1" applyBorder="1" applyProtection="1"/>
    <xf numFmtId="0" fontId="31" fillId="0" borderId="10" xfId="11" applyFont="1" applyFill="1" applyBorder="1" applyProtection="1"/>
    <xf numFmtId="3" fontId="31" fillId="0" borderId="10" xfId="12" applyNumberFormat="1" applyFont="1" applyFill="1" applyBorder="1" applyProtection="1"/>
    <xf numFmtId="0" fontId="17" fillId="0" borderId="0" xfId="9" applyFont="1"/>
    <xf numFmtId="0" fontId="33" fillId="0" borderId="10" xfId="11" applyFont="1" applyFill="1" applyBorder="1" applyProtection="1"/>
    <xf numFmtId="3" fontId="33" fillId="0" borderId="10" xfId="12" applyNumberFormat="1" applyFont="1" applyFill="1" applyBorder="1" applyProtection="1"/>
    <xf numFmtId="0" fontId="20" fillId="0" borderId="0" xfId="9" applyFont="1"/>
    <xf numFmtId="0" fontId="32" fillId="0" borderId="10" xfId="11" applyFont="1" applyBorder="1" applyProtection="1"/>
    <xf numFmtId="3" fontId="32" fillId="0" borderId="10" xfId="12" applyNumberFormat="1" applyFont="1" applyBorder="1" applyProtection="1"/>
    <xf numFmtId="1" fontId="31" fillId="0" borderId="10" xfId="11" applyNumberFormat="1" applyFont="1" applyBorder="1" applyProtection="1"/>
    <xf numFmtId="3" fontId="33" fillId="0" borderId="10" xfId="12" applyNumberFormat="1" applyFont="1" applyBorder="1" applyProtection="1"/>
    <xf numFmtId="1" fontId="32" fillId="5" borderId="10" xfId="11" applyNumberFormat="1" applyFont="1" applyFill="1" applyBorder="1" applyProtection="1"/>
    <xf numFmtId="1" fontId="33" fillId="7" borderId="10" xfId="11" applyNumberFormat="1" applyFont="1" applyFill="1" applyBorder="1" applyProtection="1"/>
    <xf numFmtId="1" fontId="32" fillId="7" borderId="10" xfId="11" applyNumberFormat="1" applyFont="1" applyFill="1" applyBorder="1" applyProtection="1"/>
    <xf numFmtId="3" fontId="33" fillId="7" borderId="10" xfId="12" applyNumberFormat="1" applyFont="1" applyFill="1" applyBorder="1" applyProtection="1"/>
    <xf numFmtId="3" fontId="32" fillId="7" borderId="10" xfId="12" applyNumberFormat="1" applyFont="1" applyFill="1" applyBorder="1" applyProtection="1"/>
    <xf numFmtId="0" fontId="22" fillId="25" borderId="0" xfId="9" applyFont="1" applyFill="1" applyBorder="1" applyAlignment="1">
      <alignment horizontal="center" vertical="center"/>
    </xf>
    <xf numFmtId="0" fontId="23" fillId="0" borderId="0" xfId="9" applyAlignment="1">
      <alignment vertical="center"/>
    </xf>
    <xf numFmtId="0" fontId="22" fillId="0" borderId="30" xfId="11" applyFont="1" applyBorder="1" applyAlignment="1" applyProtection="1">
      <alignment vertical="center"/>
    </xf>
    <xf numFmtId="0" fontId="58" fillId="0" borderId="20" xfId="11" applyFont="1" applyBorder="1" applyAlignment="1" applyProtection="1">
      <alignment horizontal="center" vertical="center" wrapText="1"/>
    </xf>
    <xf numFmtId="0" fontId="58" fillId="0" borderId="21" xfId="11" applyFont="1" applyBorder="1" applyAlignment="1" applyProtection="1">
      <alignment horizontal="center" vertical="center" wrapText="1"/>
    </xf>
    <xf numFmtId="0" fontId="58" fillId="0" borderId="22" xfId="11" applyFont="1" applyBorder="1" applyAlignment="1" applyProtection="1">
      <alignment horizontal="center" vertical="center" wrapText="1"/>
    </xf>
    <xf numFmtId="3" fontId="59" fillId="0" borderId="44" xfId="11" applyNumberFormat="1" applyFont="1" applyFill="1" applyBorder="1" applyAlignment="1" applyProtection="1">
      <alignment vertical="center"/>
    </xf>
    <xf numFmtId="3" fontId="59" fillId="0" borderId="38" xfId="11" applyNumberFormat="1" applyFont="1" applyFill="1" applyBorder="1" applyAlignment="1" applyProtection="1">
      <alignment vertical="center"/>
    </xf>
    <xf numFmtId="3" fontId="59" fillId="0" borderId="39" xfId="11" applyNumberFormat="1" applyFont="1" applyFill="1" applyBorder="1" applyAlignment="1" applyProtection="1">
      <alignment vertical="center"/>
    </xf>
    <xf numFmtId="3" fontId="59" fillId="0" borderId="40" xfId="11" applyNumberFormat="1" applyFont="1" applyFill="1" applyBorder="1" applyAlignment="1" applyProtection="1">
      <alignment vertical="center"/>
    </xf>
    <xf numFmtId="3" fontId="31" fillId="0" borderId="15" xfId="11" applyNumberFormat="1" applyFont="1" applyFill="1" applyBorder="1" applyAlignment="1" applyProtection="1">
      <alignment vertical="center"/>
    </xf>
    <xf numFmtId="3" fontId="59" fillId="0" borderId="45" xfId="11" applyNumberFormat="1" applyFont="1" applyFill="1" applyBorder="1" applyAlignment="1" applyProtection="1">
      <alignment vertical="center"/>
    </xf>
    <xf numFmtId="3" fontId="59" fillId="0" borderId="6" xfId="11" applyNumberFormat="1" applyFont="1" applyFill="1" applyBorder="1" applyAlignment="1" applyProtection="1">
      <alignment vertical="center"/>
    </xf>
    <xf numFmtId="3" fontId="59" fillId="0" borderId="7" xfId="11" applyNumberFormat="1" applyFont="1" applyFill="1" applyBorder="1" applyAlignment="1" applyProtection="1">
      <alignment vertical="center"/>
    </xf>
    <xf numFmtId="3" fontId="59" fillId="0" borderId="14" xfId="11" applyNumberFormat="1" applyFont="1" applyFill="1" applyBorder="1" applyAlignment="1" applyProtection="1">
      <alignment vertical="center"/>
    </xf>
    <xf numFmtId="3" fontId="31" fillId="0" borderId="46" xfId="11" applyNumberFormat="1" applyFont="1" applyFill="1" applyBorder="1" applyAlignment="1" applyProtection="1">
      <alignment vertical="center"/>
    </xf>
    <xf numFmtId="3" fontId="31" fillId="0" borderId="10" xfId="11" applyNumberFormat="1" applyFont="1" applyFill="1" applyBorder="1" applyAlignment="1" applyProtection="1">
      <alignment vertical="center"/>
    </xf>
    <xf numFmtId="3" fontId="31" fillId="0" borderId="12" xfId="11" applyNumberFormat="1" applyFont="1" applyFill="1" applyBorder="1" applyAlignment="1" applyProtection="1">
      <alignment vertical="center"/>
    </xf>
    <xf numFmtId="3" fontId="31" fillId="0" borderId="47" xfId="11" applyNumberFormat="1" applyFont="1" applyFill="1" applyBorder="1" applyAlignment="1" applyProtection="1">
      <alignment vertical="center"/>
    </xf>
    <xf numFmtId="3" fontId="31" fillId="0" borderId="16" xfId="11" applyNumberFormat="1" applyFont="1" applyFill="1" applyBorder="1" applyAlignment="1" applyProtection="1">
      <alignment vertical="center"/>
    </xf>
    <xf numFmtId="3" fontId="31" fillId="0" borderId="17" xfId="11" applyNumberFormat="1" applyFont="1" applyFill="1" applyBorder="1" applyAlignment="1" applyProtection="1">
      <alignment vertical="center"/>
    </xf>
    <xf numFmtId="3" fontId="31" fillId="0" borderId="19" xfId="11" applyNumberFormat="1" applyFont="1" applyFill="1" applyBorder="1" applyAlignment="1" applyProtection="1">
      <alignment vertical="center"/>
    </xf>
    <xf numFmtId="3" fontId="32" fillId="0" borderId="46" xfId="11" applyNumberFormat="1" applyFont="1" applyFill="1" applyBorder="1" applyAlignment="1" applyProtection="1">
      <alignment vertical="center"/>
    </xf>
    <xf numFmtId="3" fontId="32" fillId="0" borderId="15" xfId="11" applyNumberFormat="1" applyFont="1" applyFill="1" applyBorder="1" applyAlignment="1" applyProtection="1">
      <alignment vertical="center"/>
    </xf>
    <xf numFmtId="3" fontId="32" fillId="0" borderId="10" xfId="11" applyNumberFormat="1" applyFont="1" applyFill="1" applyBorder="1" applyAlignment="1" applyProtection="1">
      <alignment vertical="center"/>
    </xf>
    <xf numFmtId="3" fontId="32" fillId="0" borderId="12" xfId="11" applyNumberFormat="1" applyFont="1" applyFill="1" applyBorder="1" applyAlignment="1" applyProtection="1">
      <alignment vertical="center"/>
    </xf>
    <xf numFmtId="0" fontId="20" fillId="0" borderId="0" xfId="9" applyFont="1" applyAlignment="1">
      <alignment vertical="center"/>
    </xf>
    <xf numFmtId="0" fontId="17" fillId="0" borderId="0" xfId="9" applyFont="1" applyAlignment="1">
      <alignment vertical="center"/>
    </xf>
    <xf numFmtId="3" fontId="59" fillId="0" borderId="46" xfId="11" applyNumberFormat="1" applyFont="1" applyFill="1" applyBorder="1" applyAlignment="1" applyProtection="1">
      <alignment vertical="center"/>
    </xf>
    <xf numFmtId="3" fontId="59" fillId="0" borderId="15" xfId="11" applyNumberFormat="1" applyFont="1" applyFill="1" applyBorder="1" applyAlignment="1" applyProtection="1">
      <alignment vertical="center"/>
    </xf>
    <xf numFmtId="3" fontId="59" fillId="0" borderId="10" xfId="11" applyNumberFormat="1" applyFont="1" applyFill="1" applyBorder="1" applyAlignment="1" applyProtection="1">
      <alignment vertical="center"/>
    </xf>
    <xf numFmtId="3" fontId="59" fillId="0" borderId="12" xfId="11" applyNumberFormat="1" applyFont="1" applyFill="1" applyBorder="1" applyAlignment="1" applyProtection="1">
      <alignment vertical="center"/>
    </xf>
    <xf numFmtId="3" fontId="32" fillId="0" borderId="47" xfId="11" applyNumberFormat="1" applyFont="1" applyFill="1" applyBorder="1" applyAlignment="1" applyProtection="1">
      <alignment vertical="center"/>
    </xf>
    <xf numFmtId="3" fontId="32" fillId="0" borderId="16" xfId="11" applyNumberFormat="1" applyFont="1" applyFill="1" applyBorder="1" applyAlignment="1" applyProtection="1">
      <alignment vertical="center"/>
    </xf>
    <xf numFmtId="3" fontId="32" fillId="0" borderId="17" xfId="11" applyNumberFormat="1" applyFont="1" applyFill="1" applyBorder="1" applyAlignment="1" applyProtection="1">
      <alignment vertical="center"/>
    </xf>
    <xf numFmtId="3" fontId="32" fillId="0" borderId="19" xfId="11" applyNumberFormat="1" applyFont="1" applyFill="1" applyBorder="1" applyAlignment="1" applyProtection="1">
      <alignment vertical="center"/>
    </xf>
    <xf numFmtId="3" fontId="31" fillId="0" borderId="9" xfId="11" applyNumberFormat="1" applyFont="1" applyBorder="1" applyAlignment="1" applyProtection="1">
      <alignment vertical="center"/>
    </xf>
    <xf numFmtId="3" fontId="31" fillId="0" borderId="37" xfId="11" applyNumberFormat="1" applyFont="1" applyBorder="1" applyAlignment="1" applyProtection="1">
      <alignment vertical="center"/>
    </xf>
    <xf numFmtId="3" fontId="31" fillId="0" borderId="28" xfId="11" applyNumberFormat="1" applyFont="1" applyBorder="1" applyAlignment="1" applyProtection="1">
      <alignment vertical="center"/>
    </xf>
    <xf numFmtId="3" fontId="31" fillId="0" borderId="48" xfId="11" applyNumberFormat="1" applyFont="1" applyBorder="1" applyAlignment="1" applyProtection="1">
      <alignment vertical="center"/>
    </xf>
    <xf numFmtId="3" fontId="59" fillId="0" borderId="9" xfId="11" applyNumberFormat="1" applyFont="1" applyFill="1" applyBorder="1" applyAlignment="1" applyProtection="1">
      <alignment vertical="center"/>
    </xf>
    <xf numFmtId="3" fontId="32" fillId="0" borderId="61" xfId="11" applyNumberFormat="1" applyFont="1" applyFill="1" applyBorder="1" applyAlignment="1" applyProtection="1">
      <alignment vertical="center" wrapText="1"/>
      <protection locked="0"/>
    </xf>
    <xf numFmtId="3" fontId="32" fillId="0" borderId="33" xfId="11" applyNumberFormat="1" applyFont="1" applyFill="1" applyBorder="1" applyAlignment="1" applyProtection="1">
      <alignment vertical="center" wrapText="1"/>
      <protection locked="0"/>
    </xf>
    <xf numFmtId="3" fontId="32" fillId="0" borderId="26" xfId="11" applyNumberFormat="1" applyFont="1" applyFill="1" applyBorder="1" applyAlignment="1" applyProtection="1">
      <alignment vertical="center" wrapText="1"/>
      <protection locked="0"/>
    </xf>
    <xf numFmtId="3" fontId="32" fillId="0" borderId="29" xfId="11" applyNumberFormat="1" applyFont="1" applyFill="1" applyBorder="1" applyAlignment="1" applyProtection="1">
      <alignment vertical="center" wrapText="1"/>
      <protection locked="0"/>
    </xf>
    <xf numFmtId="3" fontId="37" fillId="0" borderId="10" xfId="11" applyNumberFormat="1" applyFont="1" applyBorder="1" applyAlignment="1">
      <alignment wrapText="1"/>
    </xf>
    <xf numFmtId="3" fontId="31" fillId="0" borderId="15" xfId="11" applyNumberFormat="1" applyFont="1" applyFill="1" applyBorder="1" applyAlignment="1" applyProtection="1">
      <alignment vertical="center" wrapText="1"/>
      <protection locked="0"/>
    </xf>
    <xf numFmtId="3" fontId="31" fillId="0" borderId="10" xfId="11" applyNumberFormat="1" applyFont="1" applyFill="1" applyBorder="1" applyAlignment="1" applyProtection="1">
      <alignment vertical="center" wrapText="1"/>
      <protection locked="0"/>
    </xf>
    <xf numFmtId="3" fontId="31" fillId="0" borderId="12" xfId="11" applyNumberFormat="1" applyFont="1" applyFill="1" applyBorder="1" applyAlignment="1" applyProtection="1">
      <alignment vertical="center" wrapText="1"/>
      <protection locked="0"/>
    </xf>
    <xf numFmtId="3" fontId="32" fillId="0" borderId="46" xfId="11" applyNumberFormat="1" applyFont="1" applyFill="1" applyBorder="1" applyAlignment="1" applyProtection="1">
      <alignment vertical="center" wrapText="1"/>
      <protection locked="0"/>
    </xf>
    <xf numFmtId="3" fontId="32" fillId="0" borderId="15" xfId="11" applyNumberFormat="1" applyFont="1" applyFill="1" applyBorder="1" applyAlignment="1" applyProtection="1">
      <alignment vertical="center" wrapText="1"/>
      <protection locked="0"/>
    </xf>
    <xf numFmtId="3" fontId="32" fillId="0" borderId="10" xfId="11" applyNumberFormat="1" applyFont="1" applyFill="1" applyBorder="1" applyAlignment="1" applyProtection="1">
      <alignment vertical="center" wrapText="1"/>
      <protection locked="0"/>
    </xf>
    <xf numFmtId="3" fontId="32" fillId="0" borderId="12" xfId="11" applyNumberFormat="1" applyFont="1" applyFill="1" applyBorder="1" applyAlignment="1" applyProtection="1">
      <alignment vertical="center" wrapText="1"/>
      <protection locked="0"/>
    </xf>
    <xf numFmtId="3" fontId="23" fillId="0" borderId="10" xfId="11" applyNumberFormat="1" applyFont="1" applyBorder="1" applyAlignment="1">
      <alignment wrapText="1"/>
    </xf>
    <xf numFmtId="3" fontId="60" fillId="0" borderId="10" xfId="11" applyNumberFormat="1" applyFont="1" applyFill="1" applyBorder="1" applyAlignment="1" applyProtection="1">
      <alignment vertical="center" wrapText="1"/>
      <protection locked="0"/>
    </xf>
    <xf numFmtId="3" fontId="60" fillId="0" borderId="15" xfId="11" applyNumberFormat="1" applyFont="1" applyFill="1" applyBorder="1" applyAlignment="1" applyProtection="1">
      <alignment vertical="center" wrapText="1"/>
      <protection locked="0"/>
    </xf>
    <xf numFmtId="3" fontId="60" fillId="0" borderId="12" xfId="11" applyNumberFormat="1" applyFont="1" applyFill="1" applyBorder="1" applyAlignment="1" applyProtection="1">
      <alignment vertical="center" wrapText="1"/>
      <protection locked="0"/>
    </xf>
    <xf numFmtId="3" fontId="37" fillId="0" borderId="10" xfId="11" applyNumberFormat="1" applyFont="1" applyBorder="1" applyAlignment="1">
      <alignment horizontal="justify"/>
    </xf>
    <xf numFmtId="0" fontId="31" fillId="0" borderId="36" xfId="11" applyFont="1" applyFill="1" applyBorder="1" applyAlignment="1" applyProtection="1">
      <alignment vertical="center" wrapText="1"/>
      <protection locked="0"/>
    </xf>
    <xf numFmtId="3" fontId="39" fillId="0" borderId="9" xfId="11" applyNumberFormat="1" applyFont="1" applyBorder="1" applyAlignment="1" applyProtection="1">
      <alignment vertical="center"/>
    </xf>
    <xf numFmtId="3" fontId="39" fillId="0" borderId="37" xfId="11" applyNumberFormat="1" applyFont="1" applyBorder="1" applyAlignment="1" applyProtection="1">
      <alignment vertical="center"/>
    </xf>
    <xf numFmtId="3" fontId="39" fillId="0" borderId="28" xfId="11" applyNumberFormat="1" applyFont="1" applyBorder="1" applyAlignment="1" applyProtection="1">
      <alignment vertical="center"/>
    </xf>
    <xf numFmtId="3" fontId="39" fillId="0" borderId="48" xfId="11" applyNumberFormat="1" applyFont="1" applyBorder="1" applyAlignment="1" applyProtection="1">
      <alignment vertical="center"/>
    </xf>
    <xf numFmtId="3" fontId="23" fillId="0" borderId="0" xfId="9" applyNumberFormat="1" applyAlignment="1">
      <alignment vertical="center"/>
    </xf>
    <xf numFmtId="0" fontId="6" fillId="0" borderId="0" xfId="0" applyFont="1" applyFill="1" applyBorder="1" applyAlignment="1">
      <alignment horizontal="left" vertical="top"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8"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45" xfId="0" applyFont="1" applyFill="1" applyBorder="1" applyAlignment="1">
      <alignment horizontal="left" vertical="center" wrapText="1"/>
    </xf>
    <xf numFmtId="0" fontId="0" fillId="0" borderId="54" xfId="0" applyBorder="1"/>
    <xf numFmtId="0" fontId="0" fillId="0" borderId="50" xfId="0" applyBorder="1"/>
    <xf numFmtId="0" fontId="5" fillId="0" borderId="27"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41"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51" xfId="0" applyFont="1" applyFill="1" applyBorder="1" applyAlignment="1">
      <alignment horizontal="center" vertical="top" wrapText="1"/>
    </xf>
    <xf numFmtId="0" fontId="5" fillId="0" borderId="18"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21"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11" borderId="15"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11" borderId="33" xfId="0" applyFont="1" applyFill="1" applyBorder="1" applyAlignment="1">
      <alignment horizontal="center" vertical="center" wrapText="1"/>
    </xf>
    <xf numFmtId="3" fontId="5" fillId="0" borderId="18" xfId="0" applyNumberFormat="1" applyFont="1" applyFill="1" applyBorder="1" applyAlignment="1">
      <alignment horizontal="left" vertical="center" wrapText="1"/>
    </xf>
    <xf numFmtId="3" fontId="5" fillId="0" borderId="25" xfId="0" applyNumberFormat="1" applyFont="1" applyFill="1" applyBorder="1" applyAlignment="1">
      <alignment horizontal="left" vertical="center" wrapText="1"/>
    </xf>
    <xf numFmtId="3" fontId="5" fillId="0" borderId="27" xfId="0" applyNumberFormat="1" applyFont="1" applyFill="1" applyBorder="1" applyAlignment="1">
      <alignment horizontal="left" vertical="center" wrapText="1"/>
    </xf>
    <xf numFmtId="0" fontId="5" fillId="0" borderId="35" xfId="0" applyFont="1" applyFill="1" applyBorder="1" applyAlignment="1">
      <alignment horizontal="center" vertical="top" wrapText="1"/>
    </xf>
    <xf numFmtId="0" fontId="5" fillId="11" borderId="10" xfId="0" applyFont="1" applyFill="1" applyBorder="1" applyAlignment="1">
      <alignment horizontal="center" vertical="center" wrapText="1"/>
    </xf>
    <xf numFmtId="4" fontId="5" fillId="11" borderId="10" xfId="0" applyNumberFormat="1" applyFont="1" applyFill="1" applyBorder="1" applyAlignment="1">
      <alignment horizontal="center" vertical="center" wrapText="1"/>
    </xf>
    <xf numFmtId="4" fontId="5" fillId="11" borderId="12" xfId="0" applyNumberFormat="1" applyFont="1" applyFill="1" applyBorder="1" applyAlignment="1">
      <alignment horizontal="center" vertical="center" wrapText="1"/>
    </xf>
    <xf numFmtId="0" fontId="5" fillId="0" borderId="10" xfId="0" applyFont="1" applyFill="1" applyBorder="1" applyAlignment="1">
      <alignment horizontal="center" vertical="top" wrapText="1"/>
    </xf>
    <xf numFmtId="3" fontId="5" fillId="0" borderId="22" xfId="0" applyNumberFormat="1" applyFont="1" applyFill="1" applyBorder="1" applyAlignment="1">
      <alignment horizontal="right" vertical="center" wrapText="1"/>
    </xf>
    <xf numFmtId="3" fontId="5" fillId="0" borderId="48" xfId="0" applyNumberFormat="1" applyFont="1" applyFill="1" applyBorder="1" applyAlignment="1">
      <alignment horizontal="right" vertical="center" wrapText="1"/>
    </xf>
    <xf numFmtId="3" fontId="5" fillId="0" borderId="29" xfId="0" applyNumberFormat="1" applyFont="1" applyFill="1" applyBorder="1" applyAlignment="1">
      <alignment horizontal="right" vertical="center" wrapText="1"/>
    </xf>
    <xf numFmtId="0" fontId="5" fillId="11" borderId="21"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26" xfId="0" applyFont="1" applyFill="1" applyBorder="1" applyAlignment="1">
      <alignment horizontal="center" vertical="center" wrapText="1"/>
    </xf>
    <xf numFmtId="0" fontId="5" fillId="18" borderId="10" xfId="0" applyFont="1" applyFill="1" applyBorder="1" applyAlignment="1">
      <alignment horizontal="center" vertical="center" wrapText="1"/>
    </xf>
    <xf numFmtId="3" fontId="5" fillId="0" borderId="10" xfId="0" applyNumberFormat="1" applyFont="1" applyFill="1" applyBorder="1" applyAlignment="1">
      <alignment horizontal="left" vertical="center" wrapText="1"/>
    </xf>
    <xf numFmtId="3" fontId="5" fillId="0" borderId="12" xfId="0" applyNumberFormat="1" applyFont="1" applyFill="1" applyBorder="1" applyAlignment="1">
      <alignment horizontal="right" vertical="center" wrapText="1"/>
    </xf>
    <xf numFmtId="0" fontId="5" fillId="0" borderId="21" xfId="0" applyFont="1" applyFill="1" applyBorder="1" applyAlignment="1">
      <alignment horizontal="left" vertical="center" wrapText="1"/>
    </xf>
    <xf numFmtId="0" fontId="5" fillId="11" borderId="34" xfId="0" applyFont="1" applyFill="1" applyBorder="1" applyAlignment="1">
      <alignment horizontal="center" vertical="center" wrapText="1"/>
    </xf>
    <xf numFmtId="0" fontId="5" fillId="11" borderId="35" xfId="0" applyFont="1" applyFill="1" applyBorder="1" applyAlignment="1">
      <alignment horizontal="center" vertical="center" wrapText="1"/>
    </xf>
    <xf numFmtId="0" fontId="5" fillId="23" borderId="45" xfId="0" applyFont="1" applyFill="1" applyBorder="1" applyAlignment="1">
      <alignment horizontal="left" vertical="justify" wrapText="1"/>
    </xf>
    <xf numFmtId="0" fontId="5" fillId="23" borderId="54" xfId="0" applyFont="1" applyFill="1" applyBorder="1" applyAlignment="1">
      <alignment horizontal="left" vertical="justify" wrapText="1"/>
    </xf>
    <xf numFmtId="0" fontId="5" fillId="23" borderId="49" xfId="0" applyFont="1" applyFill="1" applyBorder="1" applyAlignment="1">
      <alignment horizontal="left" vertical="justify" wrapText="1"/>
    </xf>
    <xf numFmtId="0" fontId="5" fillId="23" borderId="46" xfId="0" applyFont="1" applyFill="1" applyBorder="1" applyAlignment="1">
      <alignment horizontal="left" vertical="justify" wrapText="1"/>
    </xf>
    <xf numFmtId="0" fontId="5" fillId="23" borderId="25" xfId="0" applyFont="1" applyFill="1" applyBorder="1" applyAlignment="1">
      <alignment horizontal="left" vertical="justify" wrapText="1"/>
    </xf>
    <xf numFmtId="0" fontId="5" fillId="23" borderId="27" xfId="0" applyFont="1" applyFill="1" applyBorder="1" applyAlignment="1">
      <alignment horizontal="left" vertical="justify" wrapText="1"/>
    </xf>
    <xf numFmtId="0" fontId="5" fillId="0" borderId="10" xfId="0" applyFont="1" applyFill="1" applyBorder="1" applyAlignment="1">
      <alignment horizontal="left" vertical="center" wrapText="1"/>
    </xf>
    <xf numFmtId="0" fontId="6" fillId="0" borderId="12" xfId="0" applyFont="1" applyBorder="1"/>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5" fillId="11" borderId="17" xfId="0" applyFont="1" applyFill="1" applyBorder="1" applyAlignment="1">
      <alignment horizontal="center" vertical="center" wrapText="1"/>
    </xf>
    <xf numFmtId="4" fontId="5" fillId="11" borderId="7" xfId="0" applyNumberFormat="1" applyFont="1" applyFill="1" applyBorder="1" applyAlignment="1">
      <alignment horizontal="center" vertical="center" wrapText="1"/>
    </xf>
    <xf numFmtId="4" fontId="5" fillId="11" borderId="14" xfId="0" applyNumberFormat="1"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10" xfId="0" applyFont="1" applyFill="1" applyBorder="1"/>
    <xf numFmtId="0" fontId="6" fillId="0" borderId="21" xfId="0" applyFont="1" applyFill="1" applyBorder="1"/>
    <xf numFmtId="3" fontId="5" fillId="0" borderId="26" xfId="0" applyNumberFormat="1" applyFont="1" applyFill="1" applyBorder="1" applyAlignment="1">
      <alignment horizontal="left" vertical="center" wrapText="1"/>
    </xf>
    <xf numFmtId="3" fontId="5" fillId="0" borderId="12" xfId="0" applyNumberFormat="1" applyFont="1" applyFill="1" applyBorder="1" applyAlignment="1">
      <alignment horizontal="center" vertical="center" wrapText="1"/>
    </xf>
    <xf numFmtId="3" fontId="5" fillId="0" borderId="14" xfId="0" applyNumberFormat="1" applyFont="1" applyFill="1" applyBorder="1" applyAlignment="1">
      <alignment horizontal="right" vertical="center" wrapText="1"/>
    </xf>
    <xf numFmtId="3" fontId="5" fillId="0" borderId="19" xfId="0" applyNumberFormat="1" applyFont="1" applyFill="1" applyBorder="1" applyAlignment="1">
      <alignment horizontal="right" vertical="center" wrapText="1"/>
    </xf>
    <xf numFmtId="0" fontId="5" fillId="23" borderId="47" xfId="0" applyFont="1" applyFill="1" applyBorder="1" applyAlignment="1">
      <alignment horizontal="left" vertical="center" wrapText="1"/>
    </xf>
    <xf numFmtId="0" fontId="5" fillId="23" borderId="58" xfId="0" applyFont="1" applyFill="1" applyBorder="1" applyAlignment="1">
      <alignment horizontal="left" vertical="center" wrapText="1"/>
    </xf>
    <xf numFmtId="0" fontId="5" fillId="23" borderId="59" xfId="0" applyFont="1" applyFill="1" applyBorder="1" applyAlignment="1">
      <alignment horizontal="left" vertical="center" wrapText="1"/>
    </xf>
    <xf numFmtId="3" fontId="5" fillId="0" borderId="41" xfId="0" applyNumberFormat="1" applyFont="1" applyFill="1" applyBorder="1" applyAlignment="1">
      <alignment horizontal="right" vertical="center" wrapText="1"/>
    </xf>
    <xf numFmtId="3" fontId="5" fillId="0" borderId="21" xfId="0" applyNumberFormat="1" applyFont="1" applyFill="1" applyBorder="1" applyAlignment="1">
      <alignment horizontal="right" vertical="center" wrapText="1"/>
    </xf>
    <xf numFmtId="0" fontId="5" fillId="0" borderId="28"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22" fillId="0" borderId="0" xfId="9" applyFont="1" applyBorder="1" applyAlignment="1" applyProtection="1">
      <alignment horizontal="center"/>
    </xf>
    <xf numFmtId="0" fontId="22" fillId="0" borderId="31" xfId="9" applyFont="1" applyBorder="1" applyAlignment="1" applyProtection="1">
      <alignment horizontal="center"/>
    </xf>
    <xf numFmtId="0" fontId="22" fillId="25" borderId="0" xfId="9" applyFont="1" applyFill="1" applyBorder="1" applyAlignment="1">
      <alignment horizontal="center" vertical="center"/>
    </xf>
    <xf numFmtId="0" fontId="22" fillId="0" borderId="8" xfId="9" applyFont="1" applyBorder="1" applyAlignment="1" applyProtection="1">
      <alignment horizontal="center" vertical="center"/>
    </xf>
    <xf numFmtId="0" fontId="22" fillId="0" borderId="55" xfId="9" applyFont="1" applyBorder="1" applyAlignment="1" applyProtection="1">
      <alignment horizontal="center" vertical="center"/>
    </xf>
    <xf numFmtId="0" fontId="22" fillId="0" borderId="56" xfId="9" applyFont="1" applyBorder="1" applyAlignment="1" applyProtection="1">
      <alignment horizontal="center" vertical="center"/>
    </xf>
    <xf numFmtId="0" fontId="22" fillId="0" borderId="9" xfId="9" applyFont="1" applyBorder="1" applyAlignment="1" applyProtection="1">
      <alignment horizontal="center" vertical="center"/>
    </xf>
    <xf numFmtId="0" fontId="22" fillId="0" borderId="0" xfId="9" applyFont="1" applyBorder="1" applyAlignment="1" applyProtection="1">
      <alignment horizontal="center" vertical="center"/>
    </xf>
    <xf numFmtId="0" fontId="22" fillId="0" borderId="13" xfId="9" applyFont="1" applyBorder="1" applyAlignment="1" applyProtection="1">
      <alignment horizontal="center" vertical="center"/>
    </xf>
    <xf numFmtId="0" fontId="2" fillId="0" borderId="0" xfId="11" applyBorder="1" applyAlignment="1" applyProtection="1">
      <alignment horizontal="center" vertical="center"/>
    </xf>
    <xf numFmtId="0" fontId="2" fillId="0" borderId="31" xfId="11" applyBorder="1" applyAlignment="1" applyProtection="1">
      <alignment horizontal="center" vertical="center"/>
    </xf>
    <xf numFmtId="0" fontId="2" fillId="0" borderId="32" xfId="11" applyBorder="1" applyAlignment="1" applyProtection="1">
      <alignment horizontal="center" vertical="center"/>
    </xf>
    <xf numFmtId="0" fontId="15" fillId="0" borderId="9" xfId="11" applyFont="1" applyBorder="1" applyAlignment="1" applyProtection="1">
      <alignment horizontal="center" vertical="center" wrapText="1"/>
    </xf>
    <xf numFmtId="0" fontId="15" fillId="0" borderId="6" xfId="11" applyFont="1" applyBorder="1" applyAlignment="1" applyProtection="1">
      <alignment horizontal="center" vertical="center" wrapText="1"/>
    </xf>
    <xf numFmtId="0" fontId="15" fillId="0" borderId="7" xfId="11" applyFont="1" applyBorder="1" applyAlignment="1" applyProtection="1">
      <alignment horizontal="center" vertical="center" wrapText="1"/>
    </xf>
    <xf numFmtId="0" fontId="15" fillId="0" borderId="14" xfId="11" applyFont="1" applyBorder="1" applyAlignment="1" applyProtection="1">
      <alignment horizontal="center" vertical="center"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166" fontId="26" fillId="11" borderId="15" xfId="3" applyNumberFormat="1" applyFont="1" applyFill="1" applyBorder="1" applyAlignment="1">
      <alignment horizontal="left" vertical="center" wrapText="1"/>
    </xf>
    <xf numFmtId="166" fontId="26" fillId="11" borderId="10" xfId="3" applyNumberFormat="1" applyFont="1" applyFill="1" applyBorder="1" applyAlignment="1">
      <alignment horizontal="left" vertical="center" wrapText="1"/>
    </xf>
    <xf numFmtId="166" fontId="26" fillId="11" borderId="12" xfId="3" applyNumberFormat="1" applyFont="1" applyFill="1" applyBorder="1" applyAlignment="1">
      <alignment horizontal="left" vertical="center" wrapText="1"/>
    </xf>
    <xf numFmtId="0" fontId="26" fillId="11" borderId="15" xfId="0" applyFont="1" applyFill="1" applyBorder="1" applyAlignment="1">
      <alignment horizontal="left" vertical="center" wrapText="1"/>
    </xf>
    <xf numFmtId="0" fontId="26" fillId="11" borderId="10" xfId="0" applyFont="1" applyFill="1" applyBorder="1" applyAlignment="1">
      <alignment horizontal="left" vertical="center" wrapText="1"/>
    </xf>
    <xf numFmtId="0" fontId="26" fillId="11" borderId="12" xfId="0" applyFont="1" applyFill="1" applyBorder="1" applyAlignment="1">
      <alignment horizontal="left" vertical="center" wrapText="1"/>
    </xf>
    <xf numFmtId="0" fontId="22" fillId="0" borderId="0" xfId="0" applyFont="1" applyBorder="1" applyAlignment="1" applyProtection="1">
      <alignment horizontal="center"/>
    </xf>
    <xf numFmtId="0" fontId="22" fillId="0" borderId="0" xfId="0" applyFont="1" applyBorder="1" applyAlignment="1" applyProtection="1">
      <alignment horizontal="left"/>
    </xf>
    <xf numFmtId="0" fontId="15" fillId="0" borderId="6"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14" xfId="0" applyFont="1" applyBorder="1" applyAlignment="1" applyProtection="1">
      <alignment horizontal="center" vertical="center"/>
    </xf>
    <xf numFmtId="0" fontId="11" fillId="2" borderId="8" xfId="0" applyFont="1" applyFill="1" applyBorder="1" applyAlignment="1">
      <alignment horizontal="center" wrapText="1"/>
    </xf>
    <xf numFmtId="0" fontId="11" fillId="2" borderId="60" xfId="0" applyFont="1" applyFill="1" applyBorder="1" applyAlignment="1">
      <alignment horizontal="center" wrapText="1"/>
    </xf>
    <xf numFmtId="0" fontId="11" fillId="2" borderId="30" xfId="0" applyFont="1" applyFill="1" applyBorder="1" applyAlignment="1">
      <alignment horizontal="center" wrapText="1"/>
    </xf>
    <xf numFmtId="0" fontId="11" fillId="2" borderId="2" xfId="0" applyFont="1" applyFill="1" applyBorder="1" applyAlignment="1">
      <alignment horizontal="center" wrapText="1"/>
    </xf>
    <xf numFmtId="0" fontId="11" fillId="0" borderId="31" xfId="0" applyFont="1" applyBorder="1" applyAlignment="1">
      <alignment horizontal="center"/>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3" fontId="0" fillId="0" borderId="21"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57" fillId="0" borderId="10" xfId="0" applyFont="1" applyBorder="1" applyAlignment="1">
      <alignment horizontal="center" vertical="center"/>
    </xf>
    <xf numFmtId="0" fontId="0" fillId="12" borderId="10" xfId="0" applyFill="1"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8" fillId="25" borderId="44" xfId="13" applyFont="1" applyFill="1" applyBorder="1" applyAlignment="1">
      <alignment horizontal="center" vertical="center" wrapText="1"/>
    </xf>
    <xf numFmtId="0" fontId="8" fillId="25" borderId="52" xfId="13" applyFont="1" applyFill="1" applyBorder="1" applyAlignment="1">
      <alignment horizontal="center" vertical="center" wrapText="1"/>
    </xf>
    <xf numFmtId="0" fontId="8" fillId="25" borderId="53" xfId="13" applyFont="1" applyFill="1" applyBorder="1" applyAlignment="1">
      <alignment horizontal="center" vertical="center" wrapText="1"/>
    </xf>
    <xf numFmtId="0" fontId="1" fillId="0" borderId="0" xfId="13"/>
    <xf numFmtId="0" fontId="8" fillId="0" borderId="0" xfId="13" applyFont="1" applyFill="1" applyAlignment="1">
      <alignment vertical="center" wrapText="1"/>
    </xf>
    <xf numFmtId="0" fontId="61" fillId="26" borderId="44" xfId="14" applyFont="1" applyFill="1" applyBorder="1" applyAlignment="1">
      <alignment horizontal="center" vertical="center" wrapText="1"/>
    </xf>
    <xf numFmtId="0" fontId="61" fillId="26" borderId="52" xfId="14" applyFont="1" applyFill="1" applyBorder="1" applyAlignment="1">
      <alignment horizontal="center" vertical="center" wrapText="1"/>
    </xf>
    <xf numFmtId="0" fontId="61" fillId="26" borderId="53" xfId="14" applyFont="1" applyFill="1" applyBorder="1" applyAlignment="1">
      <alignment horizontal="center" vertical="center" wrapText="1"/>
    </xf>
    <xf numFmtId="0" fontId="8" fillId="0" borderId="0" xfId="13" applyFont="1" applyBorder="1" applyAlignment="1">
      <alignment vertical="center"/>
    </xf>
    <xf numFmtId="0" fontId="61" fillId="26" borderId="44" xfId="13" applyFont="1" applyFill="1" applyBorder="1" applyAlignment="1">
      <alignment horizontal="left" vertical="center" wrapText="1"/>
    </xf>
    <xf numFmtId="0" fontId="61" fillId="26" borderId="52" xfId="13" applyFont="1" applyFill="1" applyBorder="1" applyAlignment="1">
      <alignment horizontal="left" vertical="center" wrapText="1"/>
    </xf>
    <xf numFmtId="0" fontId="61" fillId="26" borderId="53" xfId="13" applyFont="1" applyFill="1" applyBorder="1" applyAlignment="1">
      <alignment horizontal="left" vertical="center" wrapText="1"/>
    </xf>
    <xf numFmtId="0" fontId="61" fillId="26" borderId="44" xfId="14" applyFont="1" applyFill="1" applyBorder="1" applyAlignment="1">
      <alignment horizontal="left" vertical="center" wrapText="1"/>
    </xf>
    <xf numFmtId="0" fontId="61" fillId="26" borderId="52" xfId="14" applyFont="1" applyFill="1" applyBorder="1" applyAlignment="1">
      <alignment horizontal="left" vertical="center" wrapText="1"/>
    </xf>
    <xf numFmtId="0" fontId="61" fillId="26" borderId="52" xfId="14" applyFont="1" applyFill="1" applyBorder="1" applyAlignment="1">
      <alignment vertical="center" wrapText="1"/>
    </xf>
    <xf numFmtId="0" fontId="61" fillId="26" borderId="52" xfId="13" applyFont="1" applyFill="1" applyBorder="1" applyAlignment="1">
      <alignment vertical="center" wrapText="1"/>
    </xf>
    <xf numFmtId="0" fontId="61" fillId="26" borderId="53" xfId="13" applyFont="1" applyFill="1" applyBorder="1" applyAlignment="1">
      <alignment vertical="center" wrapText="1"/>
    </xf>
    <xf numFmtId="0" fontId="1" fillId="0" borderId="10" xfId="13" applyBorder="1" applyAlignment="1" applyProtection="1">
      <alignment vertical="center"/>
    </xf>
    <xf numFmtId="0" fontId="1" fillId="0" borderId="10" xfId="13" applyBorder="1" applyAlignment="1" applyProtection="1">
      <alignment horizontal="center" vertical="center"/>
    </xf>
    <xf numFmtId="0" fontId="1" fillId="0" borderId="10" xfId="13" applyBorder="1" applyAlignment="1" applyProtection="1">
      <alignment vertical="center"/>
      <protection locked="0"/>
    </xf>
    <xf numFmtId="0" fontId="62" fillId="0" borderId="10" xfId="13" applyFont="1" applyBorder="1" applyAlignment="1" applyProtection="1">
      <alignment horizontal="center" vertical="center"/>
    </xf>
    <xf numFmtId="0" fontId="62" fillId="0" borderId="10" xfId="13" applyFont="1" applyBorder="1" applyAlignment="1" applyProtection="1">
      <alignment horizontal="center" vertical="center" wrapText="1"/>
    </xf>
    <xf numFmtId="0" fontId="62" fillId="0" borderId="18" xfId="13" applyFont="1" applyBorder="1" applyAlignment="1" applyProtection="1">
      <alignment horizontal="center" vertical="center"/>
    </xf>
    <xf numFmtId="0" fontId="62" fillId="0" borderId="25" xfId="13" applyFont="1" applyBorder="1" applyAlignment="1" applyProtection="1">
      <alignment horizontal="center" vertical="center"/>
    </xf>
    <xf numFmtId="0" fontId="62" fillId="0" borderId="27" xfId="13" applyFont="1" applyBorder="1" applyAlignment="1" applyProtection="1">
      <alignment horizontal="center" vertical="center"/>
      <protection locked="0"/>
    </xf>
    <xf numFmtId="0" fontId="63" fillId="0" borderId="10" xfId="13" applyFont="1" applyBorder="1" applyAlignment="1" applyProtection="1">
      <alignment horizontal="left" vertical="top"/>
    </xf>
    <xf numFmtId="0" fontId="65" fillId="0" borderId="10" xfId="15" applyFont="1" applyBorder="1" applyAlignment="1" applyProtection="1">
      <alignment horizontal="left" vertical="top" wrapText="1"/>
    </xf>
    <xf numFmtId="9" fontId="0" fillId="23" borderId="0" xfId="16" applyFont="1" applyFill="1" applyAlignment="1" applyProtection="1">
      <alignment horizontal="center" vertical="top"/>
      <protection hidden="1"/>
    </xf>
    <xf numFmtId="9" fontId="1" fillId="0" borderId="10" xfId="13" applyNumberFormat="1" applyBorder="1" applyAlignment="1" applyProtection="1">
      <alignment horizontal="center" vertical="top"/>
      <protection locked="0"/>
    </xf>
    <xf numFmtId="0" fontId="1" fillId="0" borderId="10" xfId="13" applyBorder="1" applyAlignment="1" applyProtection="1">
      <alignment horizontal="center" vertical="top"/>
      <protection locked="0"/>
    </xf>
    <xf numFmtId="0" fontId="0" fillId="23" borderId="10" xfId="16" applyNumberFormat="1" applyFont="1" applyFill="1" applyBorder="1" applyAlignment="1" applyProtection="1">
      <alignment horizontal="left" vertical="top"/>
    </xf>
    <xf numFmtId="0" fontId="62" fillId="23" borderId="10" xfId="16" applyNumberFormat="1" applyFont="1" applyFill="1" applyBorder="1" applyAlignment="1" applyProtection="1">
      <alignment horizontal="left" vertical="top" wrapText="1"/>
      <protection hidden="1"/>
    </xf>
    <xf numFmtId="0" fontId="62" fillId="23" borderId="18" xfId="16" applyNumberFormat="1" applyFont="1" applyFill="1" applyBorder="1" applyAlignment="1" applyProtection="1">
      <alignment horizontal="left" vertical="top" wrapText="1"/>
      <protection hidden="1"/>
    </xf>
    <xf numFmtId="0" fontId="62" fillId="23" borderId="25" xfId="16" applyNumberFormat="1" applyFont="1" applyFill="1" applyBorder="1" applyAlignment="1" applyProtection="1">
      <alignment horizontal="left" vertical="top"/>
    </xf>
    <xf numFmtId="0" fontId="62" fillId="23" borderId="27" xfId="16" applyNumberFormat="1" applyFont="1" applyFill="1" applyBorder="1" applyAlignment="1" applyProtection="1">
      <alignment horizontal="left" vertical="top"/>
      <protection locked="0"/>
    </xf>
    <xf numFmtId="9" fontId="0" fillId="23" borderId="10" xfId="16" applyFont="1" applyFill="1" applyBorder="1" applyAlignment="1" applyProtection="1">
      <alignment horizontal="center" vertical="top"/>
      <protection hidden="1"/>
    </xf>
  </cellXfs>
  <cellStyles count="17">
    <cellStyle name="Euro" xfId="1"/>
    <cellStyle name="Hipervínculo" xfId="15" builtinId="8"/>
    <cellStyle name="Millares" xfId="2" builtinId="3"/>
    <cellStyle name="Millares 2" xfId="3"/>
    <cellStyle name="Millares 3" xfId="4"/>
    <cellStyle name="Millares 4" xfId="5"/>
    <cellStyle name="Millares 5" xfId="6"/>
    <cellStyle name="Millares 6" xfId="12"/>
    <cellStyle name="Moneda 2" xfId="7"/>
    <cellStyle name="Normal" xfId="0" builtinId="0"/>
    <cellStyle name="Normal 2" xfId="8"/>
    <cellStyle name="Normal 2 2" xfId="9"/>
    <cellStyle name="Normal 2 3" xfId="14"/>
    <cellStyle name="Normal 3" xfId="11"/>
    <cellStyle name="Normal 4" xfId="13"/>
    <cellStyle name="Porcentaje" xfId="10" builtinId="5"/>
    <cellStyle name="Porcentaje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w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30647"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xdr:cNvGrpSpPr>
          <a:grpSpLocks/>
        </xdr:cNvGrpSpPr>
      </xdr:nvGrpSpPr>
      <xdr:grpSpPr bwMode="auto">
        <a:xfrm>
          <a:off x="0" y="0"/>
          <a:ext cx="6697266" cy="1656953"/>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1</xdr:col>
      <xdr:colOff>647700</xdr:colOff>
      <xdr:row>0</xdr:row>
      <xdr:rowOff>381000</xdr:rowOff>
    </xdr:from>
    <xdr:to>
      <xdr:col>3</xdr:col>
      <xdr:colOff>885825</xdr:colOff>
      <xdr:row>0</xdr:row>
      <xdr:rowOff>1152525</xdr:rowOff>
    </xdr:to>
    <xdr:sp macro="" textlink="">
      <xdr:nvSpPr>
        <xdr:cNvPr id="3" name="5 CuadroTexto"/>
        <xdr:cNvSpPr txBox="1"/>
      </xdr:nvSpPr>
      <xdr:spPr bwMode="auto">
        <a:xfrm>
          <a:off x="1257300" y="381000"/>
          <a:ext cx="48768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1371600</xdr:colOff>
      <xdr:row>0</xdr:row>
      <xdr:rowOff>381000</xdr:rowOff>
    </xdr:from>
    <xdr:to>
      <xdr:col>5</xdr:col>
      <xdr:colOff>323850</xdr:colOff>
      <xdr:row>0</xdr:row>
      <xdr:rowOff>1152525</xdr:rowOff>
    </xdr:to>
    <xdr:sp macro="" textlink="">
      <xdr:nvSpPr>
        <xdr:cNvPr id="3" name="5 CuadroTexto"/>
        <xdr:cNvSpPr txBox="1"/>
      </xdr:nvSpPr>
      <xdr:spPr bwMode="auto">
        <a:xfrm>
          <a:off x="1371600" y="381000"/>
          <a:ext cx="57531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379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1</xdr:col>
      <xdr:colOff>552450</xdr:colOff>
      <xdr:row>3</xdr:row>
      <xdr:rowOff>114300</xdr:rowOff>
    </xdr:to>
    <xdr:pic>
      <xdr:nvPicPr>
        <xdr:cNvPr id="31646"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38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2670"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Vitelio%202016/Formatos%20Informe%20Gesti&#243;n%20SINA%20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GASTOSAJUNIO3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matos%20Ministerio%202016/Formatos%20Anexos%20Seguimiento%20Informe%20Gesti&#243;n%202016%20CA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cell r="H5" t="str">
            <v>Corporación Autónoma Regional del Alto Magdalena - CAM</v>
          </cell>
        </row>
        <row r="6">
          <cell r="C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2016-I</v>
          </cell>
        </row>
        <row r="39">
          <cell r="H39" t="str">
            <v>2016-II</v>
          </cell>
        </row>
        <row r="40">
          <cell r="H40" t="str">
            <v>2017-I</v>
          </cell>
        </row>
        <row r="41">
          <cell r="H41" t="str">
            <v>2017-II</v>
          </cell>
        </row>
        <row r="42">
          <cell r="H42" t="str">
            <v>2018-I</v>
          </cell>
        </row>
        <row r="43">
          <cell r="H43" t="str">
            <v>2018-II</v>
          </cell>
        </row>
        <row r="44">
          <cell r="H44" t="str">
            <v>2019-I</v>
          </cell>
        </row>
        <row r="45">
          <cell r="H45" t="str">
            <v>2019-II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cell r="G14">
            <v>212882801</v>
          </cell>
        </row>
        <row r="15">
          <cell r="F15">
            <v>919346208</v>
          </cell>
          <cell r="G15">
            <v>248908320</v>
          </cell>
        </row>
        <row r="16">
          <cell r="F16">
            <v>321630192</v>
          </cell>
          <cell r="G16">
            <v>79974650</v>
          </cell>
        </row>
        <row r="17">
          <cell r="F17">
            <v>46305000</v>
          </cell>
          <cell r="G17">
            <v>1678499994</v>
          </cell>
        </row>
        <row r="19">
          <cell r="F19">
            <v>3461573029</v>
          </cell>
          <cell r="G19">
            <v>852889658</v>
          </cell>
        </row>
        <row r="20">
          <cell r="F20">
            <v>62002395</v>
          </cell>
          <cell r="G20">
            <v>32285881</v>
          </cell>
        </row>
        <row r="21">
          <cell r="F21">
            <v>4621547110</v>
          </cell>
          <cell r="G21">
            <v>2592619650</v>
          </cell>
        </row>
        <row r="27">
          <cell r="G27">
            <v>10252508269.200001</v>
          </cell>
        </row>
        <row r="28">
          <cell r="F28">
            <v>333711102</v>
          </cell>
          <cell r="G28">
            <v>194092408.19999999</v>
          </cell>
        </row>
        <row r="29">
          <cell r="F29">
            <v>6488128161</v>
          </cell>
          <cell r="G29">
            <v>6488128161</v>
          </cell>
        </row>
        <row r="30">
          <cell r="F30">
            <v>2656143157</v>
          </cell>
          <cell r="G30">
            <v>3570287700</v>
          </cell>
        </row>
        <row r="36">
          <cell r="G36">
            <v>682759171</v>
          </cell>
        </row>
        <row r="37">
          <cell r="F37">
            <v>31033711871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
      <sheetName val="INVERSION"/>
    </sheetNames>
    <sheetDataSet>
      <sheetData sheetId="0" refreshError="1">
        <row r="49">
          <cell r="I49">
            <v>1740302000</v>
          </cell>
        </row>
      </sheetData>
      <sheetData sheetId="1" refreshError="1">
        <row r="39">
          <cell r="H39">
            <v>1540000000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SINA Inf Gestión"/>
      <sheetName val="Anexo 2 Matriz Inf. Ejecución"/>
      <sheetName val="Anexo 3"/>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Anexo 4. Resumen Fisico y finan"/>
      <sheetName val="Anexo 5-1 Ingresos"/>
      <sheetName val="Anexo 5-2 Gastos (2)"/>
      <sheetName val="Observa"/>
      <sheetName val="Formulas"/>
    </sheetNames>
    <sheetDataSet>
      <sheetData sheetId="0">
        <row r="5">
          <cell r="C5" t="str">
            <v>Corporación Autónoma Regional del Alto Magdalena - CAM</v>
          </cell>
          <cell r="H5" t="str">
            <v>Corporación Autónoma Regional del Alto Magdalena - CAM</v>
          </cell>
        </row>
        <row r="6">
          <cell r="C6" t="str">
            <v>2016-II</v>
          </cell>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2016-I</v>
          </cell>
        </row>
        <row r="39">
          <cell r="H39" t="str">
            <v>2016-II</v>
          </cell>
        </row>
        <row r="40">
          <cell r="H40" t="str">
            <v>2017-I</v>
          </cell>
        </row>
        <row r="41">
          <cell r="H41" t="str">
            <v>2017-II</v>
          </cell>
        </row>
        <row r="42">
          <cell r="H42" t="str">
            <v>2018-I</v>
          </cell>
        </row>
        <row r="43">
          <cell r="H43" t="str">
            <v>2018-II</v>
          </cell>
        </row>
        <row r="44">
          <cell r="H44" t="str">
            <v>2019-I</v>
          </cell>
        </row>
        <row r="45">
          <cell r="H45" t="str">
            <v>2019-II</v>
          </cell>
        </row>
      </sheetData>
      <sheetData sheetId="1" refreshError="1"/>
      <sheetData sheetId="2" refreshError="1"/>
      <sheetData sheetId="3" refreshError="1"/>
      <sheetData sheetId="4">
        <row r="8">
          <cell r="D8">
            <v>1</v>
          </cell>
        </row>
        <row r="12">
          <cell r="E12" t="str">
            <v>Programa 1: Agua para todos. Proyecto 1.1: Ordenamiento y administración del recurso hídrico y las cuencas hidrográficas.</v>
          </cell>
        </row>
      </sheetData>
      <sheetData sheetId="5">
        <row r="8">
          <cell r="D8">
            <v>1</v>
          </cell>
        </row>
        <row r="12">
          <cell r="E12" t="str">
            <v>Programa 1: Agua para todos. Proyecto 1.1: Ordenamiento y administración del recurso hídrico y las cuencas hidrográficas.</v>
          </cell>
        </row>
      </sheetData>
      <sheetData sheetId="6">
        <row r="8">
          <cell r="D8">
            <v>1</v>
          </cell>
        </row>
        <row r="12">
          <cell r="E12" t="str">
            <v>Programa 4: Cuida tu Naturaleza. Proyecto 4.1: Control y vigilancia ambiental</v>
          </cell>
        </row>
      </sheetData>
      <sheetData sheetId="7">
        <row r="8">
          <cell r="D8">
            <v>1</v>
          </cell>
        </row>
        <row r="12">
          <cell r="E12" t="str">
            <v>Programa 1: Agua para todos. Proyecto 1.1: Ordenamiento y administración del recurso hídrico y las cuencas hidrográficas.</v>
          </cell>
        </row>
      </sheetData>
      <sheetData sheetId="8">
        <row r="8">
          <cell r="D8">
            <v>1</v>
          </cell>
        </row>
        <row r="12">
          <cell r="E12" t="str">
            <v>Programa 4: Cuida tu Naturaleza. Proyecto 4.1: Control y vigilancia ambiental</v>
          </cell>
        </row>
      </sheetData>
      <sheetData sheetId="9">
        <row r="8">
          <cell r="D8">
            <v>1</v>
          </cell>
        </row>
        <row r="12">
          <cell r="E12" t="str">
            <v>Programa 1: Agua para todos. Proyecto 1.2: Recuperación de cuencas hidrográficas</v>
          </cell>
        </row>
      </sheetData>
      <sheetData sheetId="10">
        <row r="8">
          <cell r="D8">
            <v>1</v>
          </cell>
        </row>
        <row r="12">
          <cell r="E12" t="str">
            <v>Programa 5: Huila Territorio Ordenado, Proyecto 5.1: Planificación Ambiental Territorial</v>
          </cell>
        </row>
      </sheetData>
      <sheetData sheetId="11">
        <row r="8">
          <cell r="D8" t="str">
            <v>SIN INFORMACION</v>
          </cell>
        </row>
        <row r="12">
          <cell r="E12" t="str">
            <v>Programa 1: Agua para todos. Proyecto 1.2: Recuperación de cuencas hidrográficas</v>
          </cell>
        </row>
        <row r="13">
          <cell r="E13" t="str">
            <v>Meta ajustada mediante Acuerdo de Consejo Directivo No. 014 de diciembre de 2016</v>
          </cell>
        </row>
      </sheetData>
      <sheetData sheetId="12">
        <row r="9">
          <cell r="D9">
            <v>1</v>
          </cell>
        </row>
        <row r="13">
          <cell r="E13" t="str">
            <v>Programa 2: Biodiversidad, fuente de vida, Proyecto 2.1 Conocimiento y planificación de ecosistemas estratégicos</v>
          </cell>
        </row>
      </sheetData>
      <sheetData sheetId="13">
        <row r="8">
          <cell r="D8" t="str">
            <v>SIN INFORMACION</v>
          </cell>
        </row>
        <row r="12">
          <cell r="E12" t="str">
            <v>Programa 2: Biodiversidad, fuente de vida, Proyecto 2.1 Conocimiento y planificación de ecosistemas estratégicos</v>
          </cell>
        </row>
        <row r="13">
          <cell r="E13" t="str">
            <v>El reporte del indicador está previsto para el 2017 a 2019, sin embargo está sujeto a la expedicion previamente de  los lineamientos  que expida el MADS para la  zonificacion y regimen de usos.</v>
          </cell>
        </row>
      </sheetData>
      <sheetData sheetId="14">
        <row r="8">
          <cell r="D8">
            <v>1</v>
          </cell>
        </row>
        <row r="12">
          <cell r="E12" t="str">
            <v>Programa 5: Huila Territorio Ordenado, Proyecto 5.1: Planificación Ambiental Territorial</v>
          </cell>
        </row>
        <row r="13">
          <cell r="E13" t="str">
            <v xml:space="preserve">La CAM inició la formulacion del Plan General de Ordenacion Forestal,  para lo cual se estableció en el PAI una meta del 70%  de acuerdo a las etapas qeu comprende su  formulación.  Se espera la adopción para la vigencia 2017 para completar el 100%. </v>
          </cell>
        </row>
      </sheetData>
      <sheetData sheetId="15">
        <row r="8">
          <cell r="D8">
            <v>1</v>
          </cell>
        </row>
        <row r="12">
          <cell r="E12" t="str">
            <v>Programa 2: Biodiversidad, fuente de vida, Proyecto 2.2 Conservación y recuperación de ecosistemas estratégicos y su biodiversidad</v>
          </cell>
        </row>
        <row r="13">
          <cell r="E13" t="str">
            <v>Para el caso de este Indicador, se realizó ajuste en el Plan de Acción frente a las áreas protegidas inscritas con Planes de Manejo en ejecución y las areas registradas con planes de manejo en ejecución. Es decir que las acciones realizadas se refieren a la totalidad de las areas protegidas con planes de manejo.</v>
          </cell>
        </row>
      </sheetData>
      <sheetData sheetId="16">
        <row r="8">
          <cell r="D8">
            <v>1</v>
          </cell>
        </row>
        <row r="12">
          <cell r="E12" t="str">
            <v>Programa 2: Biodiversidad, fuente de vida, Proyecto 2.2 Conservación y recuperación de ecosistemas estratégicos y su biodiversidad</v>
          </cell>
        </row>
      </sheetData>
      <sheetData sheetId="17">
        <row r="8">
          <cell r="D8" t="str">
            <v>N.A.</v>
          </cell>
        </row>
        <row r="12">
          <cell r="E12" t="str">
            <v>Programa 2: Biodiversidad, fuente de vida, Proyecto 2.1 Conocimiento y planificación de ecosistemas estratégicos</v>
          </cell>
        </row>
      </sheetData>
      <sheetData sheetId="18">
        <row r="8">
          <cell r="D8">
            <v>1</v>
          </cell>
        </row>
        <row r="12">
          <cell r="E12" t="str">
            <v>Programa 2: Biodiversidad, fuente de vida, Proyecto 2.2 Conservación y recuperación de ecosistemas estratégicos y su biodiversidad</v>
          </cell>
        </row>
      </sheetData>
      <sheetData sheetId="19">
        <row r="8">
          <cell r="D8" t="str">
            <v>NO APLICA</v>
          </cell>
        </row>
        <row r="11">
          <cell r="F11" t="str">
            <v>Acuerdo de Consejo Directivo No. 04 de 2016</v>
          </cell>
        </row>
        <row r="13">
          <cell r="E13" t="str">
            <v>Este indicador no fue adoptado por la CAM, pues su jurisdicción es continental.</v>
          </cell>
        </row>
      </sheetData>
      <sheetData sheetId="20">
        <row r="8">
          <cell r="D8">
            <v>1</v>
          </cell>
        </row>
        <row r="12">
          <cell r="E12" t="str">
            <v>Programa 4: Cuida tu Naturaleza. Proyecto 4.1: Control y vigilancia ambiental</v>
          </cell>
        </row>
      </sheetData>
      <sheetData sheetId="21">
        <row r="8">
          <cell r="D8">
            <v>1</v>
          </cell>
        </row>
        <row r="12">
          <cell r="E12" t="str">
            <v>Programa 3: Adaptación para el crecimiento verde, proyecto 3.1: Crecimiento verde de sectores productivos</v>
          </cell>
        </row>
      </sheetData>
      <sheetData sheetId="22">
        <row r="8">
          <cell r="D8">
            <v>1</v>
          </cell>
        </row>
        <row r="12">
          <cell r="E12" t="str">
            <v>Programa 3: Adaptación para el crecimiento verde, proyecto 3.2:  Areas urbanas sostenibles resilientes</v>
          </cell>
        </row>
      </sheetData>
      <sheetData sheetId="23">
        <row r="8">
          <cell r="D8">
            <v>1</v>
          </cell>
        </row>
        <row r="12">
          <cell r="E12" t="str">
            <v>Programa 3: Adaptación para el crecimiento verde, proyecto 3.1: Crecimiento verde de sectores productivos</v>
          </cell>
        </row>
      </sheetData>
      <sheetData sheetId="24">
        <row r="8">
          <cell r="D8">
            <v>1</v>
          </cell>
        </row>
        <row r="12">
          <cell r="E12" t="str">
            <v>Programa 4: Cuida tu Naturaleza. Proyecto 4.1: Control y vigilancia ambiental</v>
          </cell>
        </row>
        <row r="13">
          <cell r="E13" t="str">
            <v xml:space="preserve">Los datos reportados hacen referencia a solicitudes resueltas dentro de la vigencia 2016. </v>
          </cell>
        </row>
      </sheetData>
      <sheetData sheetId="25">
        <row r="8">
          <cell r="D8">
            <v>1</v>
          </cell>
        </row>
        <row r="12">
          <cell r="E12" t="str">
            <v>Programa 4: Cuida tu Naturaleza. Proyecto 4.1: Control y vigilancia ambiental</v>
          </cell>
        </row>
        <row r="13">
          <cell r="E13" t="str">
            <v>Con relación a las licencias Ambientales, a 31 de diciembre de 2016 el seguimiento se realizó a las licencias vigentes otorgadas durante la vigencia 2015 y años anteriores. Para el 2017 se hará seguimiento a las de vigencias anteriores mas la otorgadas en el 2016.</v>
          </cell>
        </row>
      </sheetData>
      <sheetData sheetId="26" refreshError="1"/>
      <sheetData sheetId="27">
        <row r="7">
          <cell r="D7">
            <v>1</v>
          </cell>
        </row>
        <row r="11">
          <cell r="E11" t="str">
            <v>Programa 5: Huila Territorio Ordenado, Proyecto 5.1: Planificación Ambiental Territorial</v>
          </cell>
        </row>
      </sheetData>
      <sheetData sheetId="28">
        <row r="8">
          <cell r="D8" t="str">
            <v>SIN INFORMACION</v>
          </cell>
        </row>
        <row r="12">
          <cell r="E12" t="str">
            <v>Programa 1: Agua para todos. Proyecto 1.1: Ordenamiento y administración del recurso hídrico y las cuencas hidrográficas.</v>
          </cell>
        </row>
      </sheetData>
      <sheetData sheetId="29">
        <row r="8">
          <cell r="D8">
            <v>1</v>
          </cell>
        </row>
        <row r="12">
          <cell r="E12" t="str">
            <v>Programa 4: Cuida tu Naturaleza. Proyecto 4.1: Control y vigilancia ambiental</v>
          </cell>
        </row>
      </sheetData>
      <sheetData sheetId="30">
        <row r="8">
          <cell r="D8">
            <v>0.96562274800049885</v>
          </cell>
        </row>
        <row r="12">
          <cell r="E12" t="str">
            <v>Programa 6: Educación Camino de Paz; Proyecto 6.2: Educación Ambiental: Opita de Corazón</v>
          </cell>
        </row>
      </sheetData>
      <sheetData sheetId="31" refreshError="1"/>
      <sheetData sheetId="32" refreshError="1"/>
      <sheetData sheetId="33" refreshError="1"/>
      <sheetData sheetId="34" refreshError="1"/>
      <sheetData sheetId="35">
        <row r="33">
          <cell r="D33" t="str">
            <v>SI APLICA</v>
          </cell>
          <cell r="F33" t="str">
            <v>SI SE REPORTA</v>
          </cell>
        </row>
        <row r="34">
          <cell r="D34" t="str">
            <v>NO APLICA</v>
          </cell>
          <cell r="F34" t="str">
            <v>NO SE REPORTA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topLeftCell="B4" zoomScale="70" zoomScaleNormal="70" zoomScaleSheetLayoutView="75" workbookViewId="0">
      <pane ySplit="1" topLeftCell="A5" activePane="bottomLeft" state="frozen"/>
      <selection activeCell="B4" sqref="B4"/>
      <selection pane="bottomLeft" activeCell="B48" sqref="B48"/>
    </sheetView>
  </sheetViews>
  <sheetFormatPr baseColWidth="10" defaultRowHeight="18"/>
  <cols>
    <col min="1" max="1" width="5.7109375" style="29" hidden="1" customWidth="1"/>
    <col min="2" max="2" width="52.28515625" style="29" customWidth="1"/>
    <col min="3" max="3" width="17" style="29" customWidth="1"/>
    <col min="4" max="4" width="15.42578125" style="29" customWidth="1"/>
    <col min="5" max="5" width="14.85546875" style="29" customWidth="1"/>
    <col min="6" max="6" width="19.7109375" style="159" customWidth="1"/>
    <col min="7" max="7" width="19.7109375" style="197" customWidth="1"/>
    <col min="8" max="8" width="19.7109375" style="181" hidden="1" customWidth="1"/>
    <col min="9" max="9" width="14.42578125" style="33" customWidth="1"/>
    <col min="10" max="10" width="12" style="60" customWidth="1"/>
    <col min="11" max="11" width="15.7109375" style="213" customWidth="1"/>
    <col min="12" max="12" width="15.7109375" style="33" hidden="1" customWidth="1"/>
    <col min="13" max="13" width="27.85546875" style="32" customWidth="1"/>
    <col min="14" max="14" width="23.140625" style="29" customWidth="1"/>
    <col min="15" max="15" width="15.5703125" style="29" customWidth="1"/>
    <col min="16" max="16" width="27.7109375" style="31" customWidth="1"/>
    <col min="17" max="17" width="32.5703125" style="31" customWidth="1"/>
    <col min="18" max="18" width="17.5703125" style="181" customWidth="1"/>
    <col min="19" max="19" width="37.42578125" style="29" customWidth="1"/>
    <col min="20" max="16384" width="11.42578125" style="29"/>
  </cols>
  <sheetData>
    <row r="1" spans="1:19" s="28" customFormat="1" ht="49.5" hidden="1" customHeight="1" thickBot="1">
      <c r="A1" s="27"/>
      <c r="B1" s="511" t="s">
        <v>552</v>
      </c>
      <c r="C1" s="512"/>
      <c r="D1" s="512"/>
      <c r="E1" s="512"/>
      <c r="F1" s="512"/>
      <c r="G1" s="512"/>
      <c r="H1" s="512"/>
      <c r="I1" s="512"/>
      <c r="J1" s="512"/>
      <c r="K1" s="512"/>
      <c r="L1" s="512"/>
      <c r="M1" s="512"/>
      <c r="N1" s="512"/>
      <c r="O1" s="512"/>
      <c r="P1" s="512"/>
      <c r="Q1" s="512"/>
      <c r="R1" s="512"/>
      <c r="S1" s="513"/>
    </row>
    <row r="2" spans="1:19" s="28" customFormat="1" ht="21.75" hidden="1" customHeight="1">
      <c r="A2" s="64"/>
      <c r="B2" s="518" t="s">
        <v>508</v>
      </c>
      <c r="C2" s="519"/>
      <c r="D2" s="519"/>
      <c r="E2" s="519"/>
      <c r="F2" s="519"/>
      <c r="G2" s="519"/>
      <c r="H2" s="519"/>
      <c r="I2" s="519"/>
      <c r="J2" s="519"/>
      <c r="K2" s="519"/>
      <c r="L2" s="519"/>
      <c r="M2" s="519"/>
      <c r="N2" s="519"/>
      <c r="O2" s="519"/>
      <c r="P2" s="519"/>
      <c r="Q2" s="519"/>
      <c r="R2" s="519"/>
      <c r="S2" s="520"/>
    </row>
    <row r="3" spans="1:19" ht="33" hidden="1" customHeight="1">
      <c r="A3" s="61"/>
      <c r="B3" s="514" t="s">
        <v>442</v>
      </c>
      <c r="C3" s="516" t="s">
        <v>161</v>
      </c>
      <c r="D3" s="517"/>
      <c r="E3" s="517"/>
      <c r="F3" s="517"/>
      <c r="G3" s="517"/>
      <c r="H3" s="517"/>
      <c r="I3" s="517"/>
      <c r="J3" s="517"/>
      <c r="K3" s="517"/>
      <c r="L3" s="190"/>
      <c r="M3" s="516" t="s">
        <v>162</v>
      </c>
      <c r="N3" s="517"/>
      <c r="O3" s="517"/>
      <c r="P3" s="517"/>
      <c r="Q3" s="517"/>
      <c r="R3" s="521"/>
      <c r="S3" s="522" t="s">
        <v>24</v>
      </c>
    </row>
    <row r="4" spans="1:19" ht="133.5" customHeight="1" thickBot="1">
      <c r="A4" s="61"/>
      <c r="B4" s="515"/>
      <c r="C4" s="209" t="s">
        <v>25</v>
      </c>
      <c r="D4" s="209" t="s">
        <v>70</v>
      </c>
      <c r="E4" s="209" t="s">
        <v>72</v>
      </c>
      <c r="F4" s="210" t="s">
        <v>54</v>
      </c>
      <c r="G4" s="209" t="s">
        <v>341</v>
      </c>
      <c r="H4" s="209" t="s">
        <v>342</v>
      </c>
      <c r="I4" s="209" t="s">
        <v>550</v>
      </c>
      <c r="J4" s="209" t="s">
        <v>56</v>
      </c>
      <c r="K4" s="212" t="s">
        <v>55</v>
      </c>
      <c r="L4" s="209" t="s">
        <v>69</v>
      </c>
      <c r="M4" s="209" t="s">
        <v>164</v>
      </c>
      <c r="N4" s="209" t="s">
        <v>71</v>
      </c>
      <c r="O4" s="209" t="s">
        <v>58</v>
      </c>
      <c r="P4" s="209" t="s">
        <v>551</v>
      </c>
      <c r="Q4" s="209" t="s">
        <v>59</v>
      </c>
      <c r="R4" s="209" t="s">
        <v>60</v>
      </c>
      <c r="S4" s="523"/>
    </row>
    <row r="5" spans="1:19" ht="71.25" customHeight="1">
      <c r="A5" s="61"/>
      <c r="B5" s="230" t="s">
        <v>498</v>
      </c>
      <c r="C5" s="211"/>
      <c r="D5" s="211"/>
      <c r="E5" s="211"/>
      <c r="F5" s="228">
        <f>AVERAGE(F6,F19,F30)</f>
        <v>100</v>
      </c>
      <c r="G5" s="228"/>
      <c r="H5" s="228"/>
      <c r="I5" s="211"/>
      <c r="J5" s="211"/>
      <c r="K5" s="228">
        <f>AVERAGE(K6,K19,K30)</f>
        <v>37.574331110565588</v>
      </c>
      <c r="L5" s="211"/>
      <c r="M5" s="227">
        <f>+M6+M19+M30</f>
        <v>14764257776</v>
      </c>
      <c r="N5" s="228">
        <f>+N6+N19+N30</f>
        <v>14440329809</v>
      </c>
      <c r="O5" s="228">
        <f>+(N5/M5)*100</f>
        <v>97.805998974587396</v>
      </c>
      <c r="P5" s="229">
        <f>+P6+P19+P30</f>
        <v>40220283956.971992</v>
      </c>
      <c r="Q5" s="229">
        <f>+Q6+Q19+Q24</f>
        <v>12965157726</v>
      </c>
      <c r="R5" s="228">
        <f>+(Q5/P5)*100</f>
        <v>32.235370938380839</v>
      </c>
      <c r="S5" s="409" t="e">
        <f>+P5-#REF!</f>
        <v>#REF!</v>
      </c>
    </row>
    <row r="6" spans="1:19" ht="81.75" customHeight="1">
      <c r="A6" s="61"/>
      <c r="B6" s="231" t="s">
        <v>346</v>
      </c>
      <c r="C6" s="202"/>
      <c r="D6" s="202"/>
      <c r="E6" s="204"/>
      <c r="F6" s="204">
        <f>AVERAGE(F7:F17)</f>
        <v>100</v>
      </c>
      <c r="G6" s="204"/>
      <c r="H6" s="204"/>
      <c r="I6" s="202"/>
      <c r="J6" s="202"/>
      <c r="K6" s="204">
        <f>AVERAGE(K7:K18)</f>
        <v>43.712820512820507</v>
      </c>
      <c r="L6" s="203"/>
      <c r="M6" s="204">
        <f>SUM(M7:M18)</f>
        <v>5001933067</v>
      </c>
      <c r="N6" s="204">
        <f>SUM(N7:N18)</f>
        <v>4770303616</v>
      </c>
      <c r="O6" s="204">
        <f>+N6/M6*100</f>
        <v>95.369201308826717</v>
      </c>
      <c r="P6" s="202">
        <f>SUM(P7:P18)</f>
        <v>10644903993.424999</v>
      </c>
      <c r="Q6" s="204">
        <f>SUM(Q7:Q18)</f>
        <v>4770303616</v>
      </c>
      <c r="R6" s="204">
        <f>+(Q6/P6)*100</f>
        <v>44.813026204336431</v>
      </c>
      <c r="S6" s="65"/>
    </row>
    <row r="7" spans="1:19" ht="108.75" customHeight="1">
      <c r="A7" s="61"/>
      <c r="B7" s="232" t="s">
        <v>353</v>
      </c>
      <c r="C7" s="233" t="s">
        <v>391</v>
      </c>
      <c r="D7" s="233">
        <v>60</v>
      </c>
      <c r="E7" s="234">
        <v>60</v>
      </c>
      <c r="F7" s="235">
        <v>100</v>
      </c>
      <c r="G7" s="236"/>
      <c r="H7" s="226" t="s">
        <v>500</v>
      </c>
      <c r="I7" s="235">
        <v>100</v>
      </c>
      <c r="J7" s="237">
        <v>60</v>
      </c>
      <c r="K7" s="226">
        <v>60</v>
      </c>
      <c r="L7" s="238"/>
      <c r="M7" s="237">
        <v>0</v>
      </c>
      <c r="N7" s="235">
        <v>0</v>
      </c>
      <c r="O7" s="237">
        <v>0</v>
      </c>
      <c r="P7" s="237">
        <v>0</v>
      </c>
      <c r="Q7" s="237">
        <v>0</v>
      </c>
      <c r="R7" s="266">
        <v>0</v>
      </c>
      <c r="S7" s="66"/>
    </row>
    <row r="8" spans="1:19" ht="120" customHeight="1">
      <c r="A8" s="61"/>
      <c r="B8" s="239" t="s">
        <v>357</v>
      </c>
      <c r="C8" s="240" t="s">
        <v>126</v>
      </c>
      <c r="D8" s="233">
        <v>3</v>
      </c>
      <c r="E8" s="234">
        <v>3</v>
      </c>
      <c r="F8" s="235">
        <v>100</v>
      </c>
      <c r="G8" s="236"/>
      <c r="H8" s="226" t="s">
        <v>500</v>
      </c>
      <c r="I8" s="235">
        <v>5</v>
      </c>
      <c r="J8" s="237">
        <v>3</v>
      </c>
      <c r="K8" s="226">
        <v>60</v>
      </c>
      <c r="L8" s="238"/>
      <c r="M8" s="237">
        <v>651901995</v>
      </c>
      <c r="N8" s="235">
        <v>585239009</v>
      </c>
      <c r="O8" s="237">
        <v>89.774078540747524</v>
      </c>
      <c r="P8" s="237">
        <v>956901995</v>
      </c>
      <c r="Q8" s="237">
        <v>585239009</v>
      </c>
      <c r="R8" s="266">
        <v>61.159764746858947</v>
      </c>
      <c r="S8" s="67"/>
    </row>
    <row r="9" spans="1:19" ht="130.5" customHeight="1">
      <c r="A9" s="61"/>
      <c r="B9" s="241" t="s">
        <v>350</v>
      </c>
      <c r="C9" s="233" t="s">
        <v>391</v>
      </c>
      <c r="D9" s="233">
        <v>30</v>
      </c>
      <c r="E9" s="234">
        <v>30</v>
      </c>
      <c r="F9" s="235">
        <v>100</v>
      </c>
      <c r="G9" s="236"/>
      <c r="H9" s="226" t="s">
        <v>500</v>
      </c>
      <c r="I9" s="235">
        <v>100</v>
      </c>
      <c r="J9" s="237">
        <v>30</v>
      </c>
      <c r="K9" s="226">
        <v>30</v>
      </c>
      <c r="L9" s="238"/>
      <c r="M9" s="237">
        <v>0</v>
      </c>
      <c r="N9" s="235">
        <v>0</v>
      </c>
      <c r="O9" s="237">
        <v>0</v>
      </c>
      <c r="P9" s="237">
        <v>0</v>
      </c>
      <c r="Q9" s="237">
        <v>0</v>
      </c>
      <c r="R9" s="266">
        <v>0</v>
      </c>
      <c r="S9" s="67"/>
    </row>
    <row r="10" spans="1:19" ht="133.5" customHeight="1">
      <c r="A10" s="61"/>
      <c r="B10" s="242" t="s">
        <v>350</v>
      </c>
      <c r="C10" s="240" t="s">
        <v>131</v>
      </c>
      <c r="D10" s="233">
        <v>3</v>
      </c>
      <c r="E10" s="234">
        <v>3</v>
      </c>
      <c r="F10" s="235">
        <v>100</v>
      </c>
      <c r="G10" s="236"/>
      <c r="H10" s="226" t="s">
        <v>500</v>
      </c>
      <c r="I10" s="235">
        <v>10</v>
      </c>
      <c r="J10" s="237">
        <v>3</v>
      </c>
      <c r="K10" s="226">
        <v>30</v>
      </c>
      <c r="L10" s="238"/>
      <c r="M10" s="237">
        <v>498289216</v>
      </c>
      <c r="N10" s="235">
        <v>497990024</v>
      </c>
      <c r="O10" s="237">
        <v>99.93995615590444</v>
      </c>
      <c r="P10" s="237">
        <v>2079789216</v>
      </c>
      <c r="Q10" s="237">
        <v>497990024</v>
      </c>
      <c r="R10" s="266">
        <v>23.944254550841944</v>
      </c>
      <c r="S10" s="67"/>
    </row>
    <row r="11" spans="1:19" ht="126" customHeight="1">
      <c r="A11" s="61"/>
      <c r="B11" s="243" t="s">
        <v>355</v>
      </c>
      <c r="C11" s="244" t="s">
        <v>1</v>
      </c>
      <c r="D11" s="233">
        <v>17</v>
      </c>
      <c r="E11" s="234">
        <v>17</v>
      </c>
      <c r="F11" s="235">
        <v>100</v>
      </c>
      <c r="G11" s="236"/>
      <c r="H11" s="226" t="s">
        <v>500</v>
      </c>
      <c r="I11" s="235">
        <v>100</v>
      </c>
      <c r="J11" s="237">
        <v>17</v>
      </c>
      <c r="K11" s="226">
        <v>17</v>
      </c>
      <c r="L11" s="238"/>
      <c r="M11" s="237">
        <v>0</v>
      </c>
      <c r="N11" s="235"/>
      <c r="O11" s="237">
        <v>0</v>
      </c>
      <c r="P11" s="237">
        <v>0</v>
      </c>
      <c r="Q11" s="237">
        <v>0</v>
      </c>
      <c r="R11" s="266">
        <v>0</v>
      </c>
      <c r="S11" s="66"/>
    </row>
    <row r="12" spans="1:19" ht="173.25" customHeight="1">
      <c r="A12" s="61"/>
      <c r="B12" s="239" t="s">
        <v>354</v>
      </c>
      <c r="C12" s="244" t="s">
        <v>489</v>
      </c>
      <c r="D12" s="233">
        <v>0.5</v>
      </c>
      <c r="E12" s="245">
        <v>0.5</v>
      </c>
      <c r="F12" s="235">
        <v>100</v>
      </c>
      <c r="G12" s="246"/>
      <c r="H12" s="226" t="s">
        <v>500</v>
      </c>
      <c r="I12" s="235">
        <v>3</v>
      </c>
      <c r="J12" s="247">
        <v>0.5</v>
      </c>
      <c r="K12" s="226">
        <v>16.666666666666664</v>
      </c>
      <c r="L12" s="238"/>
      <c r="M12" s="226">
        <v>1660126213</v>
      </c>
      <c r="N12" s="235">
        <v>1517228834</v>
      </c>
      <c r="O12" s="226">
        <v>91.392378610673745</v>
      </c>
      <c r="P12" s="237">
        <v>3496334603</v>
      </c>
      <c r="Q12" s="226">
        <v>1517228834</v>
      </c>
      <c r="R12" s="266">
        <v>43.394840776914052</v>
      </c>
      <c r="S12" s="66"/>
    </row>
    <row r="13" spans="1:19" ht="123" customHeight="1">
      <c r="A13" s="61"/>
      <c r="B13" s="232" t="s">
        <v>356</v>
      </c>
      <c r="C13" s="244" t="s">
        <v>1</v>
      </c>
      <c r="D13" s="233">
        <v>60</v>
      </c>
      <c r="E13" s="235">
        <v>60</v>
      </c>
      <c r="F13" s="235">
        <v>100</v>
      </c>
      <c r="G13" s="246"/>
      <c r="H13" s="226" t="s">
        <v>500</v>
      </c>
      <c r="I13" s="235">
        <v>100</v>
      </c>
      <c r="J13" s="226">
        <v>60</v>
      </c>
      <c r="K13" s="226">
        <v>60</v>
      </c>
      <c r="L13" s="238"/>
      <c r="M13" s="226">
        <v>0</v>
      </c>
      <c r="N13" s="235">
        <v>0</v>
      </c>
      <c r="O13" s="226">
        <v>0</v>
      </c>
      <c r="P13" s="237">
        <v>0</v>
      </c>
      <c r="Q13" s="226">
        <v>0</v>
      </c>
      <c r="R13" s="266">
        <v>0</v>
      </c>
      <c r="S13" s="66"/>
    </row>
    <row r="14" spans="1:19" ht="144.75" customHeight="1">
      <c r="A14" s="61"/>
      <c r="B14" s="249" t="s">
        <v>358</v>
      </c>
      <c r="C14" s="233" t="s">
        <v>368</v>
      </c>
      <c r="D14" s="233">
        <v>0</v>
      </c>
      <c r="E14" s="235">
        <v>0</v>
      </c>
      <c r="F14" s="245" t="s">
        <v>500</v>
      </c>
      <c r="G14" s="226"/>
      <c r="H14" s="226" t="s">
        <v>500</v>
      </c>
      <c r="I14" s="235">
        <v>6</v>
      </c>
      <c r="J14" s="226">
        <v>0</v>
      </c>
      <c r="K14" s="226" t="s">
        <v>500</v>
      </c>
      <c r="L14" s="238"/>
      <c r="M14" s="226">
        <v>147411261</v>
      </c>
      <c r="N14" s="235">
        <v>147411261</v>
      </c>
      <c r="O14" s="226">
        <v>100</v>
      </c>
      <c r="P14" s="237">
        <v>702625620.375</v>
      </c>
      <c r="Q14" s="226">
        <v>147411261</v>
      </c>
      <c r="R14" s="266">
        <v>20.980057761247703</v>
      </c>
      <c r="S14" s="66"/>
    </row>
    <row r="15" spans="1:19" ht="140.25" customHeight="1">
      <c r="A15" s="61"/>
      <c r="B15" s="249" t="s">
        <v>352</v>
      </c>
      <c r="C15" s="235" t="s">
        <v>367</v>
      </c>
      <c r="D15" s="233">
        <v>1</v>
      </c>
      <c r="E15" s="235">
        <v>1</v>
      </c>
      <c r="F15" s="235">
        <v>100</v>
      </c>
      <c r="G15" s="246"/>
      <c r="H15" s="226" t="s">
        <v>500</v>
      </c>
      <c r="I15" s="235">
        <v>1</v>
      </c>
      <c r="J15" s="226">
        <v>1</v>
      </c>
      <c r="K15" s="226">
        <v>25</v>
      </c>
      <c r="L15" s="238"/>
      <c r="M15" s="226">
        <v>102678952</v>
      </c>
      <c r="N15" s="235">
        <v>102678852</v>
      </c>
      <c r="O15" s="226">
        <v>99.999902609056619</v>
      </c>
      <c r="P15" s="237">
        <v>222678952</v>
      </c>
      <c r="Q15" s="226">
        <v>102678852</v>
      </c>
      <c r="R15" s="266">
        <v>46.110712789774581</v>
      </c>
      <c r="S15" s="66"/>
    </row>
    <row r="16" spans="1:19" ht="140.25" customHeight="1">
      <c r="A16" s="61"/>
      <c r="B16" s="249" t="s">
        <v>359</v>
      </c>
      <c r="C16" s="235" t="s">
        <v>484</v>
      </c>
      <c r="D16" s="233">
        <v>37</v>
      </c>
      <c r="E16" s="235">
        <v>37</v>
      </c>
      <c r="F16" s="235">
        <v>100</v>
      </c>
      <c r="G16" s="246"/>
      <c r="H16" s="226" t="s">
        <v>500</v>
      </c>
      <c r="I16" s="235">
        <v>37</v>
      </c>
      <c r="J16" s="226">
        <v>37</v>
      </c>
      <c r="K16" s="226">
        <v>100</v>
      </c>
      <c r="L16" s="238"/>
      <c r="M16" s="226">
        <v>893357238</v>
      </c>
      <c r="N16" s="235">
        <v>871587445</v>
      </c>
      <c r="O16" s="226">
        <v>97.563148080745719</v>
      </c>
      <c r="P16" s="237">
        <v>1599988958</v>
      </c>
      <c r="Q16" s="226">
        <v>871587445</v>
      </c>
      <c r="R16" s="266">
        <v>54.474591255272898</v>
      </c>
      <c r="S16" s="66"/>
    </row>
    <row r="17" spans="1:19" ht="140.25" customHeight="1">
      <c r="A17" s="61"/>
      <c r="B17" s="249" t="s">
        <v>360</v>
      </c>
      <c r="C17" s="244" t="s">
        <v>361</v>
      </c>
      <c r="D17" s="244">
        <v>5</v>
      </c>
      <c r="E17" s="235">
        <v>5</v>
      </c>
      <c r="F17" s="235">
        <v>100</v>
      </c>
      <c r="G17" s="246"/>
      <c r="H17" s="226" t="s">
        <v>500</v>
      </c>
      <c r="I17" s="235">
        <v>13</v>
      </c>
      <c r="J17" s="226">
        <v>5</v>
      </c>
      <c r="K17" s="226">
        <v>38.461538461538467</v>
      </c>
      <c r="L17" s="238"/>
      <c r="M17" s="226">
        <v>146899881</v>
      </c>
      <c r="N17" s="235">
        <v>146899881</v>
      </c>
      <c r="O17" s="226">
        <v>100</v>
      </c>
      <c r="P17" s="237">
        <v>501144756.05000001</v>
      </c>
      <c r="Q17" s="226">
        <v>146899881</v>
      </c>
      <c r="R17" s="266">
        <v>29.312864043087693</v>
      </c>
      <c r="S17" s="66"/>
    </row>
    <row r="18" spans="1:19" s="199" customFormat="1" ht="153.75" customHeight="1">
      <c r="A18" s="198"/>
      <c r="B18" s="249" t="s">
        <v>362</v>
      </c>
      <c r="C18" s="240" t="s">
        <v>185</v>
      </c>
      <c r="D18" s="244">
        <v>0</v>
      </c>
      <c r="E18" s="235">
        <v>0</v>
      </c>
      <c r="F18" s="245" t="s">
        <v>509</v>
      </c>
      <c r="G18" s="246"/>
      <c r="H18" s="226" t="s">
        <v>500</v>
      </c>
      <c r="I18" s="235">
        <v>2</v>
      </c>
      <c r="J18" s="226">
        <v>0</v>
      </c>
      <c r="K18" s="226" t="s">
        <v>500</v>
      </c>
      <c r="L18" s="238"/>
      <c r="M18" s="226">
        <v>901268311</v>
      </c>
      <c r="N18" s="235">
        <v>901268310</v>
      </c>
      <c r="O18" s="226">
        <v>99.999999889045256</v>
      </c>
      <c r="P18" s="237">
        <v>1085439893</v>
      </c>
      <c r="Q18" s="226">
        <v>901268310</v>
      </c>
      <c r="R18" s="266">
        <v>83.032539693103018</v>
      </c>
      <c r="S18" s="66"/>
    </row>
    <row r="19" spans="1:19" ht="62.25" customHeight="1">
      <c r="A19" s="61"/>
      <c r="B19" s="208" t="s">
        <v>363</v>
      </c>
      <c r="C19" s="206"/>
      <c r="D19" s="205"/>
      <c r="E19" s="250"/>
      <c r="F19" s="251">
        <f>AVERAGE(F20:F29)</f>
        <v>100</v>
      </c>
      <c r="G19" s="252"/>
      <c r="H19" s="206"/>
      <c r="I19" s="251"/>
      <c r="J19" s="206"/>
      <c r="K19" s="204">
        <f>AVERAGE(K20:K29)</f>
        <v>44.010172818876242</v>
      </c>
      <c r="L19" s="204"/>
      <c r="M19" s="253">
        <f>SUM(M20:M29)</f>
        <v>7885091340</v>
      </c>
      <c r="N19" s="253">
        <f>SUM(N20:N29)</f>
        <v>7792792986</v>
      </c>
      <c r="O19" s="204">
        <f>+N19/M19*100</f>
        <v>98.829457389646421</v>
      </c>
      <c r="P19" s="254">
        <f>SUM(P20:P29)-1887548471</f>
        <v>23871046758.909996</v>
      </c>
      <c r="Q19" s="253">
        <f>SUM(Q20:Q29)</f>
        <v>7792792986</v>
      </c>
      <c r="R19" s="204">
        <f>+(Q19/P19)*100</f>
        <v>32.645376068777956</v>
      </c>
      <c r="S19" s="217"/>
    </row>
    <row r="20" spans="1:19" ht="128.25" customHeight="1">
      <c r="A20" s="61"/>
      <c r="B20" s="243" t="s">
        <v>478</v>
      </c>
      <c r="C20" s="233" t="s">
        <v>179</v>
      </c>
      <c r="D20" s="244">
        <v>100</v>
      </c>
      <c r="E20" s="235">
        <v>100</v>
      </c>
      <c r="F20" s="235">
        <v>100</v>
      </c>
      <c r="G20" s="246"/>
      <c r="H20" s="226" t="s">
        <v>500</v>
      </c>
      <c r="I20" s="235">
        <v>100</v>
      </c>
      <c r="J20" s="226">
        <v>100</v>
      </c>
      <c r="K20" s="226">
        <v>100</v>
      </c>
      <c r="L20" s="238"/>
      <c r="M20" s="226">
        <v>0</v>
      </c>
      <c r="N20" s="235">
        <v>0</v>
      </c>
      <c r="O20" s="226">
        <v>0</v>
      </c>
      <c r="P20" s="226"/>
      <c r="Q20" s="226">
        <v>0</v>
      </c>
      <c r="R20" s="248"/>
      <c r="S20" s="66"/>
    </row>
    <row r="21" spans="1:19" ht="128.25" customHeight="1">
      <c r="A21" s="61"/>
      <c r="B21" s="239" t="s">
        <v>479</v>
      </c>
      <c r="C21" s="240" t="s">
        <v>480</v>
      </c>
      <c r="D21" s="244">
        <v>3</v>
      </c>
      <c r="E21" s="235">
        <v>3</v>
      </c>
      <c r="F21" s="235">
        <v>100</v>
      </c>
      <c r="G21" s="246"/>
      <c r="H21" s="226" t="s">
        <v>500</v>
      </c>
      <c r="I21" s="235">
        <v>5</v>
      </c>
      <c r="J21" s="226">
        <v>3</v>
      </c>
      <c r="K21" s="226">
        <v>60</v>
      </c>
      <c r="L21" s="238"/>
      <c r="M21" s="226">
        <v>2716742169</v>
      </c>
      <c r="N21" s="235">
        <v>2714204176</v>
      </c>
      <c r="O21" s="226">
        <v>99.906579541151885</v>
      </c>
      <c r="P21" s="226">
        <v>12217896153.16</v>
      </c>
      <c r="Q21" s="226">
        <v>2714204176</v>
      </c>
      <c r="R21" s="248"/>
      <c r="S21" s="66"/>
    </row>
    <row r="22" spans="1:19" ht="150" customHeight="1">
      <c r="A22" s="61"/>
      <c r="B22" s="243" t="s">
        <v>364</v>
      </c>
      <c r="C22" s="233" t="s">
        <v>391</v>
      </c>
      <c r="D22" s="244" t="s">
        <v>500</v>
      </c>
      <c r="E22" s="235" t="s">
        <v>500</v>
      </c>
      <c r="F22" s="245" t="s">
        <v>500</v>
      </c>
      <c r="G22" s="226"/>
      <c r="H22" s="226" t="s">
        <v>500</v>
      </c>
      <c r="I22" s="235">
        <v>100</v>
      </c>
      <c r="J22" s="226" t="s">
        <v>500</v>
      </c>
      <c r="K22" s="226" t="s">
        <v>500</v>
      </c>
      <c r="L22" s="238"/>
      <c r="M22" s="226">
        <v>0</v>
      </c>
      <c r="N22" s="235">
        <v>0</v>
      </c>
      <c r="O22" s="226">
        <v>0</v>
      </c>
      <c r="P22" s="226">
        <v>0</v>
      </c>
      <c r="Q22" s="226">
        <v>0</v>
      </c>
      <c r="R22" s="248">
        <v>0</v>
      </c>
      <c r="S22" s="66" t="s">
        <v>553</v>
      </c>
    </row>
    <row r="23" spans="1:19" ht="134.25" customHeight="1">
      <c r="A23" s="61"/>
      <c r="B23" s="255" t="s">
        <v>347</v>
      </c>
      <c r="C23" s="256" t="s">
        <v>439</v>
      </c>
      <c r="D23" s="244" t="s">
        <v>500</v>
      </c>
      <c r="E23" s="235" t="s">
        <v>500</v>
      </c>
      <c r="F23" s="245" t="s">
        <v>500</v>
      </c>
      <c r="G23" s="226"/>
      <c r="H23" s="226" t="s">
        <v>500</v>
      </c>
      <c r="I23" s="257">
        <v>400</v>
      </c>
      <c r="J23" s="226" t="s">
        <v>500</v>
      </c>
      <c r="K23" s="226" t="s">
        <v>500</v>
      </c>
      <c r="L23" s="238"/>
      <c r="M23" s="226">
        <v>212364591</v>
      </c>
      <c r="N23" s="235">
        <v>198668508</v>
      </c>
      <c r="O23" s="226">
        <v>93.550674839196716</v>
      </c>
      <c r="P23" s="226">
        <v>582906241.21249998</v>
      </c>
      <c r="Q23" s="226">
        <v>198668508</v>
      </c>
      <c r="R23" s="266">
        <v>34.082412222375723</v>
      </c>
      <c r="S23" s="66" t="s">
        <v>554</v>
      </c>
    </row>
    <row r="24" spans="1:19" ht="150.75" customHeight="1">
      <c r="A24" s="61"/>
      <c r="B24" s="258" t="s">
        <v>505</v>
      </c>
      <c r="C24" s="259" t="s">
        <v>439</v>
      </c>
      <c r="D24" s="244">
        <v>0</v>
      </c>
      <c r="E24" s="235">
        <v>0</v>
      </c>
      <c r="F24" s="245" t="s">
        <v>500</v>
      </c>
      <c r="G24" s="226"/>
      <c r="H24" s="226" t="s">
        <v>500</v>
      </c>
      <c r="I24" s="257">
        <v>100</v>
      </c>
      <c r="J24" s="226">
        <v>0</v>
      </c>
      <c r="K24" s="226" t="s">
        <v>500</v>
      </c>
      <c r="L24" s="238"/>
      <c r="M24" s="226">
        <v>417414361</v>
      </c>
      <c r="N24" s="235">
        <v>402061124</v>
      </c>
      <c r="O24" s="226">
        <v>96.32182348417092</v>
      </c>
      <c r="P24" s="226">
        <v>1120650678.9075</v>
      </c>
      <c r="Q24" s="226">
        <v>402061124</v>
      </c>
      <c r="R24" s="266">
        <v>35.877471148454696</v>
      </c>
      <c r="S24" s="66" t="s">
        <v>553</v>
      </c>
    </row>
    <row r="25" spans="1:19" ht="150.75" customHeight="1">
      <c r="A25" s="61"/>
      <c r="B25" s="258" t="s">
        <v>348</v>
      </c>
      <c r="C25" s="260" t="s">
        <v>439</v>
      </c>
      <c r="D25" s="244">
        <v>46</v>
      </c>
      <c r="E25" s="235">
        <v>46</v>
      </c>
      <c r="F25" s="235">
        <v>100</v>
      </c>
      <c r="G25" s="246"/>
      <c r="H25" s="226" t="s">
        <v>500</v>
      </c>
      <c r="I25" s="257">
        <v>489</v>
      </c>
      <c r="J25" s="226">
        <v>46</v>
      </c>
      <c r="K25" s="226">
        <v>9.406952965235174</v>
      </c>
      <c r="L25" s="238"/>
      <c r="M25" s="226">
        <v>154147067</v>
      </c>
      <c r="N25" s="235">
        <v>154146824</v>
      </c>
      <c r="O25" s="226">
        <v>99.99984235833692</v>
      </c>
      <c r="P25" s="226">
        <v>463370533.63000005</v>
      </c>
      <c r="Q25" s="226">
        <v>154146824</v>
      </c>
      <c r="R25" s="266">
        <v>33.266427796439416</v>
      </c>
      <c r="S25" s="66" t="s">
        <v>553</v>
      </c>
    </row>
    <row r="26" spans="1:19" ht="114" customHeight="1">
      <c r="A26" s="61"/>
      <c r="B26" s="258" t="s">
        <v>490</v>
      </c>
      <c r="C26" s="260" t="s">
        <v>439</v>
      </c>
      <c r="D26" s="244">
        <v>2500</v>
      </c>
      <c r="E26" s="235">
        <v>9463</v>
      </c>
      <c r="F26" s="235">
        <v>100</v>
      </c>
      <c r="G26" s="246"/>
      <c r="H26" s="226" t="s">
        <v>500</v>
      </c>
      <c r="I26" s="257">
        <v>4963</v>
      </c>
      <c r="J26" s="226">
        <v>9463</v>
      </c>
      <c r="K26" s="226">
        <v>100</v>
      </c>
      <c r="L26" s="238"/>
      <c r="M26" s="226">
        <v>2886116492</v>
      </c>
      <c r="N26" s="235">
        <v>2841461229</v>
      </c>
      <c r="O26" s="226">
        <v>98.452756043500685</v>
      </c>
      <c r="P26" s="226">
        <v>6733408973</v>
      </c>
      <c r="Q26" s="226">
        <v>2841461229</v>
      </c>
      <c r="R26" s="266">
        <v>42.199445190301823</v>
      </c>
      <c r="S26" s="66"/>
    </row>
    <row r="27" spans="1:19" ht="73.5" customHeight="1">
      <c r="A27" s="61"/>
      <c r="B27" s="258" t="s">
        <v>351</v>
      </c>
      <c r="C27" s="260" t="s">
        <v>439</v>
      </c>
      <c r="D27" s="244">
        <v>863</v>
      </c>
      <c r="E27" s="235">
        <v>863</v>
      </c>
      <c r="F27" s="235">
        <v>100</v>
      </c>
      <c r="G27" s="246"/>
      <c r="H27" s="226" t="s">
        <v>500</v>
      </c>
      <c r="I27" s="257">
        <v>14536</v>
      </c>
      <c r="J27" s="226">
        <v>863</v>
      </c>
      <c r="K27" s="226">
        <v>5.9369840396257567</v>
      </c>
      <c r="L27" s="238"/>
      <c r="M27" s="226">
        <v>1434050660</v>
      </c>
      <c r="N27" s="235">
        <v>1417995125</v>
      </c>
      <c r="O27" s="226">
        <v>98.880406707528721</v>
      </c>
      <c r="P27" s="226">
        <v>3926106650</v>
      </c>
      <c r="Q27" s="226">
        <v>1417995125</v>
      </c>
      <c r="R27" s="266">
        <v>36.117081154685394</v>
      </c>
      <c r="S27" s="66" t="s">
        <v>553</v>
      </c>
    </row>
    <row r="28" spans="1:19" ht="73.5" customHeight="1">
      <c r="A28" s="61"/>
      <c r="B28" s="261" t="s">
        <v>349</v>
      </c>
      <c r="C28" s="260" t="s">
        <v>439</v>
      </c>
      <c r="D28" s="244">
        <v>250</v>
      </c>
      <c r="E28" s="235">
        <v>250</v>
      </c>
      <c r="F28" s="235">
        <v>100</v>
      </c>
      <c r="G28" s="246"/>
      <c r="H28" s="226" t="s">
        <v>500</v>
      </c>
      <c r="I28" s="257">
        <v>1100</v>
      </c>
      <c r="J28" s="226">
        <v>250</v>
      </c>
      <c r="K28" s="226">
        <v>22.727272727272727</v>
      </c>
      <c r="L28" s="238"/>
      <c r="M28" s="226">
        <v>64256000</v>
      </c>
      <c r="N28" s="235">
        <v>64256000</v>
      </c>
      <c r="O28" s="226">
        <v>100</v>
      </c>
      <c r="P28" s="226">
        <v>714256000</v>
      </c>
      <c r="Q28" s="226">
        <v>64256000</v>
      </c>
      <c r="R28" s="266">
        <v>8.9962142425124885</v>
      </c>
      <c r="S28" s="66"/>
    </row>
    <row r="29" spans="1:19" ht="73.5" customHeight="1">
      <c r="A29" s="61"/>
      <c r="B29" s="249" t="s">
        <v>474</v>
      </c>
      <c r="C29" s="233" t="s">
        <v>391</v>
      </c>
      <c r="D29" s="244">
        <v>10</v>
      </c>
      <c r="E29" s="235">
        <v>10</v>
      </c>
      <c r="F29" s="235">
        <v>100</v>
      </c>
      <c r="G29" s="246"/>
      <c r="H29" s="226" t="s">
        <v>500</v>
      </c>
      <c r="I29" s="235">
        <v>100</v>
      </c>
      <c r="J29" s="226">
        <v>10</v>
      </c>
      <c r="K29" s="226">
        <v>10</v>
      </c>
      <c r="L29" s="238"/>
      <c r="M29" s="226">
        <v>0</v>
      </c>
      <c r="N29" s="235">
        <v>0</v>
      </c>
      <c r="O29" s="226">
        <v>0</v>
      </c>
      <c r="P29" s="226">
        <v>0</v>
      </c>
      <c r="Q29" s="226">
        <v>0</v>
      </c>
      <c r="R29" s="266">
        <v>0</v>
      </c>
      <c r="S29" s="66"/>
    </row>
    <row r="30" spans="1:19" ht="30">
      <c r="A30" s="61"/>
      <c r="B30" s="208" t="s">
        <v>497</v>
      </c>
      <c r="C30" s="262"/>
      <c r="D30" s="263"/>
      <c r="E30" s="250"/>
      <c r="F30" s="251">
        <f>AVERAGE(F31:F32)</f>
        <v>100</v>
      </c>
      <c r="G30" s="252"/>
      <c r="H30" s="206"/>
      <c r="I30" s="251"/>
      <c r="J30" s="262"/>
      <c r="K30" s="204">
        <f>AVERAGE(K31:K32)</f>
        <v>25</v>
      </c>
      <c r="L30" s="204"/>
      <c r="M30" s="264">
        <f>SUM(M31:M32)</f>
        <v>1877233369</v>
      </c>
      <c r="N30" s="265">
        <f>SUM(N31:N32)</f>
        <v>1877233207</v>
      </c>
      <c r="O30" s="204">
        <f>+N30/M30*100</f>
        <v>99.999991370279119</v>
      </c>
      <c r="P30" s="254">
        <f>SUM(P31:P32)</f>
        <v>5704333204.6370001</v>
      </c>
      <c r="Q30" s="265">
        <f>SUM(Q31:Q32)</f>
        <v>1877233207</v>
      </c>
      <c r="R30" s="204">
        <f>+(Q30/P30)*100</f>
        <v>32.908898194691965</v>
      </c>
      <c r="S30" s="68"/>
    </row>
    <row r="31" spans="1:19" ht="82.5" customHeight="1">
      <c r="A31" s="61"/>
      <c r="B31" s="249" t="s">
        <v>365</v>
      </c>
      <c r="C31" s="244" t="s">
        <v>366</v>
      </c>
      <c r="D31" s="244">
        <v>1</v>
      </c>
      <c r="E31" s="235">
        <v>1</v>
      </c>
      <c r="F31" s="235">
        <v>100</v>
      </c>
      <c r="G31" s="246"/>
      <c r="H31" s="226" t="s">
        <v>500</v>
      </c>
      <c r="I31" s="235">
        <v>1</v>
      </c>
      <c r="J31" s="266">
        <v>1</v>
      </c>
      <c r="K31" s="226">
        <v>25</v>
      </c>
      <c r="L31" s="238"/>
      <c r="M31" s="226">
        <v>1569912321</v>
      </c>
      <c r="N31" s="235">
        <v>1569912321</v>
      </c>
      <c r="O31" s="226">
        <v>0</v>
      </c>
      <c r="P31" s="226">
        <v>5066338273.1732998</v>
      </c>
      <c r="Q31" s="226">
        <v>1569912321</v>
      </c>
      <c r="R31" s="266">
        <v>30.987120013537623</v>
      </c>
      <c r="S31" s="66"/>
    </row>
    <row r="32" spans="1:19" ht="45" customHeight="1">
      <c r="A32" s="61"/>
      <c r="B32" s="249" t="s">
        <v>475</v>
      </c>
      <c r="C32" s="244" t="s">
        <v>494</v>
      </c>
      <c r="D32" s="244">
        <v>1</v>
      </c>
      <c r="E32" s="235">
        <v>1</v>
      </c>
      <c r="F32" s="235">
        <v>100</v>
      </c>
      <c r="G32" s="246"/>
      <c r="H32" s="226" t="s">
        <v>500</v>
      </c>
      <c r="I32" s="235">
        <v>1</v>
      </c>
      <c r="J32" s="266">
        <v>1</v>
      </c>
      <c r="K32" s="226">
        <v>25</v>
      </c>
      <c r="L32" s="238"/>
      <c r="M32" s="226">
        <v>307321048</v>
      </c>
      <c r="N32" s="235">
        <v>307320886</v>
      </c>
      <c r="O32" s="226">
        <v>0</v>
      </c>
      <c r="P32" s="226">
        <v>637994931.46370006</v>
      </c>
      <c r="Q32" s="226">
        <v>307320886</v>
      </c>
      <c r="R32" s="266">
        <v>48.169800549189098</v>
      </c>
      <c r="S32" s="66"/>
    </row>
    <row r="33" spans="1:19" ht="59.25" customHeight="1">
      <c r="A33" s="61"/>
      <c r="B33" s="267" t="s">
        <v>443</v>
      </c>
      <c r="C33" s="268"/>
      <c r="D33" s="268"/>
      <c r="E33" s="269"/>
      <c r="F33" s="270">
        <f>AVERAGE(F34,F46)</f>
        <v>100</v>
      </c>
      <c r="G33" s="271"/>
      <c r="H33" s="268"/>
      <c r="I33" s="273"/>
      <c r="J33" s="268"/>
      <c r="K33" s="274">
        <f>AVERAGE(K34,K46)</f>
        <v>52.468388785303304</v>
      </c>
      <c r="L33" s="274"/>
      <c r="M33" s="275">
        <f>+M34+M46</f>
        <v>1985679556</v>
      </c>
      <c r="N33" s="275">
        <f>+N34+N46</f>
        <v>1947426231</v>
      </c>
      <c r="O33" s="274">
        <f>+N33/M33*100</f>
        <v>98.073539867779147</v>
      </c>
      <c r="P33" s="275">
        <f>+P34+P46</f>
        <v>7411697962.8500004</v>
      </c>
      <c r="Q33" s="275">
        <f>+Q34+Q46</f>
        <v>1947426231</v>
      </c>
      <c r="R33" s="274">
        <f>+(Q33/P33)*100</f>
        <v>26.275034961774956</v>
      </c>
      <c r="S33" s="66"/>
    </row>
    <row r="34" spans="1:19" ht="64.5" customHeight="1">
      <c r="A34" s="61"/>
      <c r="B34" s="208" t="s">
        <v>444</v>
      </c>
      <c r="C34" s="276"/>
      <c r="D34" s="206"/>
      <c r="E34" s="250"/>
      <c r="F34" s="251">
        <f>AVERAGE(F35:G44)</f>
        <v>100</v>
      </c>
      <c r="G34" s="252"/>
      <c r="H34" s="206"/>
      <c r="I34" s="251"/>
      <c r="J34" s="206"/>
      <c r="K34" s="204">
        <f>AVERAGE(K35:K44)</f>
        <v>42.051062937344454</v>
      </c>
      <c r="L34" s="204"/>
      <c r="M34" s="264">
        <f>SUM(M35:M45)</f>
        <v>323895252</v>
      </c>
      <c r="N34" s="265">
        <f>SUM(N35:N45)</f>
        <v>300920390</v>
      </c>
      <c r="O34" s="204">
        <f>+N34/M34*100</f>
        <v>92.906699972249058</v>
      </c>
      <c r="P34" s="204">
        <f>SUM(P35:P45)</f>
        <v>1323895252</v>
      </c>
      <c r="Q34" s="265">
        <f>SUM(Q35:Q45)</f>
        <v>300920390</v>
      </c>
      <c r="R34" s="204">
        <f>+(Q34/P34)*100</f>
        <v>22.72992440643635</v>
      </c>
      <c r="S34" s="66"/>
    </row>
    <row r="35" spans="1:19" ht="108.75" customHeight="1">
      <c r="A35" s="61"/>
      <c r="B35" s="232" t="s">
        <v>476</v>
      </c>
      <c r="C35" s="235" t="s">
        <v>1</v>
      </c>
      <c r="D35" s="244">
        <v>15</v>
      </c>
      <c r="E35" s="235">
        <v>15</v>
      </c>
      <c r="F35" s="235">
        <v>100</v>
      </c>
      <c r="G35" s="246"/>
      <c r="H35" s="226" t="s">
        <v>500</v>
      </c>
      <c r="I35" s="235">
        <v>100</v>
      </c>
      <c r="J35" s="226">
        <v>15</v>
      </c>
      <c r="K35" s="226">
        <v>15</v>
      </c>
      <c r="L35" s="238"/>
      <c r="M35" s="226">
        <v>0</v>
      </c>
      <c r="N35" s="235">
        <v>0</v>
      </c>
      <c r="O35" s="226">
        <v>0</v>
      </c>
      <c r="P35" s="226">
        <v>0</v>
      </c>
      <c r="Q35" s="226">
        <v>0</v>
      </c>
      <c r="R35" s="248">
        <v>0</v>
      </c>
      <c r="S35" s="66"/>
    </row>
    <row r="36" spans="1:19" ht="92.25" customHeight="1">
      <c r="A36" s="61"/>
      <c r="B36" s="239" t="s">
        <v>371</v>
      </c>
      <c r="C36" s="260" t="s">
        <v>439</v>
      </c>
      <c r="D36" s="277">
        <v>32894</v>
      </c>
      <c r="E36" s="235">
        <v>33160.36</v>
      </c>
      <c r="F36" s="235">
        <v>100</v>
      </c>
      <c r="G36" s="246"/>
      <c r="H36" s="226" t="s">
        <v>500</v>
      </c>
      <c r="I36" s="235">
        <v>220017</v>
      </c>
      <c r="J36" s="226">
        <v>33160.36</v>
      </c>
      <c r="K36" s="226">
        <v>15.071726275696879</v>
      </c>
      <c r="L36" s="238"/>
      <c r="M36" s="226">
        <v>153110000</v>
      </c>
      <c r="N36" s="235">
        <v>134742824</v>
      </c>
      <c r="O36" s="226">
        <v>88.003934426229506</v>
      </c>
      <c r="P36" s="226">
        <v>511986924</v>
      </c>
      <c r="Q36" s="226">
        <v>134742824</v>
      </c>
      <c r="R36" s="266">
        <v>26.317629940095895</v>
      </c>
      <c r="S36" s="66"/>
    </row>
    <row r="37" spans="1:19" ht="56.25" customHeight="1">
      <c r="A37" s="61"/>
      <c r="B37" s="278" t="s">
        <v>372</v>
      </c>
      <c r="C37" s="235" t="s">
        <v>481</v>
      </c>
      <c r="D37" s="244" t="s">
        <v>500</v>
      </c>
      <c r="E37" s="235" t="s">
        <v>500</v>
      </c>
      <c r="F37" s="245" t="s">
        <v>500</v>
      </c>
      <c r="G37" s="226"/>
      <c r="H37" s="226" t="s">
        <v>500</v>
      </c>
      <c r="I37" s="235">
        <v>100</v>
      </c>
      <c r="J37" s="226" t="s">
        <v>500</v>
      </c>
      <c r="K37" s="247" t="s">
        <v>500</v>
      </c>
      <c r="L37" s="238"/>
      <c r="M37" s="226" t="s">
        <v>500</v>
      </c>
      <c r="N37" s="235" t="s">
        <v>500</v>
      </c>
      <c r="O37" s="226">
        <v>0</v>
      </c>
      <c r="P37" s="226">
        <v>20000000</v>
      </c>
      <c r="Q37" s="226" t="s">
        <v>500</v>
      </c>
      <c r="R37" s="226">
        <v>0</v>
      </c>
      <c r="S37" s="66"/>
    </row>
    <row r="38" spans="1:19" ht="54.75" customHeight="1">
      <c r="A38" s="61"/>
      <c r="B38" s="278" t="s">
        <v>373</v>
      </c>
      <c r="C38" s="244" t="s">
        <v>491</v>
      </c>
      <c r="D38" s="244">
        <v>30</v>
      </c>
      <c r="E38" s="235">
        <v>30</v>
      </c>
      <c r="F38" s="235">
        <v>100</v>
      </c>
      <c r="G38" s="246"/>
      <c r="H38" s="226" t="s">
        <v>500</v>
      </c>
      <c r="I38" s="235">
        <v>120</v>
      </c>
      <c r="J38" s="226">
        <v>30</v>
      </c>
      <c r="K38" s="226">
        <v>25</v>
      </c>
      <c r="L38" s="238"/>
      <c r="M38" s="226">
        <v>50638283</v>
      </c>
      <c r="N38" s="235">
        <v>46680811</v>
      </c>
      <c r="O38" s="226">
        <v>92.184821906382567</v>
      </c>
      <c r="P38" s="226">
        <v>236635583</v>
      </c>
      <c r="Q38" s="226">
        <v>46680811</v>
      </c>
      <c r="R38" s="266">
        <v>19.726877254973104</v>
      </c>
      <c r="S38" s="66"/>
    </row>
    <row r="39" spans="1:19" ht="54" customHeight="1">
      <c r="A39" s="61"/>
      <c r="B39" s="278" t="s">
        <v>374</v>
      </c>
      <c r="C39" s="279" t="s">
        <v>183</v>
      </c>
      <c r="D39" s="244">
        <v>3</v>
      </c>
      <c r="E39" s="235">
        <v>3</v>
      </c>
      <c r="F39" s="235">
        <v>100</v>
      </c>
      <c r="G39" s="246"/>
      <c r="H39" s="226" t="s">
        <v>500</v>
      </c>
      <c r="I39" s="235">
        <v>3</v>
      </c>
      <c r="J39" s="226">
        <v>3</v>
      </c>
      <c r="K39" s="226">
        <v>100</v>
      </c>
      <c r="L39" s="238"/>
      <c r="M39" s="226">
        <v>35140000</v>
      </c>
      <c r="N39" s="235">
        <v>35140000</v>
      </c>
      <c r="O39" s="226">
        <v>100</v>
      </c>
      <c r="P39" s="226">
        <v>35140000</v>
      </c>
      <c r="Q39" s="226">
        <v>35140000</v>
      </c>
      <c r="R39" s="266">
        <v>100</v>
      </c>
      <c r="S39" s="66"/>
    </row>
    <row r="40" spans="1:19" ht="48.75" customHeight="1">
      <c r="A40" s="61"/>
      <c r="B40" s="278" t="s">
        <v>610</v>
      </c>
      <c r="C40" s="244" t="s">
        <v>504</v>
      </c>
      <c r="D40" s="244">
        <v>1</v>
      </c>
      <c r="E40" s="235">
        <v>1</v>
      </c>
      <c r="F40" s="235">
        <v>100</v>
      </c>
      <c r="G40" s="246"/>
      <c r="H40" s="226" t="s">
        <v>500</v>
      </c>
      <c r="I40" s="235">
        <v>7</v>
      </c>
      <c r="J40" s="226">
        <v>1</v>
      </c>
      <c r="K40" s="226">
        <v>14.285714285714285</v>
      </c>
      <c r="L40" s="238"/>
      <c r="M40" s="226">
        <v>49196000</v>
      </c>
      <c r="N40" s="235">
        <v>49194345</v>
      </c>
      <c r="O40" s="226">
        <v>99.996635905358161</v>
      </c>
      <c r="P40" s="226">
        <v>403701580</v>
      </c>
      <c r="Q40" s="226">
        <v>49194345</v>
      </c>
      <c r="R40" s="266">
        <v>12.185819287603481</v>
      </c>
      <c r="S40" s="66" t="s">
        <v>555</v>
      </c>
    </row>
    <row r="41" spans="1:19" ht="55.5" customHeight="1">
      <c r="A41" s="61"/>
      <c r="B41" s="243" t="s">
        <v>369</v>
      </c>
      <c r="C41" s="244" t="s">
        <v>1</v>
      </c>
      <c r="D41" s="244" t="s">
        <v>500</v>
      </c>
      <c r="E41" s="235" t="s">
        <v>500</v>
      </c>
      <c r="F41" s="235" t="s">
        <v>500</v>
      </c>
      <c r="G41" s="226"/>
      <c r="H41" s="226" t="s">
        <v>500</v>
      </c>
      <c r="I41" s="235">
        <v>100</v>
      </c>
      <c r="J41" s="226" t="s">
        <v>500</v>
      </c>
      <c r="K41" s="226" t="s">
        <v>500</v>
      </c>
      <c r="L41" s="238"/>
      <c r="M41" s="226">
        <v>0</v>
      </c>
      <c r="N41" s="235">
        <v>0</v>
      </c>
      <c r="O41" s="226">
        <v>0</v>
      </c>
      <c r="P41" s="226">
        <v>0</v>
      </c>
      <c r="Q41" s="226">
        <v>0</v>
      </c>
      <c r="R41" s="266">
        <v>0</v>
      </c>
      <c r="S41" s="66"/>
    </row>
    <row r="42" spans="1:19" ht="30" customHeight="1">
      <c r="A42" s="61"/>
      <c r="B42" s="239" t="s">
        <v>375</v>
      </c>
      <c r="C42" s="244" t="s">
        <v>131</v>
      </c>
      <c r="D42" s="244" t="s">
        <v>500</v>
      </c>
      <c r="E42" s="235" t="s">
        <v>500</v>
      </c>
      <c r="F42" s="235" t="s">
        <v>500</v>
      </c>
      <c r="G42" s="226"/>
      <c r="H42" s="226" t="s">
        <v>500</v>
      </c>
      <c r="I42" s="235">
        <v>3</v>
      </c>
      <c r="J42" s="226" t="s">
        <v>500</v>
      </c>
      <c r="K42" s="226" t="s">
        <v>500</v>
      </c>
      <c r="L42" s="238"/>
      <c r="M42" s="226">
        <v>0</v>
      </c>
      <c r="N42" s="235">
        <v>0</v>
      </c>
      <c r="O42" s="226">
        <v>0</v>
      </c>
      <c r="P42" s="226">
        <v>0</v>
      </c>
      <c r="Q42" s="226">
        <v>0</v>
      </c>
      <c r="R42" s="266">
        <v>0</v>
      </c>
      <c r="S42" s="66"/>
    </row>
    <row r="43" spans="1:19" ht="30" customHeight="1">
      <c r="A43" s="61"/>
      <c r="B43" s="243" t="s">
        <v>370</v>
      </c>
      <c r="C43" s="244" t="s">
        <v>1</v>
      </c>
      <c r="D43" s="244">
        <v>100</v>
      </c>
      <c r="E43" s="235">
        <v>100</v>
      </c>
      <c r="F43" s="235">
        <v>100</v>
      </c>
      <c r="G43" s="246"/>
      <c r="H43" s="226" t="s">
        <v>500</v>
      </c>
      <c r="I43" s="235">
        <v>100</v>
      </c>
      <c r="J43" s="226">
        <v>100</v>
      </c>
      <c r="K43" s="226">
        <v>100</v>
      </c>
      <c r="L43" s="238"/>
      <c r="M43" s="226">
        <v>0</v>
      </c>
      <c r="N43" s="235">
        <v>0</v>
      </c>
      <c r="O43" s="226">
        <v>0</v>
      </c>
      <c r="P43" s="226">
        <v>0</v>
      </c>
      <c r="Q43" s="226">
        <v>0</v>
      </c>
      <c r="R43" s="266">
        <v>0</v>
      </c>
      <c r="S43" s="66"/>
    </row>
    <row r="44" spans="1:19" ht="42.75" customHeight="1">
      <c r="A44" s="61"/>
      <c r="B44" s="239" t="s">
        <v>376</v>
      </c>
      <c r="C44" s="244" t="s">
        <v>377</v>
      </c>
      <c r="D44" s="244">
        <v>1</v>
      </c>
      <c r="E44" s="235">
        <v>1</v>
      </c>
      <c r="F44" s="235">
        <v>100</v>
      </c>
      <c r="G44" s="246"/>
      <c r="H44" s="226" t="s">
        <v>500</v>
      </c>
      <c r="I44" s="235">
        <v>1</v>
      </c>
      <c r="J44" s="226">
        <v>1</v>
      </c>
      <c r="K44" s="226">
        <v>25</v>
      </c>
      <c r="L44" s="238"/>
      <c r="M44" s="226">
        <v>0</v>
      </c>
      <c r="N44" s="235">
        <v>0</v>
      </c>
      <c r="O44" s="226">
        <v>0</v>
      </c>
      <c r="P44" s="226">
        <v>5923600</v>
      </c>
      <c r="Q44" s="226">
        <v>0</v>
      </c>
      <c r="R44" s="266">
        <v>0</v>
      </c>
      <c r="S44" s="66"/>
    </row>
    <row r="45" spans="1:19" ht="30" customHeight="1">
      <c r="A45" s="61"/>
      <c r="B45" s="278" t="s">
        <v>495</v>
      </c>
      <c r="C45" s="244" t="s">
        <v>496</v>
      </c>
      <c r="D45" s="244" t="s">
        <v>507</v>
      </c>
      <c r="E45" s="235" t="s">
        <v>507</v>
      </c>
      <c r="F45" s="235" t="s">
        <v>509</v>
      </c>
      <c r="G45" s="246"/>
      <c r="H45" s="226" t="s">
        <v>500</v>
      </c>
      <c r="I45" s="235" t="s">
        <v>500</v>
      </c>
      <c r="J45" s="226" t="s">
        <v>507</v>
      </c>
      <c r="K45" s="226" t="s">
        <v>500</v>
      </c>
      <c r="L45" s="238"/>
      <c r="M45" s="226">
        <v>35810969</v>
      </c>
      <c r="N45" s="235">
        <v>35162410</v>
      </c>
      <c r="O45" s="226">
        <v>0</v>
      </c>
      <c r="P45" s="226">
        <v>110507565</v>
      </c>
      <c r="Q45" s="226">
        <v>35162410</v>
      </c>
      <c r="R45" s="266">
        <v>31.819007142180716</v>
      </c>
      <c r="S45" s="66"/>
    </row>
    <row r="46" spans="1:19" ht="63.75" customHeight="1">
      <c r="A46" s="61"/>
      <c r="B46" s="208" t="s">
        <v>445</v>
      </c>
      <c r="C46" s="206"/>
      <c r="D46" s="205"/>
      <c r="E46" s="250"/>
      <c r="F46" s="251">
        <f>AVERAGE(F47:F53)</f>
        <v>100</v>
      </c>
      <c r="G46" s="252"/>
      <c r="H46" s="206"/>
      <c r="I46" s="280"/>
      <c r="J46" s="206"/>
      <c r="K46" s="204">
        <f>AVERAGE(K47:K53)</f>
        <v>62.885714633262147</v>
      </c>
      <c r="L46" s="204"/>
      <c r="M46" s="254">
        <f>SUM(M48:M54)</f>
        <v>1661784304</v>
      </c>
      <c r="N46" s="265">
        <f>SUM(N47:N54)</f>
        <v>1646505841</v>
      </c>
      <c r="O46" s="254">
        <f>+(N46/M46)*100</f>
        <v>99.080598910266275</v>
      </c>
      <c r="P46" s="254">
        <f>SUM(P47:P54)</f>
        <v>6087802710.8500004</v>
      </c>
      <c r="Q46" s="265">
        <f>SUM(Q47:Q54)</f>
        <v>1646505841</v>
      </c>
      <c r="R46" s="204">
        <f>+(Q46/P46)*100</f>
        <v>27.045978971452396</v>
      </c>
      <c r="S46" s="66"/>
    </row>
    <row r="47" spans="1:19" ht="111.75" customHeight="1">
      <c r="A47" s="61"/>
      <c r="B47" s="243" t="s">
        <v>378</v>
      </c>
      <c r="C47" s="235" t="s">
        <v>1</v>
      </c>
      <c r="D47" s="235">
        <v>100</v>
      </c>
      <c r="E47" s="235">
        <v>100</v>
      </c>
      <c r="F47" s="235">
        <v>100</v>
      </c>
      <c r="G47" s="246"/>
      <c r="H47" s="226" t="s">
        <v>500</v>
      </c>
      <c r="I47" s="235">
        <v>100</v>
      </c>
      <c r="J47" s="281">
        <v>100</v>
      </c>
      <c r="K47" s="226">
        <v>100</v>
      </c>
      <c r="L47" s="238"/>
      <c r="M47" s="282"/>
      <c r="N47" s="235">
        <v>0</v>
      </c>
      <c r="O47" s="226">
        <v>0</v>
      </c>
      <c r="P47" s="226">
        <v>0</v>
      </c>
      <c r="Q47" s="226">
        <v>0</v>
      </c>
      <c r="R47" s="248">
        <v>0</v>
      </c>
      <c r="S47" s="66"/>
    </row>
    <row r="48" spans="1:19" ht="78" customHeight="1">
      <c r="A48" s="61"/>
      <c r="B48" s="29" t="s">
        <v>612</v>
      </c>
      <c r="C48" s="260" t="s">
        <v>439</v>
      </c>
      <c r="D48" s="235">
        <v>35140</v>
      </c>
      <c r="E48" s="235">
        <v>35140</v>
      </c>
      <c r="F48" s="235">
        <v>100</v>
      </c>
      <c r="G48" s="246"/>
      <c r="H48" s="226" t="s">
        <v>500</v>
      </c>
      <c r="I48" s="235">
        <v>192128</v>
      </c>
      <c r="J48" s="281">
        <v>35140</v>
      </c>
      <c r="K48" s="226">
        <v>18.289890073284475</v>
      </c>
      <c r="L48" s="238"/>
      <c r="M48" s="226">
        <v>1418862043</v>
      </c>
      <c r="N48" s="235">
        <v>1413507357</v>
      </c>
      <c r="O48" s="226">
        <v>99.622607002110072</v>
      </c>
      <c r="P48" s="226">
        <v>1807807422</v>
      </c>
      <c r="Q48" s="226">
        <v>1413507357</v>
      </c>
      <c r="R48" s="266">
        <v>78.189044905912553</v>
      </c>
      <c r="S48" s="66" t="s">
        <v>553</v>
      </c>
    </row>
    <row r="49" spans="1:19" ht="78" customHeight="1">
      <c r="A49" s="61"/>
      <c r="B49" s="239" t="s">
        <v>611</v>
      </c>
      <c r="C49" s="260" t="s">
        <v>439</v>
      </c>
      <c r="D49" s="235">
        <v>186743</v>
      </c>
      <c r="E49" s="235">
        <v>186743</v>
      </c>
      <c r="F49" s="235">
        <v>100</v>
      </c>
      <c r="G49" s="246"/>
      <c r="H49" s="226" t="s">
        <v>500</v>
      </c>
      <c r="I49" s="235">
        <v>112666</v>
      </c>
      <c r="J49" s="281">
        <v>186743</v>
      </c>
      <c r="K49" s="226">
        <v>100</v>
      </c>
      <c r="L49" s="238"/>
      <c r="M49" s="226">
        <v>0</v>
      </c>
      <c r="N49" s="235">
        <v>0</v>
      </c>
      <c r="O49" s="226">
        <v>0</v>
      </c>
      <c r="P49" s="226">
        <v>2841627491</v>
      </c>
      <c r="Q49" s="226">
        <v>0</v>
      </c>
      <c r="R49" s="266">
        <v>0</v>
      </c>
      <c r="S49" s="66" t="s">
        <v>553</v>
      </c>
    </row>
    <row r="50" spans="1:19" ht="56.25" customHeight="1">
      <c r="A50" s="61"/>
      <c r="B50" s="243" t="s">
        <v>379</v>
      </c>
      <c r="C50" s="235" t="s">
        <v>1</v>
      </c>
      <c r="D50" s="235">
        <v>25</v>
      </c>
      <c r="E50" s="235">
        <v>25</v>
      </c>
      <c r="F50" s="235">
        <v>100</v>
      </c>
      <c r="G50" s="246"/>
      <c r="H50" s="226" t="s">
        <v>500</v>
      </c>
      <c r="I50" s="235">
        <v>100</v>
      </c>
      <c r="J50" s="281">
        <v>25</v>
      </c>
      <c r="K50" s="226">
        <v>25</v>
      </c>
      <c r="L50" s="238"/>
      <c r="M50" s="226">
        <v>0</v>
      </c>
      <c r="N50" s="235">
        <v>0</v>
      </c>
      <c r="O50" s="226">
        <v>0</v>
      </c>
      <c r="P50" s="226">
        <v>0</v>
      </c>
      <c r="Q50" s="226">
        <v>0</v>
      </c>
      <c r="R50" s="266">
        <v>0</v>
      </c>
      <c r="S50" s="66" t="s">
        <v>555</v>
      </c>
    </row>
    <row r="51" spans="1:19" ht="54.75" customHeight="1">
      <c r="A51" s="61"/>
      <c r="B51" s="239" t="s">
        <v>381</v>
      </c>
      <c r="C51" s="244" t="s">
        <v>182</v>
      </c>
      <c r="D51" s="235">
        <v>192</v>
      </c>
      <c r="E51" s="235">
        <v>192</v>
      </c>
      <c r="F51" s="235">
        <v>100</v>
      </c>
      <c r="G51" s="246"/>
      <c r="H51" s="226" t="s">
        <v>500</v>
      </c>
      <c r="I51" s="235">
        <v>267</v>
      </c>
      <c r="J51" s="281">
        <v>192</v>
      </c>
      <c r="K51" s="226">
        <v>71.910112359550567</v>
      </c>
      <c r="L51" s="238"/>
      <c r="M51" s="226">
        <v>168042178</v>
      </c>
      <c r="N51" s="235">
        <v>160448537</v>
      </c>
      <c r="O51" s="226">
        <v>95.481110105583127</v>
      </c>
      <c r="P51" s="226">
        <v>874090594</v>
      </c>
      <c r="Q51" s="226">
        <v>160448537</v>
      </c>
      <c r="R51" s="266">
        <v>18.356053491636132</v>
      </c>
      <c r="S51" s="66" t="s">
        <v>556</v>
      </c>
    </row>
    <row r="52" spans="1:19" ht="107.25" customHeight="1">
      <c r="A52" s="61"/>
      <c r="B52" s="243" t="s">
        <v>380</v>
      </c>
      <c r="C52" s="244" t="s">
        <v>179</v>
      </c>
      <c r="D52" s="235">
        <v>100</v>
      </c>
      <c r="E52" s="235">
        <v>100</v>
      </c>
      <c r="F52" s="235">
        <v>100</v>
      </c>
      <c r="G52" s="246"/>
      <c r="H52" s="226" t="s">
        <v>500</v>
      </c>
      <c r="I52" s="235">
        <v>100</v>
      </c>
      <c r="J52" s="281">
        <v>100</v>
      </c>
      <c r="K52" s="226">
        <v>100</v>
      </c>
      <c r="L52" s="238"/>
      <c r="M52" s="226">
        <v>0</v>
      </c>
      <c r="N52" s="235">
        <v>0</v>
      </c>
      <c r="O52" s="226">
        <v>0</v>
      </c>
      <c r="P52" s="226">
        <v>0</v>
      </c>
      <c r="Q52" s="226">
        <v>0</v>
      </c>
      <c r="R52" s="266">
        <v>0</v>
      </c>
      <c r="S52" s="66"/>
    </row>
    <row r="53" spans="1:19" ht="107.25" customHeight="1">
      <c r="A53" s="61"/>
      <c r="B53" s="239" t="s">
        <v>441</v>
      </c>
      <c r="C53" s="233" t="s">
        <v>377</v>
      </c>
      <c r="D53" s="235">
        <v>4</v>
      </c>
      <c r="E53" s="235">
        <v>4</v>
      </c>
      <c r="F53" s="235">
        <v>100</v>
      </c>
      <c r="G53" s="246"/>
      <c r="H53" s="226" t="s">
        <v>500</v>
      </c>
      <c r="I53" s="235">
        <v>4</v>
      </c>
      <c r="J53" s="281">
        <v>4</v>
      </c>
      <c r="K53" s="226">
        <v>25</v>
      </c>
      <c r="L53" s="238"/>
      <c r="M53" s="226">
        <v>65978274</v>
      </c>
      <c r="N53" s="235">
        <v>64018744</v>
      </c>
      <c r="O53" s="226">
        <v>97.030037493857449</v>
      </c>
      <c r="P53" s="226">
        <v>468004324.85000002</v>
      </c>
      <c r="Q53" s="226">
        <v>64018744</v>
      </c>
      <c r="R53" s="266">
        <v>13.679092393113809</v>
      </c>
      <c r="S53" s="66"/>
    </row>
    <row r="54" spans="1:19" ht="107.25" customHeight="1">
      <c r="A54" s="61"/>
      <c r="B54" s="278" t="s">
        <v>495</v>
      </c>
      <c r="C54" s="244" t="s">
        <v>496</v>
      </c>
      <c r="D54" s="235" t="s">
        <v>507</v>
      </c>
      <c r="E54" s="233" t="s">
        <v>507</v>
      </c>
      <c r="F54" s="235" t="s">
        <v>500</v>
      </c>
      <c r="G54" s="246"/>
      <c r="H54" s="226" t="s">
        <v>500</v>
      </c>
      <c r="I54" s="226" t="s">
        <v>500</v>
      </c>
      <c r="J54" s="281" t="s">
        <v>507</v>
      </c>
      <c r="K54" s="226" t="s">
        <v>507</v>
      </c>
      <c r="L54" s="238"/>
      <c r="M54" s="226">
        <v>8901809</v>
      </c>
      <c r="N54" s="235">
        <v>8531203</v>
      </c>
      <c r="O54" s="226">
        <v>95.836733859376224</v>
      </c>
      <c r="P54" s="226">
        <v>96272879</v>
      </c>
      <c r="Q54" s="226">
        <v>8531203</v>
      </c>
      <c r="R54" s="266">
        <v>8.8614811238791358</v>
      </c>
      <c r="S54" s="66"/>
    </row>
    <row r="55" spans="1:19" ht="66.75" customHeight="1">
      <c r="A55" s="61"/>
      <c r="B55" s="267" t="s">
        <v>446</v>
      </c>
      <c r="C55" s="268"/>
      <c r="D55" s="272"/>
      <c r="E55" s="283"/>
      <c r="F55" s="270">
        <f>AVERAGE(F56,F64)</f>
        <v>97.5</v>
      </c>
      <c r="G55" s="271"/>
      <c r="H55" s="268"/>
      <c r="I55" s="284"/>
      <c r="J55" s="272"/>
      <c r="K55" s="274">
        <f>AVERAGE(K56,K64)</f>
        <v>29.904040404040401</v>
      </c>
      <c r="L55" s="274"/>
      <c r="M55" s="285">
        <f>+M56+M64</f>
        <v>6601341452</v>
      </c>
      <c r="N55" s="285">
        <f>+N56+N64</f>
        <v>6311475737</v>
      </c>
      <c r="O55" s="274">
        <f>+N55/M55*100</f>
        <v>95.608987701852925</v>
      </c>
      <c r="P55" s="285">
        <f>+P56+P64</f>
        <v>10717494829.75</v>
      </c>
      <c r="Q55" s="285">
        <f>+Q56+Q64</f>
        <v>6311475737</v>
      </c>
      <c r="R55" s="274">
        <f>+Q55/P55*100</f>
        <v>58.889468455635573</v>
      </c>
      <c r="S55" s="66"/>
    </row>
    <row r="56" spans="1:19" ht="47.25" customHeight="1">
      <c r="A56" s="61"/>
      <c r="B56" s="208" t="s">
        <v>447</v>
      </c>
      <c r="C56" s="286"/>
      <c r="D56" s="205"/>
      <c r="E56" s="287"/>
      <c r="F56" s="251">
        <f>AVERAGE(F57:F62)</f>
        <v>100</v>
      </c>
      <c r="G56" s="252"/>
      <c r="H56" s="206"/>
      <c r="I56" s="288"/>
      <c r="J56" s="286"/>
      <c r="K56" s="204">
        <f>AVERAGE(K57:K63)</f>
        <v>29.808080808080806</v>
      </c>
      <c r="L56" s="204"/>
      <c r="M56" s="202">
        <f>+SUM(M57:M63)</f>
        <v>6454547219</v>
      </c>
      <c r="N56" s="265">
        <f>SUM(N57:N63)</f>
        <v>6187869567</v>
      </c>
      <c r="O56" s="204">
        <f>+N56/M56*100</f>
        <v>95.868375535080276</v>
      </c>
      <c r="P56" s="254">
        <f>SUM(P57:P63)</f>
        <v>8996516896.75</v>
      </c>
      <c r="Q56" s="265">
        <f>SUM(Q57:Q63)</f>
        <v>6187869567</v>
      </c>
      <c r="R56" s="204">
        <f>+(Q56/P56)*100</f>
        <v>68.780725229731672</v>
      </c>
      <c r="S56" s="66"/>
    </row>
    <row r="57" spans="1:19" ht="93.75" customHeight="1">
      <c r="A57" s="61"/>
      <c r="B57" s="232" t="s">
        <v>382</v>
      </c>
      <c r="C57" s="244" t="s">
        <v>1</v>
      </c>
      <c r="D57" s="235">
        <v>25</v>
      </c>
      <c r="E57" s="235">
        <v>25</v>
      </c>
      <c r="F57" s="235">
        <v>100</v>
      </c>
      <c r="G57" s="246"/>
      <c r="H57" s="226" t="s">
        <v>500</v>
      </c>
      <c r="I57" s="235">
        <v>100</v>
      </c>
      <c r="J57" s="226">
        <v>25</v>
      </c>
      <c r="K57" s="226">
        <v>25</v>
      </c>
      <c r="L57" s="238"/>
      <c r="M57" s="226">
        <v>80922400</v>
      </c>
      <c r="N57" s="235">
        <v>80922400</v>
      </c>
      <c r="O57" s="226">
        <v>100</v>
      </c>
      <c r="P57" s="226">
        <v>698283600</v>
      </c>
      <c r="Q57" s="226">
        <v>80922400</v>
      </c>
      <c r="R57" s="248">
        <v>0</v>
      </c>
      <c r="S57" s="66"/>
    </row>
    <row r="58" spans="1:19" ht="93.75" customHeight="1">
      <c r="A58" s="61"/>
      <c r="B58" s="243" t="s">
        <v>383</v>
      </c>
      <c r="C58" s="244" t="s">
        <v>1</v>
      </c>
      <c r="D58" s="235">
        <v>19</v>
      </c>
      <c r="E58" s="235">
        <v>19</v>
      </c>
      <c r="F58" s="235">
        <v>100</v>
      </c>
      <c r="G58" s="246"/>
      <c r="H58" s="226" t="s">
        <v>500</v>
      </c>
      <c r="I58" s="235">
        <v>100</v>
      </c>
      <c r="J58" s="226">
        <v>19</v>
      </c>
      <c r="K58" s="226">
        <v>19</v>
      </c>
      <c r="L58" s="238"/>
      <c r="M58" s="226">
        <v>0</v>
      </c>
      <c r="N58" s="235">
        <v>0</v>
      </c>
      <c r="O58" s="226">
        <v>0</v>
      </c>
      <c r="P58" s="226">
        <v>0</v>
      </c>
      <c r="Q58" s="226">
        <v>0</v>
      </c>
      <c r="R58" s="248">
        <v>0</v>
      </c>
      <c r="S58" s="66"/>
    </row>
    <row r="59" spans="1:19" ht="57.75" customHeight="1">
      <c r="A59" s="61"/>
      <c r="B59" s="289" t="s">
        <v>384</v>
      </c>
      <c r="C59" s="244" t="s">
        <v>482</v>
      </c>
      <c r="D59" s="235">
        <v>2</v>
      </c>
      <c r="E59" s="235">
        <v>2</v>
      </c>
      <c r="F59" s="235">
        <v>100</v>
      </c>
      <c r="G59" s="246"/>
      <c r="H59" s="226" t="s">
        <v>500</v>
      </c>
      <c r="I59" s="235">
        <v>11</v>
      </c>
      <c r="J59" s="226">
        <v>2</v>
      </c>
      <c r="K59" s="226">
        <v>18.181818181818183</v>
      </c>
      <c r="L59" s="238"/>
      <c r="M59" s="226">
        <v>1655479575</v>
      </c>
      <c r="N59" s="235">
        <v>1397054484</v>
      </c>
      <c r="O59" s="226">
        <v>84.389714321905785</v>
      </c>
      <c r="P59" s="226">
        <v>2360828382</v>
      </c>
      <c r="Q59" s="226">
        <v>1397054484</v>
      </c>
      <c r="R59" s="266">
        <v>59.176452411863622</v>
      </c>
      <c r="S59" s="66"/>
    </row>
    <row r="60" spans="1:19" ht="61.5" customHeight="1">
      <c r="A60" s="61"/>
      <c r="B60" s="290" t="s">
        <v>503</v>
      </c>
      <c r="C60" s="244" t="s">
        <v>386</v>
      </c>
      <c r="D60" s="235">
        <v>1</v>
      </c>
      <c r="E60" s="235">
        <v>1</v>
      </c>
      <c r="F60" s="235">
        <v>100</v>
      </c>
      <c r="G60" s="246"/>
      <c r="H60" s="226" t="s">
        <v>500</v>
      </c>
      <c r="I60" s="235">
        <v>1</v>
      </c>
      <c r="J60" s="226">
        <v>1</v>
      </c>
      <c r="K60" s="226">
        <v>25</v>
      </c>
      <c r="L60" s="238"/>
      <c r="M60" s="226">
        <v>23493600</v>
      </c>
      <c r="N60" s="235">
        <v>23493600</v>
      </c>
      <c r="O60" s="226">
        <v>100</v>
      </c>
      <c r="P60" s="226">
        <v>180547367</v>
      </c>
      <c r="Q60" s="226">
        <v>23493600</v>
      </c>
      <c r="R60" s="266">
        <v>13.012430139731698</v>
      </c>
      <c r="S60" s="66"/>
    </row>
    <row r="61" spans="1:19" ht="56.25" customHeight="1">
      <c r="A61" s="61"/>
      <c r="B61" s="290" t="s">
        <v>387</v>
      </c>
      <c r="C61" s="244" t="s">
        <v>388</v>
      </c>
      <c r="D61" s="235">
        <v>2</v>
      </c>
      <c r="E61" s="235">
        <v>2</v>
      </c>
      <c r="F61" s="235">
        <v>100</v>
      </c>
      <c r="G61" s="246"/>
      <c r="H61" s="226" t="s">
        <v>500</v>
      </c>
      <c r="I61" s="235">
        <v>8</v>
      </c>
      <c r="J61" s="226">
        <v>2</v>
      </c>
      <c r="K61" s="226">
        <v>25</v>
      </c>
      <c r="L61" s="238"/>
      <c r="M61" s="226">
        <v>0</v>
      </c>
      <c r="N61" s="235">
        <v>0</v>
      </c>
      <c r="O61" s="226">
        <v>0</v>
      </c>
      <c r="P61" s="226">
        <v>157053767</v>
      </c>
      <c r="Q61" s="226">
        <v>0</v>
      </c>
      <c r="R61" s="266">
        <v>0</v>
      </c>
      <c r="S61" s="66"/>
    </row>
    <row r="62" spans="1:19" ht="102" customHeight="1">
      <c r="A62" s="61"/>
      <c r="B62" s="278" t="s">
        <v>389</v>
      </c>
      <c r="C62" s="244" t="s">
        <v>388</v>
      </c>
      <c r="D62" s="235">
        <v>1</v>
      </c>
      <c r="E62" s="235">
        <v>1</v>
      </c>
      <c r="F62" s="235">
        <v>100</v>
      </c>
      <c r="G62" s="246"/>
      <c r="H62" s="226" t="s">
        <v>500</v>
      </c>
      <c r="I62" s="235">
        <v>1.5</v>
      </c>
      <c r="J62" s="226">
        <v>1</v>
      </c>
      <c r="K62" s="226">
        <v>66.666666666666657</v>
      </c>
      <c r="L62" s="238"/>
      <c r="M62" s="226">
        <v>4676133681</v>
      </c>
      <c r="N62" s="235">
        <v>4668911244</v>
      </c>
      <c r="O62" s="226">
        <v>99.845546823664463</v>
      </c>
      <c r="P62" s="226">
        <v>5524162517.75</v>
      </c>
      <c r="Q62" s="226">
        <v>4668911244</v>
      </c>
      <c r="R62" s="266">
        <v>84.517992166198169</v>
      </c>
      <c r="S62" s="66"/>
    </row>
    <row r="63" spans="1:19" ht="56.25" customHeight="1">
      <c r="A63" s="61"/>
      <c r="B63" s="278" t="s">
        <v>495</v>
      </c>
      <c r="C63" s="244" t="s">
        <v>496</v>
      </c>
      <c r="D63" s="235" t="s">
        <v>507</v>
      </c>
      <c r="E63" s="235" t="s">
        <v>507</v>
      </c>
      <c r="F63" s="235" t="s">
        <v>500</v>
      </c>
      <c r="G63" s="235">
        <v>0</v>
      </c>
      <c r="H63" s="235" t="s">
        <v>500</v>
      </c>
      <c r="I63" s="235" t="s">
        <v>500</v>
      </c>
      <c r="J63" s="235" t="s">
        <v>507</v>
      </c>
      <c r="K63" s="226" t="s">
        <v>500</v>
      </c>
      <c r="L63" s="238"/>
      <c r="M63" s="226">
        <v>18517963</v>
      </c>
      <c r="N63" s="235">
        <v>17487839</v>
      </c>
      <c r="O63" s="226">
        <v>94.437163526031455</v>
      </c>
      <c r="P63" s="226">
        <v>75641263</v>
      </c>
      <c r="Q63" s="226">
        <v>17487839</v>
      </c>
      <c r="R63" s="266">
        <v>23.11944341807196</v>
      </c>
      <c r="S63" s="66"/>
    </row>
    <row r="64" spans="1:19" ht="61.5" customHeight="1">
      <c r="A64" s="61"/>
      <c r="B64" s="208" t="s">
        <v>448</v>
      </c>
      <c r="C64" s="206"/>
      <c r="D64" s="205"/>
      <c r="E64" s="287"/>
      <c r="F64" s="251">
        <f>AVERAGE(F65:F68)</f>
        <v>95</v>
      </c>
      <c r="G64" s="252"/>
      <c r="H64" s="206"/>
      <c r="I64" s="288"/>
      <c r="J64" s="205"/>
      <c r="K64" s="204">
        <f>AVERAGE(K65:K68)</f>
        <v>30</v>
      </c>
      <c r="L64" s="204"/>
      <c r="M64" s="291">
        <f>SUM(M65:M68)</f>
        <v>146794233</v>
      </c>
      <c r="N64" s="265">
        <f>SUM(N65:N68)</f>
        <v>123606170</v>
      </c>
      <c r="O64" s="204">
        <f>+N64/M64*100</f>
        <v>84.203696203787516</v>
      </c>
      <c r="P64" s="204">
        <f>SUM(P65:P68)</f>
        <v>1720977933</v>
      </c>
      <c r="Q64" s="265">
        <f>SUM(Q65:Q68)</f>
        <v>123606170</v>
      </c>
      <c r="R64" s="204">
        <f>+(Q64/P64)*100</f>
        <v>7.1823216108605381</v>
      </c>
      <c r="S64" s="66"/>
    </row>
    <row r="65" spans="1:19" ht="54.75" customHeight="1">
      <c r="A65" s="61"/>
      <c r="B65" s="232" t="s">
        <v>390</v>
      </c>
      <c r="C65" s="244" t="s">
        <v>1</v>
      </c>
      <c r="D65" s="235">
        <v>30</v>
      </c>
      <c r="E65" s="235">
        <v>30</v>
      </c>
      <c r="F65" s="235">
        <v>100</v>
      </c>
      <c r="G65" s="246"/>
      <c r="H65" s="226" t="s">
        <v>500</v>
      </c>
      <c r="I65" s="235">
        <v>100</v>
      </c>
      <c r="J65" s="226">
        <v>30</v>
      </c>
      <c r="K65" s="226">
        <v>30</v>
      </c>
      <c r="L65" s="238"/>
      <c r="M65" s="226">
        <v>0</v>
      </c>
      <c r="N65" s="235">
        <v>0</v>
      </c>
      <c r="O65" s="226">
        <v>0</v>
      </c>
      <c r="P65" s="226">
        <v>0</v>
      </c>
      <c r="Q65" s="226">
        <v>0</v>
      </c>
      <c r="R65" s="248">
        <v>0</v>
      </c>
      <c r="S65" s="66"/>
    </row>
    <row r="66" spans="1:19" ht="66" customHeight="1">
      <c r="A66" s="61"/>
      <c r="B66" s="255" t="s">
        <v>392</v>
      </c>
      <c r="C66" s="233" t="s">
        <v>129</v>
      </c>
      <c r="D66" s="235">
        <v>2</v>
      </c>
      <c r="E66" s="235">
        <v>2</v>
      </c>
      <c r="F66" s="235">
        <v>100</v>
      </c>
      <c r="G66" s="246"/>
      <c r="H66" s="226" t="s">
        <v>500</v>
      </c>
      <c r="I66" s="235">
        <v>8</v>
      </c>
      <c r="J66" s="226">
        <v>2</v>
      </c>
      <c r="K66" s="226">
        <v>25</v>
      </c>
      <c r="L66" s="238"/>
      <c r="M66" s="226">
        <v>0</v>
      </c>
      <c r="N66" s="235">
        <v>0</v>
      </c>
      <c r="O66" s="226">
        <v>0</v>
      </c>
      <c r="P66" s="226">
        <v>348000000</v>
      </c>
      <c r="Q66" s="226">
        <v>0</v>
      </c>
      <c r="R66" s="248">
        <v>0</v>
      </c>
      <c r="S66" s="66"/>
    </row>
    <row r="67" spans="1:19" ht="56.25" customHeight="1">
      <c r="A67" s="61"/>
      <c r="B67" s="249" t="s">
        <v>393</v>
      </c>
      <c r="C67" s="244" t="s">
        <v>395</v>
      </c>
      <c r="D67" s="235">
        <v>1</v>
      </c>
      <c r="E67" s="245">
        <v>0.8</v>
      </c>
      <c r="F67" s="235">
        <v>80</v>
      </c>
      <c r="G67" s="246"/>
      <c r="H67" s="226" t="s">
        <v>500</v>
      </c>
      <c r="I67" s="235">
        <v>2</v>
      </c>
      <c r="J67" s="247">
        <v>0.8</v>
      </c>
      <c r="K67" s="226">
        <v>40</v>
      </c>
      <c r="L67" s="238"/>
      <c r="M67" s="226">
        <v>50200000</v>
      </c>
      <c r="N67" s="235">
        <v>50200000</v>
      </c>
      <c r="O67" s="226">
        <v>0</v>
      </c>
      <c r="P67" s="226">
        <v>130200000</v>
      </c>
      <c r="Q67" s="226">
        <v>50200000</v>
      </c>
      <c r="R67" s="266">
        <v>38.556067588325654</v>
      </c>
      <c r="S67" s="66"/>
    </row>
    <row r="68" spans="1:19" ht="80.25" customHeight="1">
      <c r="A68" s="61"/>
      <c r="B68" s="249" t="s">
        <v>394</v>
      </c>
      <c r="C68" s="244" t="s">
        <v>129</v>
      </c>
      <c r="D68" s="235">
        <v>1</v>
      </c>
      <c r="E68" s="235">
        <v>1</v>
      </c>
      <c r="F68" s="235">
        <v>100</v>
      </c>
      <c r="G68" s="246"/>
      <c r="H68" s="226" t="s">
        <v>500</v>
      </c>
      <c r="I68" s="235">
        <v>4</v>
      </c>
      <c r="J68" s="226">
        <v>1</v>
      </c>
      <c r="K68" s="226">
        <v>25</v>
      </c>
      <c r="L68" s="238"/>
      <c r="M68" s="226">
        <v>96594233</v>
      </c>
      <c r="N68" s="235">
        <v>73406170</v>
      </c>
      <c r="O68" s="226">
        <v>0</v>
      </c>
      <c r="P68" s="226">
        <v>1242777933</v>
      </c>
      <c r="Q68" s="226">
        <v>73406170</v>
      </c>
      <c r="R68" s="266">
        <v>5.9066200043318595</v>
      </c>
      <c r="S68" s="66"/>
    </row>
    <row r="69" spans="1:19" ht="51" customHeight="1">
      <c r="A69" s="61"/>
      <c r="B69" s="267" t="s">
        <v>449</v>
      </c>
      <c r="C69" s="268"/>
      <c r="D69" s="272"/>
      <c r="E69" s="292"/>
      <c r="F69" s="270">
        <f>AVERAGE(F70)</f>
        <v>100</v>
      </c>
      <c r="G69" s="274"/>
      <c r="H69" s="268"/>
      <c r="I69" s="284"/>
      <c r="J69" s="272"/>
      <c r="K69" s="274">
        <f>AVERAGE(K70)</f>
        <v>27.142857142857142</v>
      </c>
      <c r="L69" s="274"/>
      <c r="M69" s="293">
        <f>+M70</f>
        <v>2036722815</v>
      </c>
      <c r="N69" s="293">
        <f>+N70</f>
        <v>2000666263</v>
      </c>
      <c r="O69" s="274">
        <f>+N69/M69*100</f>
        <v>98.229678003582436</v>
      </c>
      <c r="P69" s="293">
        <f>+P70</f>
        <v>9709279039.4675484</v>
      </c>
      <c r="Q69" s="293">
        <f>+Q70</f>
        <v>2000666263</v>
      </c>
      <c r="R69" s="274">
        <f>+Q69/P69*100</f>
        <v>20.605713924457518</v>
      </c>
      <c r="S69" s="66"/>
    </row>
    <row r="70" spans="1:19" ht="63.75" customHeight="1">
      <c r="A70" s="61"/>
      <c r="B70" s="208" t="s">
        <v>450</v>
      </c>
      <c r="C70" s="286"/>
      <c r="D70" s="254"/>
      <c r="E70" s="287"/>
      <c r="F70" s="251">
        <f>AVERAGE(F71:F85)</f>
        <v>100</v>
      </c>
      <c r="G70" s="204"/>
      <c r="H70" s="206"/>
      <c r="I70" s="288"/>
      <c r="J70" s="254"/>
      <c r="K70" s="204">
        <f>AVERAGE(K71:K85)</f>
        <v>27.142857142857142</v>
      </c>
      <c r="L70" s="204"/>
      <c r="M70" s="202">
        <f>SUM(M71:M86)</f>
        <v>2036722815</v>
      </c>
      <c r="N70" s="265">
        <f>SUM(N71:N86)</f>
        <v>2000666263</v>
      </c>
      <c r="O70" s="204">
        <f>+N70/M70*100</f>
        <v>98.229678003582436</v>
      </c>
      <c r="P70" s="202">
        <f>SUM(P71:P86)</f>
        <v>9709279039.4675484</v>
      </c>
      <c r="Q70" s="265">
        <f>SUM(Q71:Q86)</f>
        <v>2000666263</v>
      </c>
      <c r="R70" s="204">
        <f>+(Q70/P70)*100</f>
        <v>20.605713924457518</v>
      </c>
      <c r="S70" s="66"/>
    </row>
    <row r="71" spans="1:19" ht="93" customHeight="1">
      <c r="A71" s="61"/>
      <c r="B71" s="232" t="s">
        <v>396</v>
      </c>
      <c r="C71" s="244" t="s">
        <v>179</v>
      </c>
      <c r="D71" s="235">
        <v>100</v>
      </c>
      <c r="E71" s="235">
        <v>100</v>
      </c>
      <c r="F71" s="235">
        <v>100</v>
      </c>
      <c r="G71" s="246"/>
      <c r="H71" s="226" t="s">
        <v>500</v>
      </c>
      <c r="I71" s="235">
        <v>100</v>
      </c>
      <c r="J71" s="226">
        <v>100</v>
      </c>
      <c r="K71" s="226">
        <v>25</v>
      </c>
      <c r="L71" s="238"/>
      <c r="M71" s="226">
        <v>0</v>
      </c>
      <c r="N71" s="235">
        <v>0</v>
      </c>
      <c r="O71" s="226">
        <v>0</v>
      </c>
      <c r="P71" s="226">
        <v>0</v>
      </c>
      <c r="Q71" s="226">
        <v>0</v>
      </c>
      <c r="R71" s="266">
        <v>0</v>
      </c>
      <c r="S71" s="66"/>
    </row>
    <row r="72" spans="1:19" ht="66.75" customHeight="1">
      <c r="A72" s="61"/>
      <c r="B72" s="243" t="s">
        <v>397</v>
      </c>
      <c r="C72" s="244" t="s">
        <v>179</v>
      </c>
      <c r="D72" s="235">
        <v>100</v>
      </c>
      <c r="E72" s="235">
        <v>100</v>
      </c>
      <c r="F72" s="235">
        <v>100</v>
      </c>
      <c r="G72" s="246"/>
      <c r="H72" s="226" t="s">
        <v>500</v>
      </c>
      <c r="I72" s="235">
        <v>100</v>
      </c>
      <c r="J72" s="226">
        <v>100</v>
      </c>
      <c r="K72" s="226">
        <v>25</v>
      </c>
      <c r="L72" s="238"/>
      <c r="M72" s="226">
        <v>13432564</v>
      </c>
      <c r="N72" s="235">
        <v>13432564</v>
      </c>
      <c r="O72" s="226">
        <v>0</v>
      </c>
      <c r="P72" s="226">
        <v>40432017.640000001</v>
      </c>
      <c r="Q72" s="226">
        <v>13432564</v>
      </c>
      <c r="R72" s="266">
        <v>33.222591362126245</v>
      </c>
      <c r="S72" s="66"/>
    </row>
    <row r="73" spans="1:19" ht="111" customHeight="1">
      <c r="A73" s="61"/>
      <c r="B73" s="243" t="s">
        <v>398</v>
      </c>
      <c r="C73" s="244" t="s">
        <v>179</v>
      </c>
      <c r="D73" s="235">
        <v>100</v>
      </c>
      <c r="E73" s="235">
        <v>100</v>
      </c>
      <c r="F73" s="235">
        <v>100</v>
      </c>
      <c r="G73" s="246"/>
      <c r="H73" s="226" t="s">
        <v>500</v>
      </c>
      <c r="I73" s="235">
        <v>100</v>
      </c>
      <c r="J73" s="226">
        <v>100</v>
      </c>
      <c r="K73" s="226">
        <v>25</v>
      </c>
      <c r="L73" s="238"/>
      <c r="M73" s="226">
        <v>0</v>
      </c>
      <c r="N73" s="235">
        <v>0</v>
      </c>
      <c r="O73" s="226">
        <v>0</v>
      </c>
      <c r="P73" s="226">
        <v>0</v>
      </c>
      <c r="Q73" s="226">
        <v>0</v>
      </c>
      <c r="R73" s="266" t="e">
        <v>#DIV/0!</v>
      </c>
      <c r="S73" s="66"/>
    </row>
    <row r="74" spans="1:19" ht="83.25" customHeight="1">
      <c r="A74" s="61"/>
      <c r="B74" s="232" t="s">
        <v>399</v>
      </c>
      <c r="C74" s="244" t="s">
        <v>179</v>
      </c>
      <c r="D74" s="235">
        <v>100</v>
      </c>
      <c r="E74" s="235">
        <v>100</v>
      </c>
      <c r="F74" s="235">
        <v>100</v>
      </c>
      <c r="G74" s="246"/>
      <c r="H74" s="226" t="s">
        <v>500</v>
      </c>
      <c r="I74" s="235">
        <v>100</v>
      </c>
      <c r="J74" s="226">
        <v>100</v>
      </c>
      <c r="K74" s="226">
        <v>25</v>
      </c>
      <c r="L74" s="238"/>
      <c r="M74" s="226">
        <v>372108950</v>
      </c>
      <c r="N74" s="235">
        <v>371160657</v>
      </c>
      <c r="O74" s="226">
        <v>99.74515716431975</v>
      </c>
      <c r="P74" s="226">
        <v>2914577741.6257505</v>
      </c>
      <c r="Q74" s="226">
        <v>371160657</v>
      </c>
      <c r="R74" s="266">
        <v>12.734628817722554</v>
      </c>
      <c r="S74" s="66"/>
    </row>
    <row r="75" spans="1:19" ht="93.75" customHeight="1">
      <c r="A75" s="61"/>
      <c r="B75" s="232" t="s">
        <v>400</v>
      </c>
      <c r="C75" s="244" t="s">
        <v>483</v>
      </c>
      <c r="D75" s="235">
        <v>60</v>
      </c>
      <c r="E75" s="235">
        <v>60</v>
      </c>
      <c r="F75" s="235">
        <v>100</v>
      </c>
      <c r="G75" s="246"/>
      <c r="H75" s="226" t="s">
        <v>500</v>
      </c>
      <c r="I75" s="235">
        <v>60</v>
      </c>
      <c r="J75" s="226">
        <v>60</v>
      </c>
      <c r="K75" s="226">
        <v>25</v>
      </c>
      <c r="L75" s="238"/>
      <c r="M75" s="226">
        <v>0</v>
      </c>
      <c r="N75" s="235">
        <v>0</v>
      </c>
      <c r="O75" s="226">
        <v>0</v>
      </c>
      <c r="P75" s="226">
        <v>0</v>
      </c>
      <c r="Q75" s="226">
        <v>0</v>
      </c>
      <c r="R75" s="266" t="e">
        <v>#DIV/0!</v>
      </c>
      <c r="S75" s="66"/>
    </row>
    <row r="76" spans="1:19" ht="51.75" customHeight="1">
      <c r="A76" s="61"/>
      <c r="B76" s="232" t="s">
        <v>401</v>
      </c>
      <c r="C76" s="244" t="s">
        <v>179</v>
      </c>
      <c r="D76" s="235">
        <v>20</v>
      </c>
      <c r="E76" s="235">
        <v>20</v>
      </c>
      <c r="F76" s="235">
        <v>100</v>
      </c>
      <c r="G76" s="294"/>
      <c r="H76" s="226" t="s">
        <v>500</v>
      </c>
      <c r="I76" s="235">
        <v>35</v>
      </c>
      <c r="J76" s="226">
        <v>20</v>
      </c>
      <c r="K76" s="226">
        <v>57.142857142857139</v>
      </c>
      <c r="L76" s="58"/>
      <c r="M76" s="226">
        <v>0</v>
      </c>
      <c r="N76" s="235">
        <v>0</v>
      </c>
      <c r="O76" s="226">
        <v>0</v>
      </c>
      <c r="P76" s="226">
        <v>0</v>
      </c>
      <c r="Q76" s="226">
        <v>0</v>
      </c>
      <c r="R76" s="266" t="e">
        <v>#DIV/0!</v>
      </c>
      <c r="S76" s="66"/>
    </row>
    <row r="77" spans="1:19" ht="56.25" customHeight="1">
      <c r="A77" s="61"/>
      <c r="B77" s="239" t="s">
        <v>402</v>
      </c>
      <c r="C77" s="244" t="s">
        <v>179</v>
      </c>
      <c r="D77" s="235">
        <v>100</v>
      </c>
      <c r="E77" s="235">
        <v>100</v>
      </c>
      <c r="F77" s="235">
        <v>100</v>
      </c>
      <c r="G77" s="246"/>
      <c r="H77" s="226" t="s">
        <v>500</v>
      </c>
      <c r="I77" s="235">
        <v>100</v>
      </c>
      <c r="J77" s="226">
        <v>100</v>
      </c>
      <c r="K77" s="226">
        <v>25</v>
      </c>
      <c r="L77" s="238"/>
      <c r="M77" s="226">
        <v>68322200</v>
      </c>
      <c r="N77" s="235">
        <v>68322200</v>
      </c>
      <c r="O77" s="226">
        <v>100</v>
      </c>
      <c r="P77" s="226">
        <v>294105985.745</v>
      </c>
      <c r="Q77" s="226">
        <v>68322200</v>
      </c>
      <c r="R77" s="266">
        <v>23.230469052485621</v>
      </c>
      <c r="S77" s="66"/>
    </row>
    <row r="78" spans="1:19" ht="120.75" customHeight="1">
      <c r="A78" s="61"/>
      <c r="B78" s="258" t="s">
        <v>403</v>
      </c>
      <c r="C78" s="244" t="s">
        <v>181</v>
      </c>
      <c r="D78" s="235">
        <v>1</v>
      </c>
      <c r="E78" s="235">
        <v>1</v>
      </c>
      <c r="F78" s="235">
        <v>100</v>
      </c>
      <c r="G78" s="246"/>
      <c r="H78" s="226" t="s">
        <v>500</v>
      </c>
      <c r="I78" s="235">
        <v>1</v>
      </c>
      <c r="J78" s="226">
        <v>1</v>
      </c>
      <c r="K78" s="226">
        <v>25</v>
      </c>
      <c r="L78" s="238"/>
      <c r="M78" s="226">
        <v>1012371660</v>
      </c>
      <c r="N78" s="235">
        <v>979258541</v>
      </c>
      <c r="O78" s="226">
        <v>96.729153895912106</v>
      </c>
      <c r="P78" s="226">
        <v>4409520049.7749996</v>
      </c>
      <c r="Q78" s="226">
        <v>979258541</v>
      </c>
      <c r="R78" s="266">
        <v>22.207826020656547</v>
      </c>
      <c r="S78" s="66"/>
    </row>
    <row r="79" spans="1:19" ht="52.5" customHeight="1">
      <c r="A79" s="61"/>
      <c r="B79" s="258" t="s">
        <v>404</v>
      </c>
      <c r="C79" s="244" t="s">
        <v>405</v>
      </c>
      <c r="D79" s="235">
        <v>1</v>
      </c>
      <c r="E79" s="235">
        <v>1</v>
      </c>
      <c r="F79" s="235">
        <v>100</v>
      </c>
      <c r="G79" s="246"/>
      <c r="H79" s="226" t="s">
        <v>500</v>
      </c>
      <c r="I79" s="235">
        <v>4</v>
      </c>
      <c r="J79" s="226">
        <v>1</v>
      </c>
      <c r="K79" s="226">
        <v>25</v>
      </c>
      <c r="L79" s="238"/>
      <c r="M79" s="226">
        <v>182828000</v>
      </c>
      <c r="N79" s="235">
        <v>182697542</v>
      </c>
      <c r="O79" s="226">
        <v>0</v>
      </c>
      <c r="P79" s="226">
        <v>282158000</v>
      </c>
      <c r="Q79" s="226">
        <v>182697542</v>
      </c>
      <c r="R79" s="266">
        <v>64.750083995491892</v>
      </c>
      <c r="S79" s="66"/>
    </row>
    <row r="80" spans="1:19" ht="38.25" customHeight="1">
      <c r="A80" s="61"/>
      <c r="B80" s="278" t="s">
        <v>406</v>
      </c>
      <c r="C80" s="244" t="s">
        <v>181</v>
      </c>
      <c r="D80" s="235">
        <v>1</v>
      </c>
      <c r="E80" s="235">
        <v>1</v>
      </c>
      <c r="F80" s="235">
        <v>100</v>
      </c>
      <c r="G80" s="246"/>
      <c r="H80" s="226" t="s">
        <v>500</v>
      </c>
      <c r="I80" s="235">
        <v>1</v>
      </c>
      <c r="J80" s="226">
        <v>1</v>
      </c>
      <c r="K80" s="226">
        <v>25</v>
      </c>
      <c r="L80" s="238"/>
      <c r="M80" s="226">
        <v>39256400</v>
      </c>
      <c r="N80" s="235">
        <v>39256400</v>
      </c>
      <c r="O80" s="226">
        <v>100</v>
      </c>
      <c r="P80" s="226">
        <v>138586400</v>
      </c>
      <c r="Q80" s="226">
        <v>39256400</v>
      </c>
      <c r="R80" s="266">
        <v>28.326300416202454</v>
      </c>
      <c r="S80" s="66"/>
    </row>
    <row r="81" spans="1:19" ht="96" customHeight="1">
      <c r="A81" s="61"/>
      <c r="B81" s="258" t="s">
        <v>407</v>
      </c>
      <c r="C81" s="244" t="s">
        <v>184</v>
      </c>
      <c r="D81" s="235">
        <v>1</v>
      </c>
      <c r="E81" s="235">
        <v>1</v>
      </c>
      <c r="F81" s="235">
        <v>100</v>
      </c>
      <c r="G81" s="246"/>
      <c r="H81" s="226" t="s">
        <v>500</v>
      </c>
      <c r="I81" s="235">
        <v>1</v>
      </c>
      <c r="J81" s="226">
        <v>1</v>
      </c>
      <c r="K81" s="226">
        <v>25</v>
      </c>
      <c r="L81" s="238"/>
      <c r="M81" s="226">
        <v>167667134</v>
      </c>
      <c r="N81" s="235">
        <v>165886540</v>
      </c>
      <c r="O81" s="226">
        <v>98.938018466994251</v>
      </c>
      <c r="P81" s="226">
        <v>860528601.88179994</v>
      </c>
      <c r="Q81" s="226">
        <v>165886540</v>
      </c>
      <c r="R81" s="266">
        <v>19.277283711109668</v>
      </c>
      <c r="S81" s="66"/>
    </row>
    <row r="82" spans="1:19" ht="117" customHeight="1">
      <c r="A82" s="61"/>
      <c r="B82" s="278" t="s">
        <v>408</v>
      </c>
      <c r="C82" s="244" t="s">
        <v>1</v>
      </c>
      <c r="D82" s="235">
        <v>100</v>
      </c>
      <c r="E82" s="235">
        <v>100</v>
      </c>
      <c r="F82" s="235">
        <v>100</v>
      </c>
      <c r="G82" s="246"/>
      <c r="H82" s="226" t="s">
        <v>500</v>
      </c>
      <c r="I82" s="235">
        <v>100</v>
      </c>
      <c r="J82" s="226">
        <v>100</v>
      </c>
      <c r="K82" s="226">
        <v>25</v>
      </c>
      <c r="L82" s="238"/>
      <c r="M82" s="226">
        <v>0</v>
      </c>
      <c r="N82" s="235">
        <v>0</v>
      </c>
      <c r="O82" s="226">
        <v>0</v>
      </c>
      <c r="P82" s="226">
        <v>31939886.579999998</v>
      </c>
      <c r="Q82" s="226">
        <v>0</v>
      </c>
      <c r="R82" s="266">
        <v>0</v>
      </c>
      <c r="S82" s="66"/>
    </row>
    <row r="83" spans="1:19" ht="60" customHeight="1">
      <c r="A83" s="61"/>
      <c r="B83" s="278" t="s">
        <v>409</v>
      </c>
      <c r="C83" s="244" t="s">
        <v>180</v>
      </c>
      <c r="D83" s="235">
        <v>37</v>
      </c>
      <c r="E83" s="235">
        <v>37</v>
      </c>
      <c r="F83" s="235">
        <v>100</v>
      </c>
      <c r="G83" s="246"/>
      <c r="H83" s="226" t="s">
        <v>500</v>
      </c>
      <c r="I83" s="235">
        <v>37</v>
      </c>
      <c r="J83" s="226">
        <v>37</v>
      </c>
      <c r="K83" s="226">
        <v>25</v>
      </c>
      <c r="L83" s="238"/>
      <c r="M83" s="226">
        <v>0</v>
      </c>
      <c r="N83" s="235">
        <v>0</v>
      </c>
      <c r="O83" s="226">
        <v>0</v>
      </c>
      <c r="P83" s="226">
        <v>31939886.579999998</v>
      </c>
      <c r="Q83" s="226">
        <v>0</v>
      </c>
      <c r="R83" s="266">
        <v>0</v>
      </c>
      <c r="S83" s="66"/>
    </row>
    <row r="84" spans="1:19" ht="60" customHeight="1">
      <c r="A84" s="61"/>
      <c r="B84" s="278" t="s">
        <v>0</v>
      </c>
      <c r="C84" s="295" t="s">
        <v>410</v>
      </c>
      <c r="D84" s="235">
        <v>1</v>
      </c>
      <c r="E84" s="235">
        <v>1</v>
      </c>
      <c r="F84" s="235">
        <v>100</v>
      </c>
      <c r="G84" s="246"/>
      <c r="H84" s="226" t="s">
        <v>500</v>
      </c>
      <c r="I84" s="235">
        <v>1</v>
      </c>
      <c r="J84" s="226">
        <v>1</v>
      </c>
      <c r="K84" s="226">
        <v>25</v>
      </c>
      <c r="L84" s="238"/>
      <c r="M84" s="226">
        <v>142467600</v>
      </c>
      <c r="N84" s="235">
        <v>142467600</v>
      </c>
      <c r="O84" s="226">
        <v>100</v>
      </c>
      <c r="P84" s="226">
        <v>508182600</v>
      </c>
      <c r="Q84" s="226">
        <v>142467600</v>
      </c>
      <c r="R84" s="266">
        <v>28.034726100421388</v>
      </c>
      <c r="S84" s="66"/>
    </row>
    <row r="85" spans="1:19" ht="30">
      <c r="A85" s="61"/>
      <c r="B85" s="278" t="s">
        <v>411</v>
      </c>
      <c r="C85" s="244" t="s">
        <v>1</v>
      </c>
      <c r="D85" s="235">
        <v>90</v>
      </c>
      <c r="E85" s="235">
        <v>90</v>
      </c>
      <c r="F85" s="235">
        <v>100</v>
      </c>
      <c r="G85" s="246"/>
      <c r="H85" s="226" t="s">
        <v>500</v>
      </c>
      <c r="I85" s="235">
        <v>90</v>
      </c>
      <c r="J85" s="226">
        <v>90</v>
      </c>
      <c r="K85" s="226">
        <v>25</v>
      </c>
      <c r="L85" s="238"/>
      <c r="M85" s="226">
        <v>0</v>
      </c>
      <c r="N85" s="235">
        <v>0</v>
      </c>
      <c r="O85" s="226">
        <v>0</v>
      </c>
      <c r="P85" s="226">
        <v>159039562.63999999</v>
      </c>
      <c r="Q85" s="226">
        <v>0</v>
      </c>
      <c r="R85" s="266">
        <v>0</v>
      </c>
      <c r="S85" s="66"/>
    </row>
    <row r="86" spans="1:19" ht="105.75" customHeight="1">
      <c r="A86" s="61"/>
      <c r="B86" s="278" t="s">
        <v>495</v>
      </c>
      <c r="C86" s="244" t="s">
        <v>496</v>
      </c>
      <c r="D86" s="235" t="s">
        <v>500</v>
      </c>
      <c r="E86" s="235" t="s">
        <v>500</v>
      </c>
      <c r="F86" s="235" t="s">
        <v>509</v>
      </c>
      <c r="G86" s="246"/>
      <c r="H86" s="226" t="s">
        <v>500</v>
      </c>
      <c r="I86" s="226" t="s">
        <v>500</v>
      </c>
      <c r="J86" s="226" t="s">
        <v>500</v>
      </c>
      <c r="K86" s="226" t="s">
        <v>500</v>
      </c>
      <c r="L86" s="238"/>
      <c r="M86" s="226">
        <v>38268307</v>
      </c>
      <c r="N86" s="235">
        <v>38184219</v>
      </c>
      <c r="O86" s="226">
        <v>99.780267258752787</v>
      </c>
      <c r="P86" s="226">
        <v>38268307</v>
      </c>
      <c r="Q86" s="226">
        <v>38184219</v>
      </c>
      <c r="R86" s="266">
        <v>99.780267258752787</v>
      </c>
      <c r="S86" s="66"/>
    </row>
    <row r="87" spans="1:19" ht="64.5" customHeight="1">
      <c r="A87" s="61"/>
      <c r="B87" s="296" t="s">
        <v>412</v>
      </c>
      <c r="C87" s="274"/>
      <c r="D87" s="297"/>
      <c r="E87" s="292"/>
      <c r="F87" s="273">
        <f>AVERAGE(F88,F95)</f>
        <v>100</v>
      </c>
      <c r="G87" s="271"/>
      <c r="H87" s="274"/>
      <c r="I87" s="298"/>
      <c r="J87" s="297"/>
      <c r="K87" s="274">
        <f>AVERAGE(K88,K95)</f>
        <v>29.903846153846153</v>
      </c>
      <c r="L87" s="274"/>
      <c r="M87" s="285">
        <f>+M88+M95</f>
        <v>2323036400</v>
      </c>
      <c r="N87" s="285">
        <f>+N88+N95</f>
        <v>2267296514</v>
      </c>
      <c r="O87" s="274">
        <f>+N87/M87*100</f>
        <v>97.600559078626574</v>
      </c>
      <c r="P87" s="285">
        <f>+P88+P95</f>
        <v>6359976241.6129379</v>
      </c>
      <c r="Q87" s="285">
        <f>+Q88+Q102</f>
        <v>545294285</v>
      </c>
      <c r="R87" s="274">
        <f>+Q87/P87*100</f>
        <v>8.5738415409820661</v>
      </c>
      <c r="S87" s="66"/>
    </row>
    <row r="88" spans="1:19" ht="93.75" customHeight="1">
      <c r="A88" s="61"/>
      <c r="B88" s="231" t="s">
        <v>488</v>
      </c>
      <c r="C88" s="286"/>
      <c r="D88" s="288"/>
      <c r="E88" s="287"/>
      <c r="F88" s="251">
        <f>AVERAGE(F89:F92)</f>
        <v>100</v>
      </c>
      <c r="G88" s="252"/>
      <c r="H88" s="206"/>
      <c r="I88" s="288"/>
      <c r="J88" s="254"/>
      <c r="K88" s="204">
        <f>AVERAGE(K89:K94)</f>
        <v>34.807692307692307</v>
      </c>
      <c r="L88" s="204"/>
      <c r="M88" s="202">
        <f>SUM(M89:M94)</f>
        <v>473036400</v>
      </c>
      <c r="N88" s="202">
        <f>SUM(N89:N94)</f>
        <v>426062257</v>
      </c>
      <c r="O88" s="204">
        <f t="shared" ref="O86:O92" si="0">+N88/M88*100</f>
        <v>90.069655738966389</v>
      </c>
      <c r="P88" s="254">
        <f>SUM(P89:P94)</f>
        <v>2093036399.5</v>
      </c>
      <c r="Q88" s="202">
        <f>SUM(Q89:Q94)</f>
        <v>426062257</v>
      </c>
      <c r="R88" s="204">
        <f>+(Q88/P88)*100</f>
        <v>20.356180002496892</v>
      </c>
      <c r="S88" s="69"/>
    </row>
    <row r="89" spans="1:19" ht="107.25" customHeight="1">
      <c r="A89" s="61"/>
      <c r="B89" s="299" t="s">
        <v>413</v>
      </c>
      <c r="C89" s="244" t="s">
        <v>179</v>
      </c>
      <c r="D89" s="235">
        <v>100</v>
      </c>
      <c r="E89" s="235">
        <v>100</v>
      </c>
      <c r="F89" s="235">
        <v>100</v>
      </c>
      <c r="G89" s="246"/>
      <c r="H89" s="226" t="s">
        <v>500</v>
      </c>
      <c r="I89" s="235">
        <v>100</v>
      </c>
      <c r="J89" s="226">
        <v>100</v>
      </c>
      <c r="K89" s="226">
        <v>25</v>
      </c>
      <c r="L89" s="238"/>
      <c r="M89" s="226">
        <v>0</v>
      </c>
      <c r="N89" s="235">
        <v>0</v>
      </c>
      <c r="O89" s="226">
        <v>0</v>
      </c>
      <c r="P89" s="226">
        <v>323932977</v>
      </c>
      <c r="Q89" s="226">
        <v>0</v>
      </c>
      <c r="R89" s="248">
        <v>0</v>
      </c>
      <c r="S89" s="66"/>
    </row>
    <row r="90" spans="1:19" ht="76.5" customHeight="1">
      <c r="A90" s="61"/>
      <c r="B90" s="241" t="s">
        <v>414</v>
      </c>
      <c r="C90" s="244" t="s">
        <v>179</v>
      </c>
      <c r="D90" s="235">
        <v>100</v>
      </c>
      <c r="E90" s="235">
        <v>100</v>
      </c>
      <c r="F90" s="235">
        <v>100</v>
      </c>
      <c r="G90" s="246"/>
      <c r="H90" s="226" t="s">
        <v>500</v>
      </c>
      <c r="I90" s="235">
        <v>100</v>
      </c>
      <c r="J90" s="226">
        <v>100</v>
      </c>
      <c r="K90" s="226">
        <v>25</v>
      </c>
      <c r="L90" s="238"/>
      <c r="M90" s="226">
        <v>114548800</v>
      </c>
      <c r="N90" s="235">
        <v>109118666</v>
      </c>
      <c r="O90" s="226">
        <v>95.259545276772869</v>
      </c>
      <c r="P90" s="226">
        <v>257762487.5</v>
      </c>
      <c r="Q90" s="226">
        <v>109118666</v>
      </c>
      <c r="R90" s="266">
        <v>42.33302799733417</v>
      </c>
      <c r="S90" s="66"/>
    </row>
    <row r="91" spans="1:19" ht="76.5" customHeight="1">
      <c r="A91" s="61"/>
      <c r="B91" s="241" t="s">
        <v>415</v>
      </c>
      <c r="C91" s="244" t="s">
        <v>1</v>
      </c>
      <c r="D91" s="235">
        <v>70</v>
      </c>
      <c r="E91" s="235">
        <v>70</v>
      </c>
      <c r="F91" s="235">
        <v>100</v>
      </c>
      <c r="G91" s="246"/>
      <c r="H91" s="226" t="s">
        <v>500</v>
      </c>
      <c r="I91" s="235">
        <v>100</v>
      </c>
      <c r="J91" s="226">
        <v>70</v>
      </c>
      <c r="K91" s="226">
        <v>70</v>
      </c>
      <c r="L91" s="238"/>
      <c r="M91" s="226">
        <v>100000000</v>
      </c>
      <c r="N91" s="235">
        <v>70451225</v>
      </c>
      <c r="O91" s="226">
        <v>70.451224999999994</v>
      </c>
      <c r="P91" s="226">
        <v>220000000</v>
      </c>
      <c r="Q91" s="226">
        <v>70451225</v>
      </c>
      <c r="R91" s="266">
        <v>32.023284090909094</v>
      </c>
      <c r="S91" s="66"/>
    </row>
    <row r="92" spans="1:19" ht="87.75" customHeight="1">
      <c r="A92" s="61"/>
      <c r="B92" s="249" t="s">
        <v>416</v>
      </c>
      <c r="C92" s="244" t="s">
        <v>417</v>
      </c>
      <c r="D92" s="235">
        <v>5</v>
      </c>
      <c r="E92" s="235">
        <v>5</v>
      </c>
      <c r="F92" s="235">
        <v>100</v>
      </c>
      <c r="G92" s="246"/>
      <c r="H92" s="226" t="s">
        <v>500</v>
      </c>
      <c r="I92" s="235">
        <v>26</v>
      </c>
      <c r="J92" s="226">
        <v>5</v>
      </c>
      <c r="K92" s="226">
        <v>19.230769230769234</v>
      </c>
      <c r="L92" s="238"/>
      <c r="M92" s="226">
        <v>225358700</v>
      </c>
      <c r="N92" s="235">
        <v>221356634</v>
      </c>
      <c r="O92" s="226">
        <v>98.224135123250178</v>
      </c>
      <c r="P92" s="226">
        <v>976608700</v>
      </c>
      <c r="Q92" s="226">
        <v>221356634</v>
      </c>
      <c r="R92" s="266">
        <v>22.665847027576142</v>
      </c>
      <c r="S92" s="66"/>
    </row>
    <row r="93" spans="1:19" ht="76.5" customHeight="1">
      <c r="A93" s="61"/>
      <c r="B93" s="290" t="s">
        <v>418</v>
      </c>
      <c r="C93" s="244" t="s">
        <v>492</v>
      </c>
      <c r="D93" s="235" t="s">
        <v>500</v>
      </c>
      <c r="E93" s="235" t="s">
        <v>500</v>
      </c>
      <c r="F93" s="235" t="s">
        <v>500</v>
      </c>
      <c r="G93" s="226"/>
      <c r="H93" s="226" t="s">
        <v>500</v>
      </c>
      <c r="I93" s="235">
        <v>1</v>
      </c>
      <c r="J93" s="226" t="s">
        <v>500</v>
      </c>
      <c r="K93" s="226" t="s">
        <v>500</v>
      </c>
      <c r="L93" s="238"/>
      <c r="M93" s="226">
        <v>0</v>
      </c>
      <c r="N93" s="235">
        <v>0</v>
      </c>
      <c r="O93" s="226">
        <v>0</v>
      </c>
      <c r="P93" s="226">
        <v>150751250</v>
      </c>
      <c r="Q93" s="226">
        <v>0</v>
      </c>
      <c r="R93" s="266">
        <v>0</v>
      </c>
      <c r="S93" s="66"/>
    </row>
    <row r="94" spans="1:19" ht="76.5" customHeight="1">
      <c r="A94" s="61"/>
      <c r="B94" s="278" t="s">
        <v>495</v>
      </c>
      <c r="C94" s="244" t="s">
        <v>496</v>
      </c>
      <c r="D94" s="235" t="s">
        <v>500</v>
      </c>
      <c r="E94" s="235" t="s">
        <v>500</v>
      </c>
      <c r="F94" s="235" t="s">
        <v>509</v>
      </c>
      <c r="G94" s="246"/>
      <c r="H94" s="226" t="s">
        <v>500</v>
      </c>
      <c r="I94" s="226" t="s">
        <v>500</v>
      </c>
      <c r="J94" s="226" t="s">
        <v>500</v>
      </c>
      <c r="K94" s="226" t="s">
        <v>500</v>
      </c>
      <c r="L94" s="238"/>
      <c r="M94" s="226">
        <v>33128900</v>
      </c>
      <c r="N94" s="235">
        <v>25135732</v>
      </c>
      <c r="O94" s="226">
        <v>75.872522178520867</v>
      </c>
      <c r="P94" s="226">
        <v>163980985</v>
      </c>
      <c r="Q94" s="226">
        <v>25135732</v>
      </c>
      <c r="R94" s="266">
        <v>15.328443111864464</v>
      </c>
      <c r="S94" s="66"/>
    </row>
    <row r="95" spans="1:19" ht="79.5" customHeight="1">
      <c r="A95" s="61"/>
      <c r="B95" s="300" t="s">
        <v>499</v>
      </c>
      <c r="C95" s="286"/>
      <c r="D95" s="288">
        <v>0</v>
      </c>
      <c r="E95" s="287"/>
      <c r="F95" s="251">
        <f>AVERAGE(F96:F99)</f>
        <v>100</v>
      </c>
      <c r="G95" s="252"/>
      <c r="H95" s="206"/>
      <c r="I95" s="288"/>
      <c r="J95" s="254"/>
      <c r="K95" s="204">
        <f>AVERAGE(K96:K99)</f>
        <v>25</v>
      </c>
      <c r="L95" s="204"/>
      <c r="M95" s="202">
        <f>SUM(M96:M99)</f>
        <v>1850000000</v>
      </c>
      <c r="N95" s="265">
        <f>SUM(N96:N99)</f>
        <v>1841234257</v>
      </c>
      <c r="O95" s="204">
        <f>+N95/M95*100</f>
        <v>99.526176054054048</v>
      </c>
      <c r="P95" s="254">
        <f>SUM(P96:P99)</f>
        <v>4266939842.1129375</v>
      </c>
      <c r="Q95" s="265">
        <f>SUM(Q96:Q99)</f>
        <v>1841234257</v>
      </c>
      <c r="R95" s="204">
        <f>+(Q95/P95)*100</f>
        <v>43.15116512372115</v>
      </c>
      <c r="S95" s="207"/>
    </row>
    <row r="96" spans="1:19" ht="79.5" customHeight="1">
      <c r="A96" s="61"/>
      <c r="B96" s="278" t="s">
        <v>419</v>
      </c>
      <c r="C96" s="244" t="s">
        <v>420</v>
      </c>
      <c r="D96" s="235">
        <v>1</v>
      </c>
      <c r="E96" s="235">
        <v>1</v>
      </c>
      <c r="F96" s="235">
        <v>100</v>
      </c>
      <c r="G96" s="246"/>
      <c r="H96" s="226" t="s">
        <v>500</v>
      </c>
      <c r="I96" s="235">
        <v>4</v>
      </c>
      <c r="J96" s="226">
        <v>1</v>
      </c>
      <c r="K96" s="226">
        <v>25</v>
      </c>
      <c r="L96" s="238"/>
      <c r="M96" s="226">
        <v>1406644400</v>
      </c>
      <c r="N96" s="235">
        <v>1405282284</v>
      </c>
      <c r="O96" s="226">
        <v>99.903165576175468</v>
      </c>
      <c r="P96" s="226">
        <v>2111644400</v>
      </c>
      <c r="Q96" s="226">
        <v>1405282284</v>
      </c>
      <c r="R96" s="266">
        <v>66.549191899924054</v>
      </c>
      <c r="S96" s="66"/>
    </row>
    <row r="97" spans="1:19" ht="79.5" customHeight="1">
      <c r="A97" s="61"/>
      <c r="B97" s="278" t="s">
        <v>421</v>
      </c>
      <c r="C97" s="244" t="s">
        <v>129</v>
      </c>
      <c r="D97" s="235">
        <v>1</v>
      </c>
      <c r="E97" s="235">
        <v>1</v>
      </c>
      <c r="F97" s="235">
        <v>100</v>
      </c>
      <c r="G97" s="246"/>
      <c r="H97" s="226" t="s">
        <v>500</v>
      </c>
      <c r="I97" s="235">
        <v>4</v>
      </c>
      <c r="J97" s="226">
        <v>1</v>
      </c>
      <c r="K97" s="226">
        <v>25</v>
      </c>
      <c r="L97" s="238"/>
      <c r="M97" s="226">
        <v>0</v>
      </c>
      <c r="N97" s="235">
        <v>0</v>
      </c>
      <c r="O97" s="226">
        <v>0</v>
      </c>
      <c r="P97" s="226">
        <v>577713166</v>
      </c>
      <c r="Q97" s="226">
        <v>0</v>
      </c>
      <c r="R97" s="266">
        <v>0</v>
      </c>
      <c r="S97" s="66"/>
    </row>
    <row r="98" spans="1:19" ht="79.5" customHeight="1">
      <c r="A98" s="61"/>
      <c r="B98" s="278" t="s">
        <v>422</v>
      </c>
      <c r="C98" s="244" t="s">
        <v>1</v>
      </c>
      <c r="D98" s="235" t="s">
        <v>500</v>
      </c>
      <c r="E98" s="235" t="s">
        <v>500</v>
      </c>
      <c r="F98" s="235" t="s">
        <v>500</v>
      </c>
      <c r="G98" s="226"/>
      <c r="H98" s="226" t="s">
        <v>500</v>
      </c>
      <c r="I98" s="235">
        <v>100</v>
      </c>
      <c r="J98" s="226" t="s">
        <v>500</v>
      </c>
      <c r="K98" s="226" t="s">
        <v>500</v>
      </c>
      <c r="L98" s="238"/>
      <c r="M98" s="226">
        <v>104000000</v>
      </c>
      <c r="N98" s="235">
        <v>100400000</v>
      </c>
      <c r="O98" s="226">
        <v>0</v>
      </c>
      <c r="P98" s="226">
        <v>525726676.10000002</v>
      </c>
      <c r="Q98" s="226">
        <v>100400000</v>
      </c>
      <c r="R98" s="266">
        <v>19.097375987233072</v>
      </c>
      <c r="S98" s="66"/>
    </row>
    <row r="99" spans="1:19" ht="79.5" customHeight="1">
      <c r="A99" s="61"/>
      <c r="B99" s="278" t="s">
        <v>423</v>
      </c>
      <c r="C99" s="244" t="s">
        <v>424</v>
      </c>
      <c r="D99" s="235">
        <v>38</v>
      </c>
      <c r="E99" s="235">
        <v>38</v>
      </c>
      <c r="F99" s="235">
        <v>100</v>
      </c>
      <c r="G99" s="246"/>
      <c r="H99" s="226" t="s">
        <v>500</v>
      </c>
      <c r="I99" s="235">
        <v>38</v>
      </c>
      <c r="J99" s="226">
        <v>38</v>
      </c>
      <c r="K99" s="226">
        <v>25</v>
      </c>
      <c r="L99" s="238"/>
      <c r="M99" s="226">
        <v>339355600</v>
      </c>
      <c r="N99" s="235">
        <v>335551973</v>
      </c>
      <c r="O99" s="226">
        <v>98.879161858534232</v>
      </c>
      <c r="P99" s="226">
        <v>1051855600.0129375</v>
      </c>
      <c r="Q99" s="226">
        <v>335551973</v>
      </c>
      <c r="R99" s="266">
        <v>31.900954180010338</v>
      </c>
      <c r="S99" s="66"/>
    </row>
    <row r="100" spans="1:19" ht="95.25" customHeight="1">
      <c r="A100" s="61"/>
      <c r="B100" s="267" t="s">
        <v>451</v>
      </c>
      <c r="C100" s="301"/>
      <c r="D100" s="268"/>
      <c r="E100" s="292"/>
      <c r="F100" s="270">
        <f>AVERAGE(F101,F111)</f>
        <v>100</v>
      </c>
      <c r="G100" s="271"/>
      <c r="H100" s="268"/>
      <c r="I100" s="284"/>
      <c r="J100" s="268"/>
      <c r="K100" s="274">
        <f>AVERAGE(K101,K111)</f>
        <v>31.770833333333332</v>
      </c>
      <c r="L100" s="274"/>
      <c r="M100" s="297">
        <f>+M101+M111</f>
        <v>4172562737</v>
      </c>
      <c r="N100" s="273">
        <f>+N101+N111</f>
        <v>4055938669</v>
      </c>
      <c r="O100" s="274">
        <f>+(N100/M100)*100</f>
        <v>97.204977483841247</v>
      </c>
      <c r="P100" s="297">
        <f>+P101+P111</f>
        <v>11322562737.5065</v>
      </c>
      <c r="Q100" s="297">
        <f>+Q101+Q111</f>
        <v>4055938669</v>
      </c>
      <c r="R100" s="274">
        <f>+Q100/P100*100</f>
        <v>35.821737207642222</v>
      </c>
      <c r="S100" s="66"/>
    </row>
    <row r="101" spans="1:19" ht="45" customHeight="1">
      <c r="A101" s="61"/>
      <c r="B101" s="208" t="s">
        <v>452</v>
      </c>
      <c r="C101" s="286"/>
      <c r="D101" s="254"/>
      <c r="E101" s="287"/>
      <c r="F101" s="251">
        <f>AVERAGE(F102:F109)</f>
        <v>100</v>
      </c>
      <c r="G101" s="252"/>
      <c r="H101" s="206"/>
      <c r="I101" s="288"/>
      <c r="J101" s="254"/>
      <c r="K101" s="204">
        <f>AVERAGE(K102:K109)</f>
        <v>38.541666666666664</v>
      </c>
      <c r="L101" s="204"/>
      <c r="M101" s="202">
        <f>SUM(M102:M110)</f>
        <v>2562562737</v>
      </c>
      <c r="N101" s="202">
        <f>SUM(N102:N110)</f>
        <v>2493141500</v>
      </c>
      <c r="O101" s="204">
        <f>+N101/M101*100</f>
        <v>97.290944881167221</v>
      </c>
      <c r="P101" s="254">
        <f>SUM(P102:P110)</f>
        <v>5612562737.5065002</v>
      </c>
      <c r="Q101" s="202">
        <f>SUM(Q102:Q110)</f>
        <v>2493141500</v>
      </c>
      <c r="R101" s="204">
        <f>+(Q101/P101)*100</f>
        <v>44.420732855943648</v>
      </c>
      <c r="S101" s="66"/>
    </row>
    <row r="102" spans="1:19" ht="75" customHeight="1">
      <c r="A102" s="61"/>
      <c r="B102" s="278" t="s">
        <v>425</v>
      </c>
      <c r="C102" s="244" t="s">
        <v>493</v>
      </c>
      <c r="D102" s="235">
        <v>1</v>
      </c>
      <c r="E102" s="235">
        <v>1</v>
      </c>
      <c r="F102" s="235">
        <v>100</v>
      </c>
      <c r="G102" s="246"/>
      <c r="H102" s="226" t="s">
        <v>500</v>
      </c>
      <c r="I102" s="235">
        <v>1</v>
      </c>
      <c r="J102" s="226">
        <v>1</v>
      </c>
      <c r="K102" s="226">
        <v>25</v>
      </c>
      <c r="L102" s="238"/>
      <c r="M102" s="226">
        <v>119232028</v>
      </c>
      <c r="N102" s="235">
        <v>119232028</v>
      </c>
      <c r="O102" s="226">
        <v>100</v>
      </c>
      <c r="P102" s="226">
        <v>432838044.35999995</v>
      </c>
      <c r="Q102" s="226">
        <v>119232028</v>
      </c>
      <c r="R102" s="266">
        <v>27.546568411355349</v>
      </c>
      <c r="S102" s="66"/>
    </row>
    <row r="103" spans="1:19" ht="38.25" customHeight="1">
      <c r="A103" s="61"/>
      <c r="B103" s="278" t="s">
        <v>426</v>
      </c>
      <c r="C103" s="244" t="s">
        <v>1</v>
      </c>
      <c r="D103" s="235">
        <v>25</v>
      </c>
      <c r="E103" s="235">
        <v>25</v>
      </c>
      <c r="F103" s="235">
        <v>100</v>
      </c>
      <c r="G103" s="246"/>
      <c r="H103" s="226" t="s">
        <v>500</v>
      </c>
      <c r="I103" s="235">
        <v>100</v>
      </c>
      <c r="J103" s="226">
        <v>25</v>
      </c>
      <c r="K103" s="226">
        <v>25</v>
      </c>
      <c r="L103" s="238"/>
      <c r="M103" s="226">
        <v>567360065</v>
      </c>
      <c r="N103" s="235">
        <v>567360065</v>
      </c>
      <c r="O103" s="226">
        <v>100</v>
      </c>
      <c r="P103" s="226">
        <v>1823136398.2274399</v>
      </c>
      <c r="Q103" s="226">
        <v>567360065</v>
      </c>
      <c r="R103" s="266">
        <v>31.120000980267893</v>
      </c>
      <c r="S103" s="66"/>
    </row>
    <row r="104" spans="1:19" ht="131.25" customHeight="1">
      <c r="A104" s="61"/>
      <c r="B104" s="278" t="s">
        <v>427</v>
      </c>
      <c r="C104" s="244" t="s">
        <v>178</v>
      </c>
      <c r="D104" s="235">
        <v>1</v>
      </c>
      <c r="E104" s="235">
        <v>1</v>
      </c>
      <c r="F104" s="235">
        <v>100</v>
      </c>
      <c r="G104" s="246"/>
      <c r="H104" s="226" t="s">
        <v>500</v>
      </c>
      <c r="I104" s="235">
        <v>1</v>
      </c>
      <c r="J104" s="226">
        <v>1</v>
      </c>
      <c r="K104" s="226">
        <v>25</v>
      </c>
      <c r="L104" s="238"/>
      <c r="M104" s="226">
        <v>0</v>
      </c>
      <c r="N104" s="235">
        <v>0</v>
      </c>
      <c r="O104" s="226">
        <v>0</v>
      </c>
      <c r="P104" s="226">
        <v>30270850.999999996</v>
      </c>
      <c r="Q104" s="226">
        <v>0</v>
      </c>
      <c r="R104" s="266">
        <v>0</v>
      </c>
      <c r="S104" s="66"/>
    </row>
    <row r="105" spans="1:19" ht="99" customHeight="1">
      <c r="A105" s="61"/>
      <c r="B105" s="278" t="s">
        <v>428</v>
      </c>
      <c r="C105" s="244" t="s">
        <v>185</v>
      </c>
      <c r="D105" s="235">
        <v>1</v>
      </c>
      <c r="E105" s="235">
        <v>1</v>
      </c>
      <c r="F105" s="235">
        <v>100</v>
      </c>
      <c r="G105" s="246"/>
      <c r="H105" s="226" t="s">
        <v>500</v>
      </c>
      <c r="I105" s="235">
        <v>1</v>
      </c>
      <c r="J105" s="226">
        <v>1</v>
      </c>
      <c r="K105" s="226">
        <v>100</v>
      </c>
      <c r="L105" s="238"/>
      <c r="M105" s="226">
        <v>0</v>
      </c>
      <c r="N105" s="235">
        <v>0</v>
      </c>
      <c r="O105" s="226">
        <v>0</v>
      </c>
      <c r="P105" s="226">
        <v>0</v>
      </c>
      <c r="Q105" s="226">
        <v>0</v>
      </c>
      <c r="R105" s="266" t="e">
        <v>#DIV/0!</v>
      </c>
      <c r="S105" s="66"/>
    </row>
    <row r="106" spans="1:19" ht="62.25" customHeight="1">
      <c r="A106" s="61"/>
      <c r="B106" s="278" t="s">
        <v>429</v>
      </c>
      <c r="C106" s="244" t="s">
        <v>430</v>
      </c>
      <c r="D106" s="235">
        <v>1</v>
      </c>
      <c r="E106" s="235">
        <v>1</v>
      </c>
      <c r="F106" s="235">
        <v>100</v>
      </c>
      <c r="G106" s="246"/>
      <c r="H106" s="226" t="s">
        <v>500</v>
      </c>
      <c r="I106" s="235">
        <v>4</v>
      </c>
      <c r="J106" s="226">
        <v>1</v>
      </c>
      <c r="K106" s="226">
        <v>25</v>
      </c>
      <c r="L106" s="238"/>
      <c r="M106" s="226">
        <v>1813723379</v>
      </c>
      <c r="N106" s="235">
        <v>1744310456</v>
      </c>
      <c r="O106" s="226">
        <v>0</v>
      </c>
      <c r="P106" s="226">
        <v>2764854404</v>
      </c>
      <c r="Q106" s="226">
        <v>1744310456</v>
      </c>
      <c r="R106" s="266">
        <v>63.08869116133031</v>
      </c>
      <c r="S106" s="66"/>
    </row>
    <row r="107" spans="1:19" ht="42.75" customHeight="1">
      <c r="A107" s="61"/>
      <c r="B107" s="278" t="s">
        <v>431</v>
      </c>
      <c r="C107" s="244" t="s">
        <v>485</v>
      </c>
      <c r="D107" s="235">
        <v>1</v>
      </c>
      <c r="E107" s="235">
        <v>1</v>
      </c>
      <c r="F107" s="235">
        <v>100</v>
      </c>
      <c r="G107" s="246"/>
      <c r="H107" s="226" t="s">
        <v>500</v>
      </c>
      <c r="I107" s="235">
        <v>3</v>
      </c>
      <c r="J107" s="226">
        <v>1</v>
      </c>
      <c r="K107" s="226">
        <v>33.333333333333329</v>
      </c>
      <c r="L107" s="238"/>
      <c r="M107" s="226">
        <v>0</v>
      </c>
      <c r="N107" s="235">
        <v>0</v>
      </c>
      <c r="O107" s="226">
        <v>0</v>
      </c>
      <c r="P107" s="226">
        <v>400965284.77256012</v>
      </c>
      <c r="Q107" s="226">
        <v>0</v>
      </c>
      <c r="R107" s="266">
        <v>0</v>
      </c>
      <c r="S107" s="66"/>
    </row>
    <row r="108" spans="1:19" ht="35.25" customHeight="1">
      <c r="A108" s="61"/>
      <c r="B108" s="278" t="s">
        <v>432</v>
      </c>
      <c r="C108" s="244" t="s">
        <v>184</v>
      </c>
      <c r="D108" s="235">
        <v>1</v>
      </c>
      <c r="E108" s="235">
        <v>1</v>
      </c>
      <c r="F108" s="235">
        <v>100</v>
      </c>
      <c r="G108" s="246"/>
      <c r="H108" s="226" t="s">
        <v>500</v>
      </c>
      <c r="I108" s="235">
        <v>1</v>
      </c>
      <c r="J108" s="226">
        <v>1</v>
      </c>
      <c r="K108" s="226">
        <v>25</v>
      </c>
      <c r="L108" s="238"/>
      <c r="M108" s="226">
        <v>4584866</v>
      </c>
      <c r="N108" s="235">
        <v>4584866</v>
      </c>
      <c r="O108" s="226">
        <v>0</v>
      </c>
      <c r="P108" s="226">
        <v>14237155.146499999</v>
      </c>
      <c r="Q108" s="226">
        <v>4584866</v>
      </c>
      <c r="R108" s="266">
        <v>32.20352628612833</v>
      </c>
      <c r="S108" s="66"/>
    </row>
    <row r="109" spans="1:19" ht="35.25" customHeight="1">
      <c r="A109" s="61"/>
      <c r="B109" s="278" t="s">
        <v>433</v>
      </c>
      <c r="C109" s="244" t="s">
        <v>129</v>
      </c>
      <c r="D109" s="235">
        <v>1</v>
      </c>
      <c r="E109" s="235">
        <v>1</v>
      </c>
      <c r="F109" s="235">
        <v>100</v>
      </c>
      <c r="G109" s="246"/>
      <c r="H109" s="226" t="s">
        <v>500</v>
      </c>
      <c r="I109" s="235">
        <v>2</v>
      </c>
      <c r="J109" s="226">
        <v>1</v>
      </c>
      <c r="K109" s="226">
        <v>50</v>
      </c>
      <c r="L109" s="238"/>
      <c r="M109" s="226">
        <v>50200000</v>
      </c>
      <c r="N109" s="235">
        <v>50191686</v>
      </c>
      <c r="O109" s="226">
        <v>0</v>
      </c>
      <c r="P109" s="226">
        <v>100400000</v>
      </c>
      <c r="Q109" s="226">
        <v>50191686</v>
      </c>
      <c r="R109" s="266">
        <v>49.99171912350598</v>
      </c>
      <c r="S109" s="66"/>
    </row>
    <row r="110" spans="1:19" ht="51.75" customHeight="1">
      <c r="A110" s="61"/>
      <c r="B110" s="278" t="s">
        <v>495</v>
      </c>
      <c r="C110" s="244" t="s">
        <v>496</v>
      </c>
      <c r="D110" s="235" t="s">
        <v>500</v>
      </c>
      <c r="E110" s="235" t="s">
        <v>500</v>
      </c>
      <c r="F110" s="235" t="s">
        <v>500</v>
      </c>
      <c r="G110" s="246"/>
      <c r="H110" s="226" t="s">
        <v>500</v>
      </c>
      <c r="I110" s="226" t="s">
        <v>500</v>
      </c>
      <c r="J110" s="226" t="s">
        <v>500</v>
      </c>
      <c r="K110" s="226" t="s">
        <v>500</v>
      </c>
      <c r="L110" s="238"/>
      <c r="M110" s="226">
        <v>7462399</v>
      </c>
      <c r="N110" s="235">
        <v>7462399</v>
      </c>
      <c r="O110" s="226">
        <v>100</v>
      </c>
      <c r="P110" s="226">
        <v>45860600</v>
      </c>
      <c r="Q110" s="226">
        <v>7462399</v>
      </c>
      <c r="R110" s="266">
        <v>16.271917506530663</v>
      </c>
      <c r="S110" s="66"/>
    </row>
    <row r="111" spans="1:19" ht="45" customHeight="1">
      <c r="A111" s="61"/>
      <c r="B111" s="208" t="s">
        <v>453</v>
      </c>
      <c r="C111" s="286"/>
      <c r="D111" s="254"/>
      <c r="E111" s="250"/>
      <c r="F111" s="251">
        <f>AVERAGE(F112:F116)</f>
        <v>100</v>
      </c>
      <c r="G111" s="252"/>
      <c r="H111" s="206"/>
      <c r="I111" s="265"/>
      <c r="J111" s="254"/>
      <c r="K111" s="204">
        <f>AVERAGE(K112:K117)</f>
        <v>25</v>
      </c>
      <c r="L111" s="204"/>
      <c r="M111" s="254">
        <f>SUM(M112:M117)</f>
        <v>1610000000</v>
      </c>
      <c r="N111" s="265">
        <f>SUM(N112:N117)</f>
        <v>1562797169</v>
      </c>
      <c r="O111" s="204">
        <f>(N111/M111)*100</f>
        <v>97.068147142857143</v>
      </c>
      <c r="P111" s="254">
        <f>SUM(P112:P117)</f>
        <v>5710000000</v>
      </c>
      <c r="Q111" s="265">
        <f>SUM(Q112:Q117)</f>
        <v>1562797169</v>
      </c>
      <c r="R111" s="204">
        <f>+(Q111/P111)*100</f>
        <v>27.369477565674256</v>
      </c>
      <c r="S111" s="66"/>
    </row>
    <row r="112" spans="1:19" ht="92.25" customHeight="1">
      <c r="A112" s="61"/>
      <c r="B112" s="243" t="s">
        <v>434</v>
      </c>
      <c r="C112" s="244" t="s">
        <v>1</v>
      </c>
      <c r="D112" s="235">
        <v>25</v>
      </c>
      <c r="E112" s="235">
        <v>25</v>
      </c>
      <c r="F112" s="235">
        <v>100</v>
      </c>
      <c r="G112" s="246"/>
      <c r="H112" s="226" t="s">
        <v>500</v>
      </c>
      <c r="I112" s="235">
        <v>100</v>
      </c>
      <c r="J112" s="226">
        <v>25</v>
      </c>
      <c r="K112" s="226">
        <v>25</v>
      </c>
      <c r="L112" s="238"/>
      <c r="M112" s="226">
        <v>0</v>
      </c>
      <c r="N112" s="235">
        <v>0</v>
      </c>
      <c r="O112" s="226">
        <v>0</v>
      </c>
      <c r="P112" s="226">
        <v>0</v>
      </c>
      <c r="Q112" s="226">
        <v>0</v>
      </c>
      <c r="R112" s="248">
        <v>0</v>
      </c>
      <c r="S112" s="66"/>
    </row>
    <row r="113" spans="1:19" ht="43.5" customHeight="1">
      <c r="A113" s="61"/>
      <c r="B113" s="289" t="s">
        <v>435</v>
      </c>
      <c r="C113" s="244" t="s">
        <v>486</v>
      </c>
      <c r="D113" s="235">
        <v>1</v>
      </c>
      <c r="E113" s="235">
        <v>1</v>
      </c>
      <c r="F113" s="235">
        <v>100</v>
      </c>
      <c r="G113" s="246"/>
      <c r="H113" s="226" t="s">
        <v>500</v>
      </c>
      <c r="I113" s="235">
        <v>1</v>
      </c>
      <c r="J113" s="226">
        <v>1</v>
      </c>
      <c r="K113" s="226">
        <v>25</v>
      </c>
      <c r="L113" s="238"/>
      <c r="M113" s="226">
        <v>264620800</v>
      </c>
      <c r="N113" s="235">
        <v>259667370</v>
      </c>
      <c r="O113" s="226">
        <v>98.128102552784966</v>
      </c>
      <c r="P113" s="226">
        <v>496623363</v>
      </c>
      <c r="Q113" s="226">
        <v>259667370</v>
      </c>
      <c r="R113" s="266">
        <v>52.286579598551832</v>
      </c>
      <c r="S113" s="66"/>
    </row>
    <row r="114" spans="1:19" ht="51" customHeight="1">
      <c r="A114" s="61"/>
      <c r="B114" s="239" t="s">
        <v>436</v>
      </c>
      <c r="C114" s="244" t="s">
        <v>178</v>
      </c>
      <c r="D114" s="235">
        <v>1</v>
      </c>
      <c r="E114" s="235">
        <v>1</v>
      </c>
      <c r="F114" s="235">
        <v>100</v>
      </c>
      <c r="G114" s="246"/>
      <c r="H114" s="226" t="s">
        <v>500</v>
      </c>
      <c r="I114" s="235">
        <v>0.75</v>
      </c>
      <c r="J114" s="226">
        <v>1</v>
      </c>
      <c r="K114" s="226">
        <v>25</v>
      </c>
      <c r="L114" s="238"/>
      <c r="M114" s="226">
        <v>1188379200</v>
      </c>
      <c r="N114" s="235">
        <v>1156645716</v>
      </c>
      <c r="O114" s="226">
        <v>97.329683656529824</v>
      </c>
      <c r="P114" s="226">
        <v>2458279200</v>
      </c>
      <c r="Q114" s="226">
        <v>1156645716</v>
      </c>
      <c r="R114" s="266">
        <v>47.051031306777517</v>
      </c>
      <c r="S114" s="66"/>
    </row>
    <row r="115" spans="1:19" ht="75" customHeight="1">
      <c r="A115" s="61"/>
      <c r="B115" s="239" t="s">
        <v>437</v>
      </c>
      <c r="C115" s="244" t="s">
        <v>487</v>
      </c>
      <c r="D115" s="235">
        <v>1</v>
      </c>
      <c r="E115" s="235">
        <v>1</v>
      </c>
      <c r="F115" s="235">
        <v>100</v>
      </c>
      <c r="G115" s="246"/>
      <c r="H115" s="226" t="s">
        <v>500</v>
      </c>
      <c r="I115" s="235">
        <v>4</v>
      </c>
      <c r="J115" s="226">
        <v>1</v>
      </c>
      <c r="K115" s="226">
        <v>25</v>
      </c>
      <c r="L115" s="238"/>
      <c r="M115" s="226">
        <v>0</v>
      </c>
      <c r="N115" s="235">
        <v>0</v>
      </c>
      <c r="O115" s="226">
        <v>0</v>
      </c>
      <c r="P115" s="226">
        <v>1055588014</v>
      </c>
      <c r="Q115" s="226">
        <v>0</v>
      </c>
      <c r="R115" s="266">
        <v>0</v>
      </c>
      <c r="S115" s="66"/>
    </row>
    <row r="116" spans="1:19" ht="75" customHeight="1">
      <c r="A116" s="61"/>
      <c r="B116" s="239" t="s">
        <v>438</v>
      </c>
      <c r="C116" s="244" t="s">
        <v>184</v>
      </c>
      <c r="D116" s="235">
        <v>1</v>
      </c>
      <c r="E116" s="235">
        <v>1</v>
      </c>
      <c r="F116" s="235">
        <v>100</v>
      </c>
      <c r="G116" s="246"/>
      <c r="H116" s="226" t="s">
        <v>500</v>
      </c>
      <c r="I116" s="235">
        <v>1</v>
      </c>
      <c r="J116" s="226">
        <v>1</v>
      </c>
      <c r="K116" s="226">
        <v>25</v>
      </c>
      <c r="L116" s="238"/>
      <c r="M116" s="226">
        <v>140000000</v>
      </c>
      <c r="N116" s="235">
        <v>132922987</v>
      </c>
      <c r="O116" s="226">
        <v>0</v>
      </c>
      <c r="P116" s="226">
        <v>1630406164</v>
      </c>
      <c r="Q116" s="226">
        <v>132922987</v>
      </c>
      <c r="R116" s="266">
        <v>8.1527529725408954</v>
      </c>
      <c r="S116" s="66"/>
    </row>
    <row r="117" spans="1:19" ht="75" customHeight="1">
      <c r="A117" s="61"/>
      <c r="B117" s="278" t="s">
        <v>495</v>
      </c>
      <c r="C117" s="244" t="s">
        <v>496</v>
      </c>
      <c r="D117" s="235" t="s">
        <v>500</v>
      </c>
      <c r="E117" s="235" t="s">
        <v>500</v>
      </c>
      <c r="F117" s="245" t="s">
        <v>500</v>
      </c>
      <c r="G117" s="246"/>
      <c r="H117" s="226" t="s">
        <v>500</v>
      </c>
      <c r="I117" s="226" t="s">
        <v>500</v>
      </c>
      <c r="J117" s="226" t="s">
        <v>500</v>
      </c>
      <c r="K117" s="226" t="s">
        <v>500</v>
      </c>
      <c r="L117" s="238"/>
      <c r="M117" s="226">
        <v>17000000</v>
      </c>
      <c r="N117" s="235">
        <v>13561096</v>
      </c>
      <c r="O117" s="226">
        <v>79.771152941176467</v>
      </c>
      <c r="P117" s="226">
        <v>69103259</v>
      </c>
      <c r="Q117" s="226">
        <v>13561096</v>
      </c>
      <c r="R117" s="266">
        <v>19.624394270608857</v>
      </c>
      <c r="S117" s="66"/>
    </row>
    <row r="118" spans="1:19" ht="36" customHeight="1" thickBot="1">
      <c r="B118" s="509" t="s">
        <v>83</v>
      </c>
      <c r="C118" s="510"/>
      <c r="D118" s="302"/>
      <c r="E118" s="70"/>
      <c r="F118" s="303">
        <f>AVERAGE(F5,F33,F55,F69,F87,F100)</f>
        <v>99.583333333333329</v>
      </c>
      <c r="G118" s="304"/>
      <c r="H118" s="304"/>
      <c r="I118" s="305"/>
      <c r="J118" s="302"/>
      <c r="K118" s="304">
        <f>+(K5+K33+K55+K69+K87+K100)/6</f>
        <v>34.794049488324326</v>
      </c>
      <c r="L118" s="70"/>
      <c r="M118" s="305">
        <f>+M5+M33+M55+M69+M87+M100</f>
        <v>31883600736</v>
      </c>
      <c r="N118" s="305">
        <f>SUM(N5+N33+N55+N69+N87+N100)</f>
        <v>31023133223</v>
      </c>
      <c r="O118" s="304">
        <f>+N118/M118*100</f>
        <v>97.301222279990355</v>
      </c>
      <c r="P118" s="305">
        <f>+P6+P19+P30+P34+P46+P56+P64+P70+P88+P95+P101+P111</f>
        <v>85741294768.158966</v>
      </c>
      <c r="Q118" s="305">
        <f>+Q6+Q19+Q30+Q34+Q46+Q56+Q64+Q70+Q88+Q95+Q101+Q111</f>
        <v>31023133223</v>
      </c>
      <c r="R118" s="304">
        <f>+Q118/P118*100</f>
        <v>36.182254194883939</v>
      </c>
      <c r="S118" s="71"/>
    </row>
    <row r="119" spans="1:19" ht="48" customHeight="1">
      <c r="B119" s="508" t="s">
        <v>134</v>
      </c>
      <c r="C119" s="508"/>
      <c r="D119" s="508"/>
      <c r="E119" s="508"/>
      <c r="F119" s="508"/>
      <c r="G119" s="508"/>
      <c r="H119" s="508"/>
      <c r="I119" s="508"/>
      <c r="J119" s="508"/>
      <c r="K119" s="508"/>
      <c r="L119" s="508"/>
      <c r="M119" s="508"/>
      <c r="N119" s="508"/>
      <c r="O119" s="508"/>
      <c r="P119" s="508"/>
      <c r="Q119" s="508"/>
      <c r="R119" s="508"/>
      <c r="S119" s="508"/>
    </row>
    <row r="120" spans="1:19" ht="25.5">
      <c r="I120" s="29"/>
      <c r="J120" s="29"/>
      <c r="K120" s="181"/>
      <c r="L120" s="29"/>
      <c r="N120" s="161"/>
      <c r="O120" s="161"/>
      <c r="P120" s="161"/>
      <c r="Q120" s="30"/>
      <c r="S120" s="306"/>
    </row>
    <row r="121" spans="1:19" ht="25.5">
      <c r="I121" s="29"/>
      <c r="J121" s="29"/>
      <c r="K121" s="181"/>
      <c r="L121" s="29"/>
      <c r="N121" s="216"/>
      <c r="O121" s="161"/>
      <c r="P121" s="161"/>
      <c r="Q121" s="29"/>
      <c r="S121" s="306"/>
    </row>
    <row r="122" spans="1:19" ht="25.5">
      <c r="I122" s="29"/>
      <c r="J122" s="29"/>
      <c r="K122" s="181"/>
      <c r="L122" s="29"/>
      <c r="N122" s="161"/>
      <c r="O122" s="161"/>
      <c r="P122" s="161"/>
      <c r="Q122" s="29"/>
      <c r="S122" s="306"/>
    </row>
    <row r="123" spans="1:19" ht="25.5">
      <c r="I123" s="29"/>
      <c r="J123" s="29"/>
      <c r="K123" s="181"/>
      <c r="L123" s="29"/>
      <c r="M123" s="218"/>
      <c r="N123" s="160"/>
      <c r="O123" s="160"/>
      <c r="P123" s="161"/>
      <c r="Q123" s="29"/>
      <c r="S123" s="306"/>
    </row>
    <row r="124" spans="1:19" ht="25.5">
      <c r="I124" s="29"/>
      <c r="J124" s="29"/>
      <c r="K124" s="181"/>
      <c r="L124" s="29"/>
      <c r="M124" s="218"/>
      <c r="N124" s="160"/>
      <c r="O124" s="160"/>
      <c r="P124" s="161"/>
      <c r="Q124" s="29"/>
      <c r="S124" s="306"/>
    </row>
    <row r="125" spans="1:19" ht="25.5">
      <c r="I125" s="29"/>
      <c r="J125" s="29"/>
      <c r="K125" s="181"/>
      <c r="L125" s="29"/>
      <c r="M125" s="218"/>
      <c r="N125" s="160"/>
      <c r="O125" s="160"/>
      <c r="P125" s="161"/>
      <c r="Q125" s="29"/>
      <c r="S125" s="307"/>
    </row>
    <row r="126" spans="1:19">
      <c r="I126" s="29"/>
      <c r="J126" s="29"/>
      <c r="K126" s="181"/>
      <c r="L126" s="29"/>
      <c r="M126" s="218"/>
      <c r="N126" s="215"/>
      <c r="O126" s="215"/>
      <c r="P126" s="164"/>
      <c r="Q126" s="29"/>
    </row>
    <row r="127" spans="1:19">
      <c r="I127" s="29"/>
      <c r="J127" s="29"/>
      <c r="K127" s="181"/>
      <c r="L127" s="29"/>
      <c r="M127" s="218"/>
      <c r="N127" s="215"/>
      <c r="O127" s="215"/>
      <c r="P127" s="164"/>
      <c r="Q127" s="29"/>
    </row>
    <row r="128" spans="1:19">
      <c r="I128" s="29"/>
      <c r="J128" s="29"/>
      <c r="K128" s="181"/>
      <c r="L128" s="29"/>
      <c r="M128" s="218"/>
      <c r="N128" s="215"/>
      <c r="O128" s="215"/>
      <c r="P128" s="29"/>
      <c r="Q128" s="29"/>
    </row>
    <row r="129" spans="9:17">
      <c r="I129" s="29"/>
      <c r="J129" s="29"/>
      <c r="K129" s="181"/>
      <c r="L129" s="29"/>
      <c r="M129" s="218"/>
      <c r="N129" s="215"/>
      <c r="O129" s="215"/>
      <c r="P129" s="29"/>
      <c r="Q129" s="29"/>
    </row>
    <row r="130" spans="9:17">
      <c r="I130" s="29"/>
      <c r="J130" s="29"/>
      <c r="K130" s="181"/>
      <c r="L130" s="29"/>
      <c r="M130" s="218"/>
      <c r="N130" s="215"/>
      <c r="O130" s="215"/>
      <c r="P130" s="29"/>
      <c r="Q130" s="29"/>
    </row>
    <row r="131" spans="9:17">
      <c r="I131" s="29"/>
      <c r="J131" s="29"/>
      <c r="K131" s="181"/>
      <c r="L131" s="29"/>
      <c r="M131" s="218"/>
      <c r="N131" s="215"/>
      <c r="O131" s="215"/>
      <c r="P131" s="29"/>
      <c r="Q131" s="29"/>
    </row>
    <row r="132" spans="9:17">
      <c r="I132" s="29"/>
      <c r="J132" s="29"/>
      <c r="K132" s="181"/>
      <c r="L132" s="29"/>
      <c r="P132" s="29"/>
      <c r="Q132" s="29"/>
    </row>
    <row r="133" spans="9:17">
      <c r="I133" s="29"/>
      <c r="J133" s="29"/>
      <c r="K133" s="181"/>
      <c r="L133" s="29"/>
      <c r="P133" s="29"/>
      <c r="Q133" s="29"/>
    </row>
    <row r="134" spans="9:17">
      <c r="I134" s="29"/>
      <c r="J134" s="29"/>
      <c r="K134" s="181"/>
      <c r="L134" s="29"/>
      <c r="P134" s="29"/>
      <c r="Q134" s="29"/>
    </row>
    <row r="135" spans="9:17">
      <c r="I135" s="29"/>
      <c r="J135" s="29"/>
      <c r="K135" s="181"/>
      <c r="L135" s="29"/>
      <c r="P135" s="29"/>
      <c r="Q135" s="29"/>
    </row>
    <row r="136" spans="9:17">
      <c r="I136" s="29"/>
      <c r="J136" s="29"/>
      <c r="K136" s="181"/>
      <c r="L136" s="29"/>
      <c r="P136" s="29"/>
      <c r="Q136" s="29"/>
    </row>
    <row r="137" spans="9:17">
      <c r="I137" s="29"/>
      <c r="J137" s="29"/>
      <c r="K137" s="181"/>
      <c r="L137" s="29"/>
      <c r="P137" s="29"/>
      <c r="Q137" s="29"/>
    </row>
    <row r="138" spans="9:17">
      <c r="I138" s="29"/>
      <c r="J138" s="29"/>
      <c r="K138" s="181"/>
      <c r="L138" s="29"/>
      <c r="P138" s="29"/>
      <c r="Q138" s="29"/>
    </row>
    <row r="139" spans="9:17">
      <c r="I139" s="29"/>
      <c r="J139" s="29"/>
      <c r="K139" s="181"/>
      <c r="L139" s="29"/>
      <c r="P139" s="29"/>
      <c r="Q139" s="29"/>
    </row>
    <row r="140" spans="9:17">
      <c r="I140" s="29"/>
      <c r="J140" s="29"/>
      <c r="K140" s="181"/>
      <c r="L140" s="29"/>
      <c r="P140" s="29"/>
      <c r="Q140" s="29"/>
    </row>
    <row r="141" spans="9:17">
      <c r="I141" s="29"/>
      <c r="J141" s="29"/>
      <c r="K141" s="181"/>
      <c r="L141" s="29"/>
      <c r="P141" s="29"/>
      <c r="Q141" s="29"/>
    </row>
    <row r="142" spans="9:17">
      <c r="I142" s="29"/>
      <c r="J142" s="29"/>
      <c r="K142" s="181"/>
      <c r="L142" s="29"/>
      <c r="P142" s="29"/>
      <c r="Q142" s="29"/>
    </row>
    <row r="143" spans="9:17">
      <c r="I143" s="29"/>
      <c r="J143" s="29"/>
      <c r="K143" s="181"/>
      <c r="L143" s="29"/>
      <c r="P143" s="29"/>
      <c r="Q143" s="29"/>
    </row>
    <row r="144" spans="9:17">
      <c r="I144" s="29"/>
      <c r="J144" s="29"/>
      <c r="K144" s="181"/>
      <c r="L144" s="29"/>
      <c r="P144" s="29"/>
      <c r="Q144" s="29"/>
    </row>
    <row r="145" spans="9:17">
      <c r="I145" s="29"/>
      <c r="J145" s="29"/>
      <c r="K145" s="181"/>
      <c r="L145" s="29"/>
      <c r="P145" s="29"/>
      <c r="Q145" s="29"/>
    </row>
    <row r="146" spans="9:17">
      <c r="I146" s="29"/>
      <c r="J146" s="29"/>
      <c r="K146" s="181"/>
      <c r="L146" s="29"/>
      <c r="P146" s="29"/>
      <c r="Q146" s="29"/>
    </row>
    <row r="147" spans="9:17">
      <c r="I147" s="29"/>
      <c r="J147" s="29"/>
      <c r="K147" s="181"/>
      <c r="L147" s="29"/>
      <c r="P147" s="29"/>
      <c r="Q147" s="29"/>
    </row>
    <row r="148" spans="9:17">
      <c r="I148" s="29"/>
      <c r="J148" s="29"/>
      <c r="K148" s="181"/>
      <c r="L148" s="29"/>
      <c r="P148" s="29"/>
      <c r="Q148" s="29"/>
    </row>
  </sheetData>
  <mergeCells count="8">
    <mergeCell ref="B119:S119"/>
    <mergeCell ref="B118:C118"/>
    <mergeCell ref="B1:S1"/>
    <mergeCell ref="B3:B4"/>
    <mergeCell ref="C3:K3"/>
    <mergeCell ref="B2:S2"/>
    <mergeCell ref="M3:R3"/>
    <mergeCell ref="S3:S4"/>
  </mergeCells>
  <phoneticPr fontId="17"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75" workbookViewId="0">
      <selection activeCell="B18" sqref="B18"/>
    </sheetView>
  </sheetViews>
  <sheetFormatPr baseColWidth="10" defaultRowHeight="12.75"/>
  <cols>
    <col min="1" max="1" width="33.5703125" customWidth="1"/>
    <col min="2" max="2" width="72.140625" customWidth="1"/>
  </cols>
  <sheetData>
    <row r="1" spans="1:2" ht="14.25" thickBot="1">
      <c r="A1" s="636" t="s">
        <v>47</v>
      </c>
      <c r="B1" s="636"/>
    </row>
    <row r="2" spans="1:2" ht="13.5" customHeight="1">
      <c r="A2" s="632" t="s">
        <v>30</v>
      </c>
      <c r="B2" s="633"/>
    </row>
    <row r="3" spans="1:2" ht="14.25" thickBot="1">
      <c r="A3" s="634" t="s">
        <v>48</v>
      </c>
      <c r="B3" s="635"/>
    </row>
    <row r="4" spans="1:2" ht="13.5" thickBot="1">
      <c r="A4" s="6" t="s">
        <v>32</v>
      </c>
      <c r="B4" s="7" t="s">
        <v>33</v>
      </c>
    </row>
    <row r="5" spans="1:2" ht="26.25" thickBot="1">
      <c r="A5" s="14" t="s">
        <v>14</v>
      </c>
      <c r="B5" s="15" t="s">
        <v>15</v>
      </c>
    </row>
    <row r="6" spans="1:2" ht="30" customHeight="1" thickBot="1">
      <c r="A6" s="14" t="s">
        <v>121</v>
      </c>
      <c r="B6" s="15" t="s">
        <v>123</v>
      </c>
    </row>
    <row r="7" spans="1:2" ht="64.5" thickBot="1">
      <c r="A7" s="13" t="s">
        <v>122</v>
      </c>
      <c r="B7" s="16" t="s">
        <v>68</v>
      </c>
    </row>
    <row r="8" spans="1:2" ht="39" thickBot="1">
      <c r="A8" s="13" t="s">
        <v>13</v>
      </c>
      <c r="B8" s="16" t="s">
        <v>7</v>
      </c>
    </row>
    <row r="9" spans="1:2" ht="64.5" thickBot="1">
      <c r="A9" s="13" t="s">
        <v>49</v>
      </c>
      <c r="B9" s="16" t="s">
        <v>8</v>
      </c>
    </row>
    <row r="10" spans="1:2" ht="64.5" thickBot="1">
      <c r="A10" s="13" t="s">
        <v>50</v>
      </c>
      <c r="B10" s="16" t="s">
        <v>9</v>
      </c>
    </row>
    <row r="11" spans="1:2" ht="68.25" customHeight="1" thickBot="1">
      <c r="A11" s="13" t="s">
        <v>51</v>
      </c>
      <c r="B11" s="16" t="s">
        <v>10</v>
      </c>
    </row>
    <row r="12" spans="1:2" ht="26.25" thickBot="1">
      <c r="A12" s="13" t="s">
        <v>26</v>
      </c>
      <c r="B12" s="16" t="s">
        <v>11</v>
      </c>
    </row>
    <row r="13" spans="1:2" ht="32.25" customHeight="1" thickBot="1">
      <c r="A13" s="13" t="s">
        <v>27</v>
      </c>
      <c r="B13" s="16" t="s">
        <v>120</v>
      </c>
    </row>
    <row r="14" spans="1:2" ht="47.25" customHeight="1" thickBot="1">
      <c r="A14" s="13" t="s">
        <v>52</v>
      </c>
      <c r="B14" s="16" t="s">
        <v>53</v>
      </c>
    </row>
    <row r="15" spans="1:2" ht="26.25" thickBot="1">
      <c r="A15" s="13" t="s">
        <v>28</v>
      </c>
      <c r="B15" s="16" t="s">
        <v>16</v>
      </c>
    </row>
    <row r="16" spans="1:2">
      <c r="B16" s="12"/>
    </row>
  </sheetData>
  <mergeCells count="3">
    <mergeCell ref="A2:B2"/>
    <mergeCell ref="A3:B3"/>
    <mergeCell ref="A1:B1"/>
  </mergeCells>
  <phoneticPr fontId="17"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election activeCell="E18" sqref="E18"/>
    </sheetView>
  </sheetViews>
  <sheetFormatPr baseColWidth="10" defaultRowHeight="12.75"/>
  <sheetData>
    <row r="4" spans="4:5">
      <c r="D4" t="s">
        <v>141</v>
      </c>
      <c r="E4">
        <v>57</v>
      </c>
    </row>
    <row r="5" spans="4:5">
      <c r="D5" t="s">
        <v>167</v>
      </c>
      <c r="E5">
        <v>70</v>
      </c>
    </row>
    <row r="6" spans="4:5">
      <c r="D6" t="s">
        <v>136</v>
      </c>
      <c r="E6">
        <v>47</v>
      </c>
    </row>
    <row r="7" spans="4:5">
      <c r="D7" t="s">
        <v>156</v>
      </c>
      <c r="E7">
        <v>67</v>
      </c>
    </row>
    <row r="8" spans="4:5">
      <c r="D8" t="s">
        <v>147</v>
      </c>
      <c r="E8">
        <v>14</v>
      </c>
    </row>
    <row r="9" spans="4:5">
      <c r="D9" t="s">
        <v>143</v>
      </c>
      <c r="E9">
        <v>48</v>
      </c>
    </row>
    <row r="10" spans="4:5">
      <c r="D10" t="s">
        <v>149</v>
      </c>
      <c r="E10">
        <v>18</v>
      </c>
    </row>
    <row r="11" spans="4:5">
      <c r="D11" t="s">
        <v>150</v>
      </c>
      <c r="E11">
        <v>32</v>
      </c>
    </row>
    <row r="12" spans="4:5">
      <c r="D12" t="s">
        <v>138</v>
      </c>
      <c r="E12">
        <v>32</v>
      </c>
    </row>
    <row r="13" spans="4:5">
      <c r="D13" t="s">
        <v>151</v>
      </c>
      <c r="E13">
        <v>78</v>
      </c>
    </row>
    <row r="14" spans="4:5">
      <c r="D14" t="s">
        <v>168</v>
      </c>
      <c r="E14">
        <v>47</v>
      </c>
    </row>
    <row r="15" spans="4:5">
      <c r="D15" t="s">
        <v>169</v>
      </c>
      <c r="E15">
        <v>45</v>
      </c>
    </row>
    <row r="16" spans="4:5">
      <c r="D16" t="s">
        <v>170</v>
      </c>
      <c r="E16">
        <v>99</v>
      </c>
    </row>
    <row r="17" spans="4:5">
      <c r="D17" t="s">
        <v>137</v>
      </c>
      <c r="E17">
        <v>60</v>
      </c>
    </row>
    <row r="18" spans="4:5">
      <c r="E18">
        <f>AVERAGE(E4:E17,E4:E17)</f>
        <v>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zoomScale="90" zoomScaleNormal="90" workbookViewId="0">
      <pane xSplit="3" ySplit="1" topLeftCell="D2" activePane="bottomRight" state="frozen"/>
      <selection pane="topRight" activeCell="D1" sqref="D1"/>
      <selection pane="bottomLeft" activeCell="A2" sqref="A2"/>
      <selection pane="bottomRight" activeCell="D2" sqref="D2:D4"/>
    </sheetView>
  </sheetViews>
  <sheetFormatPr baseColWidth="10" defaultRowHeight="12.75"/>
  <cols>
    <col min="4" max="4" width="21.42578125" customWidth="1"/>
    <col min="5" max="5" width="14.5703125" customWidth="1"/>
    <col min="6" max="6" width="27.85546875" customWidth="1"/>
    <col min="7" max="7" width="21" style="182" customWidth="1"/>
    <col min="8" max="8" width="23.140625" customWidth="1"/>
    <col min="9" max="9" width="24.5703125" customWidth="1"/>
  </cols>
  <sheetData>
    <row r="1" spans="4:9" ht="29.25" customHeight="1">
      <c r="D1" s="185" t="s">
        <v>335</v>
      </c>
      <c r="E1" s="187" t="s">
        <v>336</v>
      </c>
      <c r="F1" s="185" t="s">
        <v>320</v>
      </c>
      <c r="G1" s="187" t="s">
        <v>337</v>
      </c>
      <c r="H1" s="201" t="s">
        <v>344</v>
      </c>
      <c r="I1" s="201" t="s">
        <v>345</v>
      </c>
    </row>
    <row r="2" spans="4:9" ht="51">
      <c r="D2" s="637" t="str">
        <f>+'Anexo 1 Matriz SINA Inf Gestión'!B5</f>
        <v>PROGRAMA 1 Ordenamiento y administracion del recurso hídrico y las cuencas Hidrográficas</v>
      </c>
      <c r="E2" s="640">
        <v>70.865913783143426</v>
      </c>
      <c r="F2" s="183" t="s">
        <v>321</v>
      </c>
      <c r="G2" s="184">
        <v>65</v>
      </c>
      <c r="H2" s="643">
        <v>64</v>
      </c>
      <c r="I2" s="184">
        <v>65</v>
      </c>
    </row>
    <row r="3" spans="4:9" ht="38.25">
      <c r="D3" s="638"/>
      <c r="E3" s="641"/>
      <c r="F3" s="183" t="s">
        <v>322</v>
      </c>
      <c r="G3" s="184">
        <v>84</v>
      </c>
      <c r="H3" s="643"/>
      <c r="I3" s="200">
        <v>65</v>
      </c>
    </row>
    <row r="4" spans="4:9" ht="41.25" customHeight="1">
      <c r="D4" s="639"/>
      <c r="E4" s="642"/>
      <c r="F4" s="183" t="s">
        <v>323</v>
      </c>
      <c r="G4" s="184">
        <v>64</v>
      </c>
      <c r="H4" s="643"/>
      <c r="I4" s="184">
        <v>64</v>
      </c>
    </row>
    <row r="5" spans="4:9" ht="38.25" customHeight="1">
      <c r="D5" s="637" t="str">
        <f>+'Anexo 1 Matriz SINA Inf Gestión'!B33</f>
        <v>PROGRAMA No. 2  BIODIVERSIDAD: FUENTE DE VIDA</v>
      </c>
      <c r="E5" s="640">
        <v>25.946640500887767</v>
      </c>
      <c r="F5" s="183" t="s">
        <v>324</v>
      </c>
      <c r="G5" s="184">
        <v>67</v>
      </c>
      <c r="H5" s="644">
        <v>29</v>
      </c>
      <c r="I5" s="184">
        <v>67</v>
      </c>
    </row>
    <row r="6" spans="4:9" ht="25.5">
      <c r="D6" s="638"/>
      <c r="E6" s="641"/>
      <c r="F6" s="183" t="s">
        <v>325</v>
      </c>
      <c r="G6" s="184">
        <v>0</v>
      </c>
      <c r="H6" s="644"/>
      <c r="I6" s="184">
        <v>0</v>
      </c>
    </row>
    <row r="7" spans="4:9" ht="38.25">
      <c r="D7" s="638"/>
      <c r="E7" s="641"/>
      <c r="F7" s="183" t="s">
        <v>331</v>
      </c>
      <c r="G7" s="184">
        <v>7</v>
      </c>
      <c r="H7" s="644"/>
      <c r="I7" s="200">
        <v>19</v>
      </c>
    </row>
    <row r="8" spans="4:9" ht="38.25">
      <c r="D8" s="639"/>
      <c r="E8" s="642"/>
      <c r="F8" s="183" t="s">
        <v>332</v>
      </c>
      <c r="G8" s="184">
        <v>30</v>
      </c>
      <c r="H8" s="644"/>
      <c r="I8" s="184">
        <v>30</v>
      </c>
    </row>
    <row r="9" spans="4:9" ht="25.5" customHeight="1">
      <c r="D9" s="637" t="str">
        <f>+'Anexo 1 Matriz SINA Inf Gestión'!B55</f>
        <v>PROGRAMA No. 3  ADAPTACIÓN PARA EL CRECIMIENTO VERDE</v>
      </c>
      <c r="E9" s="640">
        <v>46.477840998893633</v>
      </c>
      <c r="F9" s="183" t="s">
        <v>326</v>
      </c>
      <c r="G9" s="184">
        <v>55</v>
      </c>
      <c r="H9" s="644">
        <v>47</v>
      </c>
      <c r="I9" s="184">
        <v>55</v>
      </c>
    </row>
    <row r="10" spans="4:9" ht="45.75" customHeight="1">
      <c r="D10" s="639"/>
      <c r="E10" s="642"/>
      <c r="F10" s="183" t="s">
        <v>327</v>
      </c>
      <c r="G10" s="184">
        <v>38</v>
      </c>
      <c r="H10" s="644"/>
      <c r="I10" s="200">
        <v>39</v>
      </c>
    </row>
    <row r="11" spans="4:9" ht="38.25" customHeight="1">
      <c r="D11" s="637" t="str">
        <f>+'Anexo 1 Matriz SINA Inf Gestión'!B69</f>
        <v xml:space="preserve">PROGRAMA No. 4    CUIDA TU NATURALEZA </v>
      </c>
      <c r="E11" s="637">
        <v>55</v>
      </c>
      <c r="F11" s="183" t="s">
        <v>328</v>
      </c>
      <c r="G11" s="184">
        <v>66</v>
      </c>
      <c r="H11" s="644">
        <v>57</v>
      </c>
      <c r="I11" s="184">
        <v>68</v>
      </c>
    </row>
    <row r="12" spans="4:9" ht="38.25">
      <c r="D12" s="639"/>
      <c r="E12" s="639"/>
      <c r="F12" s="183" t="s">
        <v>329</v>
      </c>
      <c r="G12" s="184">
        <v>44</v>
      </c>
      <c r="H12" s="644"/>
      <c r="I12" s="200">
        <v>46</v>
      </c>
    </row>
    <row r="13" spans="4:9" ht="38.25">
      <c r="D13" s="186" t="e">
        <f>+'Anexo 1 Matriz SINA Inf Gestión'!#REF!</f>
        <v>#REF!</v>
      </c>
      <c r="E13" s="186">
        <v>54</v>
      </c>
      <c r="F13" s="183" t="s">
        <v>330</v>
      </c>
      <c r="G13" s="184">
        <v>54</v>
      </c>
      <c r="H13" s="184">
        <v>54</v>
      </c>
      <c r="I13" s="184">
        <v>54</v>
      </c>
    </row>
    <row r="14" spans="4:9" ht="51">
      <c r="D14" s="637" t="str">
        <f>+'Anexo 1 Matriz SINA Inf Gestión'!B100</f>
        <v>PROGRAMA No. 6  EDUCACIÓN CAMINO DE PAZ</v>
      </c>
      <c r="E14" s="640">
        <v>88.835714285714289</v>
      </c>
      <c r="F14" s="183" t="s">
        <v>333</v>
      </c>
      <c r="G14" s="184">
        <v>100</v>
      </c>
      <c r="H14" s="645">
        <v>89</v>
      </c>
      <c r="I14" s="184">
        <v>100</v>
      </c>
    </row>
    <row r="15" spans="4:9" ht="25.5">
      <c r="D15" s="639"/>
      <c r="E15" s="642"/>
      <c r="F15" s="183" t="s">
        <v>334</v>
      </c>
      <c r="G15" s="184">
        <v>78</v>
      </c>
      <c r="H15" s="646"/>
      <c r="I15" s="184">
        <v>78</v>
      </c>
    </row>
    <row r="18" spans="4:5" ht="15.75">
      <c r="D18" s="188" t="s">
        <v>338</v>
      </c>
      <c r="E18" s="189">
        <f>+'Anexo 1 Matriz SINA Inf Gestión'!K118</f>
        <v>34.794049488324326</v>
      </c>
    </row>
  </sheetData>
  <mergeCells count="15">
    <mergeCell ref="H2:H4"/>
    <mergeCell ref="H5:H8"/>
    <mergeCell ref="H9:H10"/>
    <mergeCell ref="H11:H12"/>
    <mergeCell ref="H14:H15"/>
    <mergeCell ref="E2:E4"/>
    <mergeCell ref="E5:E8"/>
    <mergeCell ref="E9:E10"/>
    <mergeCell ref="E11:E12"/>
    <mergeCell ref="E14:E15"/>
    <mergeCell ref="D2:D4"/>
    <mergeCell ref="D5:D8"/>
    <mergeCell ref="D9:D10"/>
    <mergeCell ref="D11:D12"/>
    <mergeCell ref="D14:D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6"/>
  <sheetViews>
    <sheetView view="pageBreakPreview" topLeftCell="A163" zoomScale="80" zoomScaleNormal="70" zoomScaleSheetLayoutView="80" workbookViewId="0">
      <selection activeCell="A74" sqref="A74:A92"/>
    </sheetView>
  </sheetViews>
  <sheetFormatPr baseColWidth="10" defaultRowHeight="14.25"/>
  <cols>
    <col min="1" max="1" width="22.28515625" style="342" customWidth="1"/>
    <col min="2" max="2" width="26.42578125" style="343" customWidth="1"/>
    <col min="3" max="3" width="29" style="343" hidden="1" customWidth="1"/>
    <col min="4" max="4" width="66.5703125" style="342" customWidth="1"/>
    <col min="5" max="5" width="18.42578125" style="342" customWidth="1"/>
    <col min="6" max="6" width="21" style="178" customWidth="1"/>
    <col min="7" max="7" width="17.5703125" style="178" customWidth="1"/>
    <col min="8" max="8" width="24.140625" style="179" customWidth="1"/>
    <col min="9" max="9" width="25.140625" style="180" customWidth="1"/>
    <col min="10" max="10" width="25.7109375" style="180" customWidth="1"/>
    <col min="11" max="11" width="18.42578125" style="341" hidden="1" customWidth="1"/>
    <col min="12" max="12" width="17" style="341" hidden="1" customWidth="1"/>
    <col min="13" max="14" width="14.42578125" style="165" hidden="1" customWidth="1"/>
    <col min="15" max="15" width="14.42578125" style="166" hidden="1" customWidth="1"/>
    <col min="16" max="16" width="14.42578125" style="158" hidden="1" customWidth="1"/>
    <col min="17" max="17" width="11.42578125" style="1"/>
    <col min="18" max="18" width="27.7109375" style="1" customWidth="1"/>
    <col min="19" max="19" width="11.42578125" style="1"/>
    <col min="20" max="16384" width="11.42578125" style="342"/>
  </cols>
  <sheetData>
    <row r="1" spans="1:19" s="335" customFormat="1" ht="34.5" customHeight="1">
      <c r="A1" s="569" t="s">
        <v>296</v>
      </c>
      <c r="B1" s="570"/>
      <c r="C1" s="570"/>
      <c r="D1" s="570"/>
      <c r="E1" s="570"/>
      <c r="F1" s="570"/>
      <c r="G1" s="570"/>
      <c r="H1" s="570"/>
      <c r="I1" s="570"/>
      <c r="J1" s="333" t="s">
        <v>297</v>
      </c>
      <c r="K1" s="334"/>
      <c r="L1" s="334"/>
      <c r="M1" s="155"/>
      <c r="N1" s="155"/>
      <c r="O1" s="156"/>
      <c r="P1" s="157"/>
      <c r="Q1" s="408"/>
      <c r="R1" s="408"/>
      <c r="S1" s="408"/>
    </row>
    <row r="2" spans="1:19" s="335" customFormat="1" ht="28.5" customHeight="1">
      <c r="A2" s="537"/>
      <c r="B2" s="544"/>
      <c r="C2" s="544"/>
      <c r="D2" s="544"/>
      <c r="E2" s="544"/>
      <c r="F2" s="544"/>
      <c r="G2" s="544"/>
      <c r="H2" s="544"/>
      <c r="I2" s="544"/>
      <c r="J2" s="337" t="s">
        <v>298</v>
      </c>
      <c r="K2" s="334"/>
      <c r="L2" s="334"/>
      <c r="M2" s="155"/>
      <c r="N2" s="155"/>
      <c r="O2" s="156"/>
      <c r="P2" s="157"/>
      <c r="Q2" s="408"/>
      <c r="R2" s="408"/>
      <c r="S2" s="408"/>
    </row>
    <row r="3" spans="1:19" s="335" customFormat="1" ht="55.5" customHeight="1" thickBot="1">
      <c r="A3" s="537"/>
      <c r="B3" s="544"/>
      <c r="C3" s="544"/>
      <c r="D3" s="544"/>
      <c r="E3" s="544"/>
      <c r="F3" s="544"/>
      <c r="G3" s="544"/>
      <c r="H3" s="544"/>
      <c r="I3" s="544"/>
      <c r="J3" s="338" t="s">
        <v>299</v>
      </c>
      <c r="K3" s="334"/>
      <c r="L3" s="334"/>
      <c r="M3" s="155"/>
      <c r="N3" s="155"/>
      <c r="O3" s="156"/>
      <c r="P3" s="157"/>
      <c r="Q3" s="408"/>
      <c r="R3" s="408"/>
      <c r="S3" s="408"/>
    </row>
    <row r="4" spans="1:19" s="335" customFormat="1" ht="8.25" customHeight="1">
      <c r="A4" s="339"/>
      <c r="B4" s="571"/>
      <c r="C4" s="571"/>
      <c r="D4" s="571"/>
      <c r="E4" s="571"/>
      <c r="F4" s="571"/>
      <c r="G4" s="571"/>
      <c r="H4" s="571"/>
      <c r="I4" s="571"/>
      <c r="J4" s="572"/>
      <c r="K4" s="334"/>
      <c r="L4" s="334"/>
      <c r="M4" s="155"/>
      <c r="N4" s="155"/>
      <c r="O4" s="156"/>
      <c r="P4" s="157"/>
      <c r="Q4" s="408"/>
      <c r="R4" s="408"/>
      <c r="S4" s="408"/>
    </row>
    <row r="5" spans="1:19" s="335" customFormat="1" ht="39" customHeight="1">
      <c r="A5" s="537" t="s">
        <v>300</v>
      </c>
      <c r="B5" s="544"/>
      <c r="C5" s="336"/>
      <c r="D5" s="573">
        <v>2016</v>
      </c>
      <c r="E5" s="574"/>
      <c r="F5" s="22"/>
      <c r="G5" s="336" t="s">
        <v>301</v>
      </c>
      <c r="H5" s="571" t="s">
        <v>506</v>
      </c>
      <c r="I5" s="571"/>
      <c r="J5" s="572"/>
      <c r="K5" s="334"/>
      <c r="L5" s="334"/>
      <c r="M5" s="155"/>
      <c r="N5" s="155"/>
      <c r="O5" s="156"/>
      <c r="P5" s="157"/>
      <c r="Q5" s="408"/>
      <c r="R5" s="408"/>
      <c r="S5" s="408"/>
    </row>
    <row r="6" spans="1:19" ht="8.25" customHeight="1" thickBot="1">
      <c r="A6" s="340"/>
      <c r="B6" s="575"/>
      <c r="C6" s="575"/>
      <c r="D6" s="575"/>
      <c r="E6" s="575"/>
      <c r="F6" s="575"/>
      <c r="G6" s="575"/>
      <c r="H6" s="575"/>
      <c r="I6" s="575"/>
      <c r="J6" s="576"/>
      <c r="M6" s="155"/>
      <c r="N6" s="155"/>
      <c r="O6" s="156"/>
    </row>
    <row r="7" spans="1:19" s="343" customFormat="1" ht="15.75" customHeight="1">
      <c r="A7" s="569" t="s">
        <v>302</v>
      </c>
      <c r="B7" s="581" t="s">
        <v>303</v>
      </c>
      <c r="C7" s="221"/>
      <c r="D7" s="559" t="s">
        <v>304</v>
      </c>
      <c r="E7" s="570" t="s">
        <v>94</v>
      </c>
      <c r="F7" s="570" t="s">
        <v>305</v>
      </c>
      <c r="G7" s="570"/>
      <c r="H7" s="578" t="s">
        <v>306</v>
      </c>
      <c r="I7" s="578"/>
      <c r="J7" s="579"/>
      <c r="K7" s="2"/>
      <c r="L7" s="2"/>
      <c r="M7" s="155"/>
      <c r="N7" s="155"/>
      <c r="O7" s="156"/>
      <c r="P7" s="39"/>
    </row>
    <row r="8" spans="1:19" s="1" customFormat="1" ht="45.75" customHeight="1" thickBot="1">
      <c r="A8" s="580"/>
      <c r="B8" s="582"/>
      <c r="C8" s="222"/>
      <c r="D8" s="560"/>
      <c r="E8" s="577"/>
      <c r="F8" s="344" t="s">
        <v>307</v>
      </c>
      <c r="G8" s="345" t="s">
        <v>308</v>
      </c>
      <c r="H8" s="346" t="s">
        <v>309</v>
      </c>
      <c r="I8" s="346" t="s">
        <v>310</v>
      </c>
      <c r="J8" s="347" t="s">
        <v>311</v>
      </c>
      <c r="K8" s="348"/>
      <c r="L8" s="348"/>
      <c r="M8" s="162" t="s">
        <v>312</v>
      </c>
      <c r="N8" s="162" t="s">
        <v>312</v>
      </c>
      <c r="O8" s="163" t="s">
        <v>313</v>
      </c>
      <c r="P8" s="38" t="s">
        <v>314</v>
      </c>
    </row>
    <row r="9" spans="1:19" s="1" customFormat="1" ht="76.5" customHeight="1">
      <c r="A9" s="525" t="s">
        <v>454</v>
      </c>
      <c r="B9" s="536" t="s">
        <v>455</v>
      </c>
      <c r="C9" s="350"/>
      <c r="D9" s="308" t="s">
        <v>353</v>
      </c>
      <c r="E9" s="309" t="s">
        <v>1</v>
      </c>
      <c r="F9" s="310">
        <v>60</v>
      </c>
      <c r="G9" s="311">
        <v>60</v>
      </c>
      <c r="H9" s="312">
        <f>+'Anexo 1 Matriz SINA Inf Gestión'!M7</f>
        <v>0</v>
      </c>
      <c r="I9" s="313">
        <f>+'Anexo 1 Matriz SINA Inf Gestión'!N7</f>
        <v>0</v>
      </c>
      <c r="J9" s="314">
        <f t="shared" ref="J9:J20" si="0">+H9-I9</f>
        <v>0</v>
      </c>
      <c r="K9" s="351"/>
      <c r="L9" s="348"/>
      <c r="M9" s="165"/>
      <c r="N9" s="165"/>
      <c r="O9" s="166"/>
      <c r="P9" s="225"/>
    </row>
    <row r="10" spans="1:19" s="1" customFormat="1" ht="48" customHeight="1">
      <c r="A10" s="525"/>
      <c r="B10" s="547"/>
      <c r="C10" s="352"/>
      <c r="D10" s="315" t="s">
        <v>357</v>
      </c>
      <c r="E10" s="316" t="s">
        <v>126</v>
      </c>
      <c r="F10" s="310">
        <v>3</v>
      </c>
      <c r="G10" s="311">
        <v>3</v>
      </c>
      <c r="H10" s="312">
        <f>+'Anexo 1 Matriz SINA Inf Gestión'!M8</f>
        <v>651901995</v>
      </c>
      <c r="I10" s="313">
        <f>+'Anexo 1 Matriz SINA Inf Gestión'!N8</f>
        <v>585239009</v>
      </c>
      <c r="J10" s="314">
        <f t="shared" si="0"/>
        <v>66662986</v>
      </c>
      <c r="K10" s="351"/>
      <c r="L10" s="348"/>
      <c r="M10" s="165"/>
      <c r="N10" s="165"/>
      <c r="O10" s="166"/>
      <c r="P10" s="225"/>
    </row>
    <row r="11" spans="1:19" s="1" customFormat="1" ht="52.5" customHeight="1">
      <c r="A11" s="525"/>
      <c r="B11" s="547"/>
      <c r="C11" s="352"/>
      <c r="D11" s="317" t="s">
        <v>350</v>
      </c>
      <c r="E11" s="316" t="s">
        <v>1</v>
      </c>
      <c r="F11" s="240">
        <v>30</v>
      </c>
      <c r="G11" s="311">
        <v>30</v>
      </c>
      <c r="H11" s="312">
        <f>+'Anexo 1 Matriz SINA Inf Gestión'!M9</f>
        <v>0</v>
      </c>
      <c r="I11" s="313">
        <f>+'Anexo 1 Matriz SINA Inf Gestión'!N9</f>
        <v>0</v>
      </c>
      <c r="J11" s="66">
        <f t="shared" si="0"/>
        <v>0</v>
      </c>
      <c r="K11" s="351">
        <v>118606003</v>
      </c>
      <c r="L11" s="348"/>
      <c r="M11" s="165">
        <v>35046</v>
      </c>
      <c r="N11" s="165">
        <v>255412</v>
      </c>
      <c r="O11" s="166">
        <v>615140</v>
      </c>
      <c r="P11" s="225"/>
    </row>
    <row r="12" spans="1:19" s="1" customFormat="1" ht="47.25" customHeight="1">
      <c r="A12" s="525"/>
      <c r="B12" s="547"/>
      <c r="C12" s="352"/>
      <c r="D12" s="318" t="s">
        <v>350</v>
      </c>
      <c r="E12" s="316" t="s">
        <v>477</v>
      </c>
      <c r="F12" s="240">
        <v>3</v>
      </c>
      <c r="G12" s="311">
        <v>3</v>
      </c>
      <c r="H12" s="312">
        <f>+'Anexo 1 Matriz SINA Inf Gestión'!M10</f>
        <v>498289216</v>
      </c>
      <c r="I12" s="313">
        <f>+'Anexo 1 Matriz SINA Inf Gestión'!N10</f>
        <v>497990024</v>
      </c>
      <c r="J12" s="66">
        <f t="shared" si="0"/>
        <v>299192</v>
      </c>
      <c r="K12" s="351">
        <v>304866161</v>
      </c>
      <c r="L12" s="348"/>
      <c r="M12" s="165">
        <v>79222</v>
      </c>
      <c r="N12" s="165"/>
      <c r="O12" s="166">
        <v>165962</v>
      </c>
      <c r="P12" s="225"/>
    </row>
    <row r="13" spans="1:19" s="1" customFormat="1" ht="66.75" customHeight="1">
      <c r="A13" s="525"/>
      <c r="B13" s="547"/>
      <c r="C13" s="352"/>
      <c r="D13" s="319" t="s">
        <v>355</v>
      </c>
      <c r="E13" s="316" t="s">
        <v>1</v>
      </c>
      <c r="F13" s="244">
        <v>17</v>
      </c>
      <c r="G13" s="311">
        <v>17</v>
      </c>
      <c r="H13" s="312">
        <f>+'Anexo 1 Matriz SINA Inf Gestión'!M11</f>
        <v>0</v>
      </c>
      <c r="I13" s="313">
        <f>+'Anexo 1 Matriz SINA Inf Gestión'!N11</f>
        <v>0</v>
      </c>
      <c r="J13" s="66">
        <f t="shared" si="0"/>
        <v>0</v>
      </c>
      <c r="K13" s="351">
        <f>SUM(K11:K12)</f>
        <v>423472164</v>
      </c>
      <c r="L13" s="348"/>
      <c r="M13" s="165">
        <v>255412</v>
      </c>
      <c r="N13" s="165"/>
      <c r="O13" s="166">
        <v>489303</v>
      </c>
      <c r="P13" s="225"/>
    </row>
    <row r="14" spans="1:19" s="1" customFormat="1" ht="64.5" customHeight="1">
      <c r="A14" s="525"/>
      <c r="B14" s="547"/>
      <c r="C14" s="352"/>
      <c r="D14" s="315" t="s">
        <v>354</v>
      </c>
      <c r="E14" s="316" t="s">
        <v>477</v>
      </c>
      <c r="F14" s="244">
        <v>0.5</v>
      </c>
      <c r="G14" s="320">
        <v>0.5</v>
      </c>
      <c r="H14" s="312">
        <f>+'Anexo 1 Matriz SINA Inf Gestión'!M12</f>
        <v>1660126213</v>
      </c>
      <c r="I14" s="313">
        <f>+'Anexo 1 Matriz SINA Inf Gestión'!N12</f>
        <v>1517228834</v>
      </c>
      <c r="J14" s="66">
        <f t="shared" si="0"/>
        <v>142897379</v>
      </c>
      <c r="K14" s="353" t="s">
        <v>315</v>
      </c>
      <c r="L14" s="348"/>
      <c r="M14" s="165">
        <v>85137</v>
      </c>
      <c r="N14" s="165"/>
      <c r="O14" s="166">
        <v>341394</v>
      </c>
      <c r="P14" s="225"/>
    </row>
    <row r="15" spans="1:19" s="1" customFormat="1" ht="42" customHeight="1">
      <c r="A15" s="525"/>
      <c r="B15" s="547"/>
      <c r="C15" s="352"/>
      <c r="D15" s="321" t="s">
        <v>356</v>
      </c>
      <c r="E15" s="316" t="s">
        <v>1</v>
      </c>
      <c r="F15" s="244">
        <v>60</v>
      </c>
      <c r="G15" s="311">
        <v>60</v>
      </c>
      <c r="H15" s="312">
        <f>+'Anexo 1 Matriz SINA Inf Gestión'!M13</f>
        <v>0</v>
      </c>
      <c r="I15" s="313">
        <f>+'Anexo 1 Matriz SINA Inf Gestión'!N13</f>
        <v>0</v>
      </c>
      <c r="J15" s="66">
        <f t="shared" si="0"/>
        <v>0</v>
      </c>
      <c r="K15" s="353"/>
      <c r="L15" s="348"/>
      <c r="M15" s="354" t="s">
        <v>316</v>
      </c>
      <c r="N15" s="165"/>
      <c r="O15" s="166"/>
      <c r="P15" s="225"/>
    </row>
    <row r="16" spans="1:19" s="1" customFormat="1" ht="48" customHeight="1">
      <c r="A16" s="525"/>
      <c r="B16" s="547"/>
      <c r="C16" s="220"/>
      <c r="D16" s="322" t="s">
        <v>358</v>
      </c>
      <c r="E16" s="323" t="s">
        <v>501</v>
      </c>
      <c r="F16" s="244">
        <v>0</v>
      </c>
      <c r="G16" s="311">
        <v>0</v>
      </c>
      <c r="H16" s="312">
        <f>+'Anexo 1 Matriz SINA Inf Gestión'!M14</f>
        <v>147411261</v>
      </c>
      <c r="I16" s="313">
        <f>+'Anexo 1 Matriz SINA Inf Gestión'!N14</f>
        <v>147411261</v>
      </c>
      <c r="J16" s="66">
        <f t="shared" si="0"/>
        <v>0</v>
      </c>
      <c r="K16" s="351">
        <v>474190061</v>
      </c>
      <c r="L16" s="348"/>
      <c r="M16" s="165">
        <v>425685</v>
      </c>
      <c r="N16" s="165"/>
      <c r="O16" s="166">
        <v>197989</v>
      </c>
      <c r="P16" s="225"/>
    </row>
    <row r="17" spans="1:16" s="1" customFormat="1" ht="48" customHeight="1">
      <c r="A17" s="525"/>
      <c r="B17" s="547"/>
      <c r="C17" s="220"/>
      <c r="D17" s="249" t="s">
        <v>352</v>
      </c>
      <c r="E17" s="316" t="s">
        <v>367</v>
      </c>
      <c r="F17" s="324">
        <v>1</v>
      </c>
      <c r="G17" s="311">
        <v>1</v>
      </c>
      <c r="H17" s="312">
        <f>+'Anexo 1 Matriz SINA Inf Gestión'!M15</f>
        <v>102678952</v>
      </c>
      <c r="I17" s="313">
        <f>+'Anexo 1 Matriz SINA Inf Gestión'!N15</f>
        <v>102678852</v>
      </c>
      <c r="J17" s="66">
        <f t="shared" si="0"/>
        <v>100</v>
      </c>
      <c r="K17" s="351"/>
      <c r="L17" s="348"/>
      <c r="M17" s="165"/>
      <c r="N17" s="165"/>
      <c r="O17" s="166"/>
      <c r="P17" s="225"/>
    </row>
    <row r="18" spans="1:16" s="1" customFormat="1" ht="48" customHeight="1">
      <c r="A18" s="525"/>
      <c r="B18" s="547"/>
      <c r="C18" s="220"/>
      <c r="D18" s="249" t="s">
        <v>359</v>
      </c>
      <c r="E18" s="316" t="s">
        <v>502</v>
      </c>
      <c r="F18" s="324">
        <v>37</v>
      </c>
      <c r="G18" s="311">
        <v>37</v>
      </c>
      <c r="H18" s="312">
        <f>+'Anexo 1 Matriz SINA Inf Gestión'!M16</f>
        <v>893357238</v>
      </c>
      <c r="I18" s="313">
        <f>+'Anexo 1 Matriz SINA Inf Gestión'!N16</f>
        <v>871587445</v>
      </c>
      <c r="J18" s="66">
        <f t="shared" si="0"/>
        <v>21769793</v>
      </c>
      <c r="K18" s="351"/>
      <c r="L18" s="348"/>
      <c r="M18" s="165"/>
      <c r="N18" s="165"/>
      <c r="O18" s="166"/>
      <c r="P18" s="225"/>
    </row>
    <row r="19" spans="1:16" s="1" customFormat="1" ht="48" customHeight="1">
      <c r="A19" s="525"/>
      <c r="B19" s="547"/>
      <c r="C19" s="220"/>
      <c r="D19" s="249" t="s">
        <v>360</v>
      </c>
      <c r="E19" s="316" t="s">
        <v>361</v>
      </c>
      <c r="F19" s="244">
        <v>5</v>
      </c>
      <c r="G19" s="311">
        <v>5</v>
      </c>
      <c r="H19" s="312">
        <f>+'Anexo 1 Matriz SINA Inf Gestión'!M17</f>
        <v>146899881</v>
      </c>
      <c r="I19" s="313">
        <f>+'Anexo 1 Matriz SINA Inf Gestión'!N17</f>
        <v>146899881</v>
      </c>
      <c r="J19" s="66">
        <f t="shared" si="0"/>
        <v>0</v>
      </c>
      <c r="K19" s="351"/>
      <c r="L19" s="348"/>
      <c r="M19" s="165"/>
      <c r="N19" s="165"/>
      <c r="O19" s="166"/>
      <c r="P19" s="225"/>
    </row>
    <row r="20" spans="1:16" s="1" customFormat="1" ht="48" customHeight="1">
      <c r="A20" s="525"/>
      <c r="B20" s="547"/>
      <c r="C20" s="220"/>
      <c r="D20" s="249" t="s">
        <v>362</v>
      </c>
      <c r="E20" s="316" t="s">
        <v>185</v>
      </c>
      <c r="F20" s="244">
        <v>0</v>
      </c>
      <c r="G20" s="234">
        <v>0</v>
      </c>
      <c r="H20" s="312">
        <f>+'Anexo 1 Matriz SINA Inf Gestión'!M18</f>
        <v>901268311</v>
      </c>
      <c r="I20" s="313">
        <f>+'Anexo 1 Matriz SINA Inf Gestión'!N18</f>
        <v>901268310</v>
      </c>
      <c r="J20" s="66">
        <f t="shared" si="0"/>
        <v>1</v>
      </c>
      <c r="K20" s="351"/>
      <c r="L20" s="348"/>
      <c r="M20" s="165"/>
      <c r="N20" s="165"/>
      <c r="O20" s="166"/>
      <c r="P20" s="225"/>
    </row>
    <row r="21" spans="1:16" s="1" customFormat="1" ht="18" customHeight="1">
      <c r="A21" s="525"/>
      <c r="B21" s="547"/>
      <c r="C21" s="352"/>
      <c r="D21" s="567" t="s">
        <v>317</v>
      </c>
      <c r="E21" s="567"/>
      <c r="F21" s="567"/>
      <c r="G21" s="567"/>
      <c r="H21" s="362">
        <f>SUM(H9:H20)</f>
        <v>5001933067</v>
      </c>
      <c r="I21" s="325"/>
      <c r="J21" s="557">
        <f>+H21-I22</f>
        <v>231629451</v>
      </c>
      <c r="K21" s="167" t="e">
        <f>675436154-#REF!</f>
        <v>#REF!</v>
      </c>
      <c r="L21" s="348"/>
      <c r="M21" s="165">
        <v>210274</v>
      </c>
      <c r="N21" s="165"/>
      <c r="O21" s="166"/>
      <c r="P21" s="158"/>
    </row>
    <row r="22" spans="1:16" s="1" customFormat="1" ht="18" customHeight="1">
      <c r="A22" s="525"/>
      <c r="B22" s="547"/>
      <c r="C22" s="352"/>
      <c r="D22" s="567" t="s">
        <v>318</v>
      </c>
      <c r="E22" s="567"/>
      <c r="F22" s="567"/>
      <c r="G22" s="567"/>
      <c r="H22" s="567"/>
      <c r="I22" s="326">
        <f>SUM(I9:I20)</f>
        <v>4770303616</v>
      </c>
      <c r="J22" s="568"/>
      <c r="K22" s="167">
        <v>11</v>
      </c>
      <c r="L22" s="348"/>
      <c r="M22" s="165">
        <v>105137</v>
      </c>
      <c r="N22" s="165"/>
      <c r="O22" s="166"/>
      <c r="P22" s="158"/>
    </row>
    <row r="23" spans="1:16" s="1" customFormat="1" ht="18.75" customHeight="1">
      <c r="A23" s="525"/>
      <c r="B23" s="547"/>
      <c r="C23" s="352"/>
      <c r="D23" s="567" t="s">
        <v>319</v>
      </c>
      <c r="E23" s="567"/>
      <c r="F23" s="567"/>
      <c r="G23" s="567"/>
      <c r="H23" s="567"/>
      <c r="I23" s="327">
        <f>+I22/H21</f>
        <v>0.95369201308826712</v>
      </c>
      <c r="J23" s="568"/>
      <c r="K23" s="348"/>
      <c r="L23" s="348"/>
      <c r="M23" s="168"/>
      <c r="N23" s="168">
        <f>SUM(M11:N22)</f>
        <v>1451325</v>
      </c>
      <c r="O23" s="166"/>
      <c r="P23" s="158"/>
    </row>
    <row r="24" spans="1:16" s="1" customFormat="1" ht="24" customHeight="1">
      <c r="A24" s="525"/>
      <c r="B24" s="555" t="s">
        <v>303</v>
      </c>
      <c r="C24" s="355"/>
      <c r="D24" s="551" t="s">
        <v>304</v>
      </c>
      <c r="E24" s="544" t="s">
        <v>94</v>
      </c>
      <c r="F24" s="544" t="s">
        <v>305</v>
      </c>
      <c r="G24" s="544"/>
      <c r="H24" s="545" t="s">
        <v>306</v>
      </c>
      <c r="I24" s="545"/>
      <c r="J24" s="546"/>
      <c r="K24" s="348"/>
      <c r="L24" s="348"/>
      <c r="M24" s="168"/>
      <c r="N24" s="168"/>
      <c r="O24" s="166"/>
      <c r="P24" s="158"/>
    </row>
    <row r="25" spans="1:16" s="1" customFormat="1" ht="57" customHeight="1">
      <c r="A25" s="525"/>
      <c r="B25" s="555"/>
      <c r="C25" s="355"/>
      <c r="D25" s="552"/>
      <c r="E25" s="544"/>
      <c r="F25" s="359" t="s">
        <v>307</v>
      </c>
      <c r="G25" s="359" t="s">
        <v>308</v>
      </c>
      <c r="H25" s="360" t="s">
        <v>309</v>
      </c>
      <c r="I25" s="357" t="s">
        <v>310</v>
      </c>
      <c r="J25" s="358" t="s">
        <v>311</v>
      </c>
      <c r="K25" s="348"/>
      <c r="L25" s="348"/>
      <c r="M25" s="168"/>
      <c r="N25" s="168"/>
      <c r="O25" s="166"/>
      <c r="P25" s="158"/>
    </row>
    <row r="26" spans="1:16" s="1" customFormat="1" ht="43.5" customHeight="1">
      <c r="A26" s="525"/>
      <c r="B26" s="547" t="s">
        <v>456</v>
      </c>
      <c r="C26" s="352"/>
      <c r="D26" s="319" t="s">
        <v>478</v>
      </c>
      <c r="E26" s="233" t="s">
        <v>179</v>
      </c>
      <c r="F26" s="244">
        <v>100</v>
      </c>
      <c r="G26" s="328">
        <v>100</v>
      </c>
      <c r="H26" s="328"/>
      <c r="I26" s="235"/>
      <c r="J26" s="66">
        <f t="shared" ref="J26:J35" si="1">+H26-I26</f>
        <v>0</v>
      </c>
      <c r="K26" s="348"/>
      <c r="L26" s="348"/>
      <c r="M26" s="168"/>
      <c r="N26" s="168"/>
      <c r="O26" s="166"/>
      <c r="P26" s="158"/>
    </row>
    <row r="27" spans="1:16" s="1" customFormat="1" ht="83.25" customHeight="1">
      <c r="A27" s="525"/>
      <c r="B27" s="547"/>
      <c r="C27" s="352"/>
      <c r="D27" s="315" t="s">
        <v>479</v>
      </c>
      <c r="E27" s="240" t="s">
        <v>480</v>
      </c>
      <c r="F27" s="244">
        <v>3</v>
      </c>
      <c r="G27" s="328">
        <v>3</v>
      </c>
      <c r="H27" s="328">
        <f>+'Anexo 1 Matriz SINA Inf Gestión'!M21</f>
        <v>2716742169</v>
      </c>
      <c r="I27" s="235">
        <f>+'Anexo 1 Matriz SINA Inf Gestión'!N21</f>
        <v>2714204176</v>
      </c>
      <c r="J27" s="66">
        <f t="shared" si="1"/>
        <v>2537993</v>
      </c>
      <c r="K27" s="348"/>
      <c r="L27" s="348"/>
      <c r="M27" s="168"/>
      <c r="N27" s="168"/>
      <c r="O27" s="166"/>
      <c r="P27" s="225"/>
    </row>
    <row r="28" spans="1:16" s="1" customFormat="1" ht="53.25" customHeight="1">
      <c r="A28" s="525"/>
      <c r="B28" s="547"/>
      <c r="C28" s="352"/>
      <c r="D28" s="319" t="s">
        <v>364</v>
      </c>
      <c r="E28" s="233" t="s">
        <v>391</v>
      </c>
      <c r="F28" s="277">
        <v>0</v>
      </c>
      <c r="G28" s="328">
        <v>0</v>
      </c>
      <c r="H28" s="328">
        <f>+'Anexo 1 Matriz SINA Inf Gestión'!M22</f>
        <v>0</v>
      </c>
      <c r="I28" s="235">
        <f>+'Anexo 1 Matriz SINA Inf Gestión'!N22</f>
        <v>0</v>
      </c>
      <c r="J28" s="66">
        <f t="shared" si="1"/>
        <v>0</v>
      </c>
      <c r="K28" s="348"/>
      <c r="L28" s="348"/>
      <c r="M28" s="168"/>
      <c r="N28" s="168"/>
      <c r="O28" s="166"/>
      <c r="P28" s="158"/>
    </row>
    <row r="29" spans="1:16" s="1" customFormat="1" ht="69.75" customHeight="1">
      <c r="A29" s="525"/>
      <c r="B29" s="547"/>
      <c r="C29" s="220"/>
      <c r="D29" s="255" t="s">
        <v>347</v>
      </c>
      <c r="E29" s="256" t="s">
        <v>439</v>
      </c>
      <c r="F29" s="277">
        <v>0</v>
      </c>
      <c r="G29" s="328">
        <v>0</v>
      </c>
      <c r="H29" s="328">
        <f>+'Anexo 1 Matriz SINA Inf Gestión'!M23</f>
        <v>212364591</v>
      </c>
      <c r="I29" s="235">
        <f>+'Anexo 1 Matriz SINA Inf Gestión'!N23</f>
        <v>198668508</v>
      </c>
      <c r="J29" s="66">
        <f t="shared" si="1"/>
        <v>13696083</v>
      </c>
      <c r="K29" s="348"/>
      <c r="L29" s="348"/>
      <c r="M29" s="168"/>
      <c r="N29" s="168"/>
      <c r="O29" s="166"/>
      <c r="P29" s="158"/>
    </row>
    <row r="30" spans="1:16" s="1" customFormat="1" ht="53.25" customHeight="1">
      <c r="A30" s="525"/>
      <c r="B30" s="547"/>
      <c r="C30" s="220"/>
      <c r="D30" s="258" t="str">
        <f>+'Anexo 1 Matriz SINA Inf Gestión'!B24</f>
        <v>Áreas reforestadas gestionadas para la protección de cuencas abastecedoras.</v>
      </c>
      <c r="E30" s="259" t="s">
        <v>439</v>
      </c>
      <c r="F30" s="277">
        <v>0</v>
      </c>
      <c r="G30" s="328">
        <v>0</v>
      </c>
      <c r="H30" s="328">
        <v>417414360</v>
      </c>
      <c r="I30" s="235">
        <f>+'Anexo 1 Matriz SINA Inf Gestión'!N24</f>
        <v>402061124</v>
      </c>
      <c r="J30" s="66">
        <f t="shared" si="1"/>
        <v>15353236</v>
      </c>
      <c r="K30" s="348"/>
      <c r="L30" s="348"/>
      <c r="M30" s="168"/>
      <c r="N30" s="168"/>
      <c r="O30" s="166"/>
      <c r="P30" s="158"/>
    </row>
    <row r="31" spans="1:16" s="1" customFormat="1" ht="53.25" customHeight="1">
      <c r="A31" s="525"/>
      <c r="B31" s="547"/>
      <c r="C31" s="220"/>
      <c r="D31" s="258" t="s">
        <v>348</v>
      </c>
      <c r="E31" s="329" t="s">
        <v>439</v>
      </c>
      <c r="F31" s="277">
        <v>46</v>
      </c>
      <c r="G31" s="328">
        <v>46</v>
      </c>
      <c r="H31" s="328">
        <f>+'Anexo 1 Matriz SINA Inf Gestión'!M25</f>
        <v>154147067</v>
      </c>
      <c r="I31" s="235">
        <f>+'Anexo 1 Matriz SINA Inf Gestión'!N25</f>
        <v>154146824</v>
      </c>
      <c r="J31" s="66">
        <f t="shared" si="1"/>
        <v>243</v>
      </c>
      <c r="K31" s="348"/>
      <c r="L31" s="348"/>
      <c r="M31" s="168"/>
      <c r="N31" s="168"/>
      <c r="O31" s="166"/>
      <c r="P31" s="158"/>
    </row>
    <row r="32" spans="1:16" s="1" customFormat="1" ht="53.25" customHeight="1">
      <c r="A32" s="525"/>
      <c r="B32" s="547"/>
      <c r="C32" s="220"/>
      <c r="D32" s="258" t="s">
        <v>490</v>
      </c>
      <c r="E32" s="329" t="s">
        <v>439</v>
      </c>
      <c r="F32" s="277">
        <v>2500</v>
      </c>
      <c r="G32" s="328">
        <v>9463</v>
      </c>
      <c r="H32" s="328">
        <f>+'Anexo 1 Matriz SINA Inf Gestión'!M26</f>
        <v>2886116492</v>
      </c>
      <c r="I32" s="235">
        <f>+'Anexo 1 Matriz SINA Inf Gestión'!N26</f>
        <v>2841461229</v>
      </c>
      <c r="J32" s="66">
        <f t="shared" si="1"/>
        <v>44655263</v>
      </c>
      <c r="K32" s="348"/>
      <c r="L32" s="348"/>
      <c r="M32" s="168"/>
      <c r="N32" s="168"/>
      <c r="O32" s="166"/>
      <c r="P32" s="158"/>
    </row>
    <row r="33" spans="1:16" s="1" customFormat="1" ht="53.25" customHeight="1">
      <c r="A33" s="525"/>
      <c r="B33" s="547"/>
      <c r="C33" s="220"/>
      <c r="D33" s="258" t="s">
        <v>351</v>
      </c>
      <c r="E33" s="260" t="s">
        <v>439</v>
      </c>
      <c r="F33" s="277">
        <v>863</v>
      </c>
      <c r="G33" s="328">
        <v>863</v>
      </c>
      <c r="H33" s="328">
        <f>+'Anexo 1 Matriz SINA Inf Gestión'!M27</f>
        <v>1434050660</v>
      </c>
      <c r="I33" s="235">
        <f>+'Anexo 1 Matriz SINA Inf Gestión'!N27</f>
        <v>1417995125</v>
      </c>
      <c r="J33" s="66">
        <f t="shared" si="1"/>
        <v>16055535</v>
      </c>
      <c r="K33" s="348"/>
      <c r="L33" s="348"/>
      <c r="M33" s="168"/>
      <c r="N33" s="168"/>
      <c r="O33" s="166"/>
      <c r="P33" s="158"/>
    </row>
    <row r="34" spans="1:16" s="1" customFormat="1" ht="53.25" customHeight="1">
      <c r="A34" s="525"/>
      <c r="B34" s="547"/>
      <c r="C34" s="352"/>
      <c r="D34" s="330" t="s">
        <v>349</v>
      </c>
      <c r="E34" s="260" t="s">
        <v>439</v>
      </c>
      <c r="F34" s="277">
        <v>250</v>
      </c>
      <c r="G34" s="328">
        <v>250</v>
      </c>
      <c r="H34" s="328">
        <f>+'Anexo 1 Matriz SINA Inf Gestión'!M28</f>
        <v>64256000</v>
      </c>
      <c r="I34" s="235">
        <f>+'Anexo 1 Matriz SINA Inf Gestión'!N28</f>
        <v>64256000</v>
      </c>
      <c r="J34" s="66">
        <f t="shared" si="1"/>
        <v>0</v>
      </c>
      <c r="K34" s="348"/>
      <c r="L34" s="348"/>
      <c r="M34" s="168"/>
      <c r="N34" s="168"/>
      <c r="O34" s="166"/>
      <c r="P34" s="158"/>
    </row>
    <row r="35" spans="1:16" s="1" customFormat="1" ht="53.25" customHeight="1">
      <c r="A35" s="525"/>
      <c r="B35" s="547"/>
      <c r="C35" s="220"/>
      <c r="D35" s="249" t="s">
        <v>474</v>
      </c>
      <c r="E35" s="233" t="s">
        <v>440</v>
      </c>
      <c r="F35" s="277">
        <v>10</v>
      </c>
      <c r="G35" s="328">
        <v>10</v>
      </c>
      <c r="H35" s="328">
        <f>+'Anexo 1 Matriz SINA Inf Gestión'!M29</f>
        <v>0</v>
      </c>
      <c r="I35" s="235">
        <f>+'Anexo 1 Matriz SINA Inf Gestión'!N29</f>
        <v>0</v>
      </c>
      <c r="J35" s="66">
        <f t="shared" si="1"/>
        <v>0</v>
      </c>
      <c r="K35" s="348"/>
      <c r="L35" s="348"/>
      <c r="M35" s="168"/>
      <c r="N35" s="168"/>
      <c r="O35" s="166"/>
      <c r="P35" s="158"/>
    </row>
    <row r="36" spans="1:16" s="1" customFormat="1" ht="24" customHeight="1">
      <c r="A36" s="525"/>
      <c r="B36" s="547"/>
      <c r="C36" s="352"/>
      <c r="D36" s="567" t="s">
        <v>317</v>
      </c>
      <c r="E36" s="567"/>
      <c r="F36" s="567"/>
      <c r="G36" s="567"/>
      <c r="H36" s="362">
        <f>SUM(H26:H35)</f>
        <v>7885091339</v>
      </c>
      <c r="I36" s="331"/>
      <c r="J36" s="557">
        <f>+H36-I37</f>
        <v>92298353</v>
      </c>
      <c r="K36" s="348"/>
      <c r="L36" s="348"/>
      <c r="M36" s="168"/>
      <c r="N36" s="168"/>
      <c r="O36" s="166"/>
      <c r="P36" s="158"/>
    </row>
    <row r="37" spans="1:16" s="1" customFormat="1" ht="18" customHeight="1">
      <c r="A37" s="525"/>
      <c r="B37" s="547"/>
      <c r="C37" s="352"/>
      <c r="D37" s="567" t="s">
        <v>318</v>
      </c>
      <c r="E37" s="567"/>
      <c r="F37" s="567"/>
      <c r="G37" s="567"/>
      <c r="H37" s="567"/>
      <c r="I37" s="332">
        <f>SUM(I27:I36)</f>
        <v>7792792986</v>
      </c>
      <c r="J37" s="568"/>
      <c r="K37" s="348"/>
      <c r="L37" s="348"/>
      <c r="M37" s="168"/>
      <c r="N37" s="168"/>
      <c r="O37" s="166"/>
      <c r="P37" s="158"/>
    </row>
    <row r="38" spans="1:16" s="1" customFormat="1" ht="18" customHeight="1">
      <c r="A38" s="525"/>
      <c r="B38" s="547"/>
      <c r="C38" s="352"/>
      <c r="D38" s="567" t="s">
        <v>319</v>
      </c>
      <c r="E38" s="567"/>
      <c r="F38" s="567"/>
      <c r="G38" s="567"/>
      <c r="H38" s="567"/>
      <c r="I38" s="407">
        <f>+I37/H36</f>
        <v>0.98829457402180132</v>
      </c>
      <c r="J38" s="568"/>
      <c r="K38" s="348"/>
      <c r="L38" s="348"/>
      <c r="M38" s="168"/>
      <c r="N38" s="168"/>
      <c r="O38" s="166"/>
      <c r="P38" s="158"/>
    </row>
    <row r="39" spans="1:16" s="1" customFormat="1" ht="47.25" customHeight="1">
      <c r="A39" s="525"/>
      <c r="B39" s="555" t="s">
        <v>303</v>
      </c>
      <c r="C39" s="355"/>
      <c r="D39" s="551" t="s">
        <v>304</v>
      </c>
      <c r="E39" s="544" t="s">
        <v>94</v>
      </c>
      <c r="F39" s="544" t="s">
        <v>305</v>
      </c>
      <c r="G39" s="544"/>
      <c r="H39" s="545" t="s">
        <v>306</v>
      </c>
      <c r="I39" s="545"/>
      <c r="J39" s="546"/>
      <c r="K39" s="348"/>
      <c r="L39" s="348"/>
      <c r="M39" s="168"/>
      <c r="N39" s="168"/>
      <c r="O39" s="166"/>
      <c r="P39" s="158"/>
    </row>
    <row r="40" spans="1:16" s="1" customFormat="1" ht="47.25" customHeight="1">
      <c r="A40" s="525"/>
      <c r="B40" s="555"/>
      <c r="C40" s="355"/>
      <c r="D40" s="552"/>
      <c r="E40" s="544"/>
      <c r="F40" s="359" t="s">
        <v>307</v>
      </c>
      <c r="G40" s="359" t="s">
        <v>308</v>
      </c>
      <c r="H40" s="360" t="s">
        <v>309</v>
      </c>
      <c r="I40" s="357" t="s">
        <v>310</v>
      </c>
      <c r="J40" s="358" t="s">
        <v>311</v>
      </c>
      <c r="K40" s="348"/>
      <c r="L40" s="348"/>
      <c r="M40" s="168"/>
      <c r="N40" s="168"/>
      <c r="O40" s="166"/>
      <c r="P40" s="158"/>
    </row>
    <row r="41" spans="1:16" s="1" customFormat="1" ht="83.25" customHeight="1">
      <c r="A41" s="525"/>
      <c r="B41" s="547" t="s">
        <v>557</v>
      </c>
      <c r="C41" s="220"/>
      <c r="D41" s="249" t="s">
        <v>365</v>
      </c>
      <c r="E41" s="244" t="s">
        <v>366</v>
      </c>
      <c r="F41" s="244">
        <v>1</v>
      </c>
      <c r="G41" s="277">
        <v>1</v>
      </c>
      <c r="H41" s="361">
        <f>+'Anexo 1 Matriz SINA Inf Gestión'!M31</f>
        <v>1569912321</v>
      </c>
      <c r="I41" s="237">
        <f>+'Anexo 1 Matriz SINA Inf Gestión'!N31</f>
        <v>1569912321</v>
      </c>
      <c r="J41" s="66">
        <f>+H41-I41</f>
        <v>0</v>
      </c>
      <c r="K41" s="348"/>
      <c r="L41" s="348"/>
      <c r="M41" s="168"/>
      <c r="N41" s="168"/>
      <c r="O41" s="166"/>
      <c r="P41" s="158"/>
    </row>
    <row r="42" spans="1:16" s="1" customFormat="1" ht="33" customHeight="1">
      <c r="A42" s="525"/>
      <c r="B42" s="547"/>
      <c r="C42" s="220"/>
      <c r="D42" s="249" t="s">
        <v>475</v>
      </c>
      <c r="E42" s="244" t="s">
        <v>494</v>
      </c>
      <c r="F42" s="244">
        <v>1</v>
      </c>
      <c r="G42" s="277">
        <v>1</v>
      </c>
      <c r="H42" s="361">
        <f>+'Anexo 1 Matriz SINA Inf Gestión'!M32</f>
        <v>307321048</v>
      </c>
      <c r="I42" s="237">
        <f>+'Anexo 1 Matriz SINA Inf Gestión'!N32</f>
        <v>307320886</v>
      </c>
      <c r="J42" s="66">
        <f>+H42-I42</f>
        <v>162</v>
      </c>
      <c r="K42" s="348"/>
      <c r="L42" s="348"/>
      <c r="M42" s="168"/>
      <c r="N42" s="168"/>
      <c r="O42" s="166"/>
      <c r="P42" s="225"/>
    </row>
    <row r="43" spans="1:16" s="1" customFormat="1" ht="22.5" customHeight="1">
      <c r="A43" s="525"/>
      <c r="B43" s="547"/>
      <c r="C43" s="352"/>
      <c r="D43" s="567" t="s">
        <v>317</v>
      </c>
      <c r="E43" s="567"/>
      <c r="F43" s="567"/>
      <c r="G43" s="567"/>
      <c r="H43" s="362">
        <f>SUM(H41:H42)</f>
        <v>1877233369</v>
      </c>
      <c r="I43" s="237"/>
      <c r="J43" s="557">
        <f>+H43-I44</f>
        <v>162</v>
      </c>
      <c r="K43" s="348"/>
      <c r="L43" s="348"/>
      <c r="M43" s="168"/>
      <c r="N43" s="168"/>
      <c r="O43" s="166"/>
      <c r="P43" s="158"/>
    </row>
    <row r="44" spans="1:16" s="1" customFormat="1" ht="16.5" customHeight="1">
      <c r="A44" s="525"/>
      <c r="B44" s="547"/>
      <c r="C44" s="352"/>
      <c r="D44" s="567" t="s">
        <v>318</v>
      </c>
      <c r="E44" s="567"/>
      <c r="F44" s="567"/>
      <c r="G44" s="567"/>
      <c r="H44" s="567"/>
      <c r="I44" s="362">
        <f>SUM(I41:I43)</f>
        <v>1877233207</v>
      </c>
      <c r="J44" s="568"/>
      <c r="K44" s="348"/>
      <c r="L44" s="348"/>
      <c r="M44" s="168"/>
      <c r="N44" s="168"/>
      <c r="O44" s="166"/>
      <c r="P44" s="158"/>
    </row>
    <row r="45" spans="1:16" s="1" customFormat="1" ht="18.75" customHeight="1">
      <c r="A45" s="526"/>
      <c r="B45" s="547"/>
      <c r="C45" s="352"/>
      <c r="D45" s="567" t="s">
        <v>319</v>
      </c>
      <c r="E45" s="567"/>
      <c r="F45" s="567"/>
      <c r="G45" s="567"/>
      <c r="H45" s="567"/>
      <c r="I45" s="327">
        <f>+I44/H43</f>
        <v>0.99999991370279118</v>
      </c>
      <c r="J45" s="568"/>
      <c r="K45" s="348"/>
      <c r="L45" s="348"/>
      <c r="M45" s="168"/>
      <c r="N45" s="168"/>
      <c r="O45" s="166"/>
      <c r="P45" s="158"/>
    </row>
    <row r="46" spans="1:16" s="1" customFormat="1" ht="17.25" customHeight="1">
      <c r="A46" s="537" t="s">
        <v>302</v>
      </c>
      <c r="B46" s="555" t="s">
        <v>303</v>
      </c>
      <c r="C46" s="355"/>
      <c r="D46" s="551" t="s">
        <v>304</v>
      </c>
      <c r="E46" s="544" t="s">
        <v>94</v>
      </c>
      <c r="F46" s="544" t="s">
        <v>305</v>
      </c>
      <c r="G46" s="544"/>
      <c r="H46" s="545" t="s">
        <v>306</v>
      </c>
      <c r="I46" s="545"/>
      <c r="J46" s="546"/>
      <c r="K46" s="348"/>
      <c r="L46" s="348"/>
      <c r="M46" s="165"/>
      <c r="N46" s="165"/>
      <c r="O46" s="166"/>
      <c r="P46" s="158"/>
    </row>
    <row r="47" spans="1:16" s="1" customFormat="1" ht="51.75" customHeight="1">
      <c r="A47" s="537"/>
      <c r="B47" s="555"/>
      <c r="C47" s="355"/>
      <c r="D47" s="552"/>
      <c r="E47" s="544"/>
      <c r="F47" s="359" t="s">
        <v>307</v>
      </c>
      <c r="G47" s="359" t="s">
        <v>308</v>
      </c>
      <c r="H47" s="360" t="s">
        <v>309</v>
      </c>
      <c r="I47" s="357" t="s">
        <v>310</v>
      </c>
      <c r="J47" s="358" t="s">
        <v>311</v>
      </c>
      <c r="K47" s="348"/>
      <c r="L47" s="348"/>
      <c r="M47" s="165"/>
      <c r="N47" s="165"/>
      <c r="O47" s="166"/>
      <c r="P47" s="158"/>
    </row>
    <row r="48" spans="1:16" s="1" customFormat="1" ht="119.25" customHeight="1">
      <c r="A48" s="524" t="s">
        <v>457</v>
      </c>
      <c r="B48" s="547" t="s">
        <v>470</v>
      </c>
      <c r="C48" s="220"/>
      <c r="D48" s="232" t="s">
        <v>476</v>
      </c>
      <c r="E48" s="235" t="s">
        <v>1</v>
      </c>
      <c r="F48" s="244">
        <v>15</v>
      </c>
      <c r="G48" s="328">
        <v>15</v>
      </c>
      <c r="H48" s="361">
        <v>0</v>
      </c>
      <c r="I48" s="363">
        <v>0</v>
      </c>
      <c r="J48" s="66">
        <f t="shared" ref="J48:J55" si="2">+H48-I48</f>
        <v>0</v>
      </c>
      <c r="K48" s="348"/>
      <c r="L48" s="348"/>
      <c r="M48" s="169">
        <f>75206</f>
        <v>75206</v>
      </c>
      <c r="N48" s="165">
        <v>340671</v>
      </c>
      <c r="O48" s="166"/>
      <c r="P48" s="158"/>
    </row>
    <row r="49" spans="1:16" s="1" customFormat="1" ht="51" customHeight="1">
      <c r="A49" s="525"/>
      <c r="B49" s="547"/>
      <c r="C49" s="220"/>
      <c r="D49" s="364" t="s">
        <v>371</v>
      </c>
      <c r="E49" s="260" t="s">
        <v>439</v>
      </c>
      <c r="F49" s="277">
        <v>32894</v>
      </c>
      <c r="G49" s="328">
        <v>33160</v>
      </c>
      <c r="H49" s="361">
        <f>+'Anexo 1 Matriz SINA Inf Gestión'!M36</f>
        <v>153110000</v>
      </c>
      <c r="I49" s="363">
        <f>+'Anexo 1 Matriz SINA Inf Gestión'!N36</f>
        <v>134742824</v>
      </c>
      <c r="J49" s="66">
        <f t="shared" si="2"/>
        <v>18367176</v>
      </c>
      <c r="K49" s="348"/>
      <c r="L49" s="348"/>
      <c r="M49" s="169"/>
      <c r="N49" s="165"/>
      <c r="O49" s="166"/>
      <c r="P49" s="158"/>
    </row>
    <row r="50" spans="1:16" s="1" customFormat="1" ht="66" customHeight="1">
      <c r="A50" s="525"/>
      <c r="B50" s="547"/>
      <c r="C50" s="220"/>
      <c r="D50" s="365" t="s">
        <v>373</v>
      </c>
      <c r="E50" s="244" t="s">
        <v>491</v>
      </c>
      <c r="F50" s="244">
        <v>30</v>
      </c>
      <c r="G50" s="328">
        <v>30</v>
      </c>
      <c r="H50" s="361">
        <f>+'Anexo 1 Matriz SINA Inf Gestión'!M38</f>
        <v>50638283</v>
      </c>
      <c r="I50" s="363">
        <f>+'Anexo 1 Matriz SINA Inf Gestión'!N38</f>
        <v>46680811</v>
      </c>
      <c r="J50" s="66">
        <f t="shared" si="2"/>
        <v>3957472</v>
      </c>
      <c r="K50" s="348"/>
      <c r="L50" s="348"/>
      <c r="M50" s="169"/>
      <c r="N50" s="165"/>
      <c r="O50" s="166"/>
      <c r="P50" s="158"/>
    </row>
    <row r="51" spans="1:16" s="1" customFormat="1" ht="30.75" customHeight="1">
      <c r="A51" s="525"/>
      <c r="B51" s="547"/>
      <c r="C51" s="220"/>
      <c r="D51" s="365" t="s">
        <v>374</v>
      </c>
      <c r="E51" s="279" t="s">
        <v>183</v>
      </c>
      <c r="F51" s="244">
        <v>3</v>
      </c>
      <c r="G51" s="328">
        <v>3</v>
      </c>
      <c r="H51" s="361">
        <f>+'Anexo 1 Matriz SINA Inf Gestión'!M39</f>
        <v>35140000</v>
      </c>
      <c r="I51" s="363">
        <f>+'Anexo 1 Matriz SINA Inf Gestión'!N39</f>
        <v>35140000</v>
      </c>
      <c r="J51" s="66">
        <f t="shared" si="2"/>
        <v>0</v>
      </c>
      <c r="K51" s="348"/>
      <c r="L51" s="348"/>
      <c r="M51" s="169"/>
      <c r="N51" s="165"/>
      <c r="O51" s="166"/>
      <c r="P51" s="158"/>
    </row>
    <row r="52" spans="1:16" s="1" customFormat="1" ht="42.75" customHeight="1">
      <c r="A52" s="525"/>
      <c r="B52" s="547"/>
      <c r="C52" s="220"/>
      <c r="D52" s="365" t="str">
        <f>+'Anexo 1 Matriz SINA Inf Gestión'!B40</f>
        <v>Investigación, conocimiento y/o Manejo de Áreas de importancia estratégica y  de la biodiversidad</v>
      </c>
      <c r="E52" s="244" t="str">
        <f>+'Anexo 1 Matriz SINA Inf Gestión'!C40</f>
        <v>Áreas estratégicas</v>
      </c>
      <c r="F52" s="244">
        <v>1</v>
      </c>
      <c r="G52" s="328">
        <v>1</v>
      </c>
      <c r="H52" s="361">
        <f>+'Anexo 1 Matriz SINA Inf Gestión'!M40</f>
        <v>49196000</v>
      </c>
      <c r="I52" s="363">
        <f>+'Anexo 1 Matriz SINA Inf Gestión'!N40</f>
        <v>49194345</v>
      </c>
      <c r="J52" s="66">
        <f t="shared" si="2"/>
        <v>1655</v>
      </c>
      <c r="K52" s="348"/>
      <c r="L52" s="348"/>
      <c r="M52" s="169"/>
      <c r="N52" s="165"/>
      <c r="O52" s="166"/>
      <c r="P52" s="158"/>
    </row>
    <row r="53" spans="1:16" s="1" customFormat="1" ht="30.75" customHeight="1">
      <c r="A53" s="525"/>
      <c r="B53" s="547"/>
      <c r="C53" s="220"/>
      <c r="D53" s="366" t="s">
        <v>370</v>
      </c>
      <c r="E53" s="244" t="s">
        <v>1</v>
      </c>
      <c r="F53" s="244">
        <v>100</v>
      </c>
      <c r="G53" s="328">
        <v>100</v>
      </c>
      <c r="H53" s="361">
        <f>+'Anexo 1 Matriz SINA Inf Gestión'!M41</f>
        <v>0</v>
      </c>
      <c r="I53" s="363">
        <f>+'Anexo 1 Matriz SINA Inf Gestión'!N41</f>
        <v>0</v>
      </c>
      <c r="J53" s="66">
        <f t="shared" si="2"/>
        <v>0</v>
      </c>
      <c r="K53" s="348"/>
      <c r="L53" s="348"/>
      <c r="M53" s="169"/>
      <c r="N53" s="165"/>
      <c r="O53" s="166"/>
      <c r="P53" s="158"/>
    </row>
    <row r="54" spans="1:16" s="1" customFormat="1" ht="30.75" customHeight="1">
      <c r="A54" s="525"/>
      <c r="B54" s="547"/>
      <c r="C54" s="220"/>
      <c r="D54" s="364" t="s">
        <v>376</v>
      </c>
      <c r="E54" s="244" t="s">
        <v>377</v>
      </c>
      <c r="F54" s="244">
        <v>1</v>
      </c>
      <c r="G54" s="328">
        <v>1</v>
      </c>
      <c r="H54" s="361">
        <f>+'Anexo 1 Matriz SINA Inf Gestión'!M42</f>
        <v>0</v>
      </c>
      <c r="I54" s="363">
        <f>+'Anexo 1 Matriz SINA Inf Gestión'!N42</f>
        <v>0</v>
      </c>
      <c r="J54" s="66">
        <f t="shared" si="2"/>
        <v>0</v>
      </c>
      <c r="K54" s="348"/>
      <c r="L54" s="348"/>
      <c r="M54" s="169"/>
      <c r="N54" s="165"/>
      <c r="O54" s="166"/>
      <c r="P54" s="158"/>
    </row>
    <row r="55" spans="1:16" s="1" customFormat="1" ht="30.75" customHeight="1">
      <c r="A55" s="525"/>
      <c r="B55" s="547"/>
      <c r="C55" s="220"/>
      <c r="D55" s="365" t="s">
        <v>495</v>
      </c>
      <c r="E55" s="244" t="s">
        <v>496</v>
      </c>
      <c r="F55" s="244"/>
      <c r="G55" s="367"/>
      <c r="H55" s="361">
        <f>+'Anexo 1 Matriz SINA Inf Gestión'!M45</f>
        <v>35810969</v>
      </c>
      <c r="I55" s="363">
        <f>+'Anexo 1 Matriz SINA Inf Gestión'!N45</f>
        <v>35162410</v>
      </c>
      <c r="J55" s="66">
        <f t="shared" si="2"/>
        <v>648559</v>
      </c>
      <c r="K55" s="348"/>
      <c r="L55" s="348"/>
      <c r="M55" s="169"/>
      <c r="N55" s="165"/>
      <c r="O55" s="166"/>
      <c r="P55" s="158"/>
    </row>
    <row r="56" spans="1:16" s="1" customFormat="1" ht="17.25" customHeight="1">
      <c r="A56" s="525"/>
      <c r="B56" s="547"/>
      <c r="C56" s="352"/>
      <c r="D56" s="556" t="s">
        <v>317</v>
      </c>
      <c r="E56" s="556"/>
      <c r="F56" s="556"/>
      <c r="G56" s="556"/>
      <c r="H56" s="362">
        <f>SUM(H48:H55)</f>
        <v>323895252</v>
      </c>
      <c r="I56" s="237"/>
      <c r="J56" s="557">
        <f>+H56-I57</f>
        <v>22974862</v>
      </c>
      <c r="K56" s="167"/>
      <c r="L56" s="348"/>
      <c r="M56" s="165"/>
      <c r="N56" s="165"/>
      <c r="O56" s="166"/>
      <c r="P56" s="158"/>
    </row>
    <row r="57" spans="1:16" s="1" customFormat="1" ht="16.5" customHeight="1">
      <c r="A57" s="525"/>
      <c r="B57" s="547"/>
      <c r="C57" s="352"/>
      <c r="D57" s="556" t="s">
        <v>318</v>
      </c>
      <c r="E57" s="556"/>
      <c r="F57" s="556"/>
      <c r="G57" s="556"/>
      <c r="H57" s="556"/>
      <c r="I57" s="362">
        <f>SUM(I48:I56)</f>
        <v>300920390</v>
      </c>
      <c r="J57" s="557"/>
      <c r="K57" s="167"/>
      <c r="L57" s="348"/>
      <c r="M57" s="165"/>
      <c r="N57" s="165"/>
      <c r="O57" s="166"/>
      <c r="P57" s="158"/>
    </row>
    <row r="58" spans="1:16" s="1" customFormat="1" ht="15" customHeight="1">
      <c r="A58" s="525"/>
      <c r="B58" s="547"/>
      <c r="C58" s="210"/>
      <c r="D58" s="558" t="s">
        <v>319</v>
      </c>
      <c r="E58" s="567"/>
      <c r="F58" s="567"/>
      <c r="G58" s="567"/>
      <c r="H58" s="567"/>
      <c r="I58" s="327">
        <f>+I57/H56</f>
        <v>0.92906699972249052</v>
      </c>
      <c r="J58" s="557"/>
      <c r="K58" s="348"/>
      <c r="L58" s="348"/>
      <c r="M58" s="165"/>
      <c r="N58" s="165"/>
      <c r="O58" s="166"/>
      <c r="P58" s="158"/>
    </row>
    <row r="59" spans="1:16" s="1" customFormat="1" ht="33.75" customHeight="1">
      <c r="A59" s="525"/>
      <c r="B59" s="555" t="s">
        <v>303</v>
      </c>
      <c r="C59" s="355"/>
      <c r="D59" s="551" t="s">
        <v>304</v>
      </c>
      <c r="E59" s="544" t="s">
        <v>94</v>
      </c>
      <c r="F59" s="544" t="s">
        <v>305</v>
      </c>
      <c r="G59" s="544"/>
      <c r="H59" s="545" t="s">
        <v>241</v>
      </c>
      <c r="I59" s="545"/>
      <c r="J59" s="546"/>
      <c r="K59" s="348"/>
      <c r="L59" s="348"/>
      <c r="M59" s="165"/>
      <c r="N59" s="165"/>
      <c r="O59" s="166"/>
      <c r="P59" s="158"/>
    </row>
    <row r="60" spans="1:16" s="1" customFormat="1" ht="33.75" customHeight="1">
      <c r="A60" s="525"/>
      <c r="B60" s="555"/>
      <c r="C60" s="355"/>
      <c r="D60" s="552"/>
      <c r="E60" s="544"/>
      <c r="F60" s="359" t="s">
        <v>307</v>
      </c>
      <c r="G60" s="359" t="s">
        <v>308</v>
      </c>
      <c r="H60" s="360" t="s">
        <v>309</v>
      </c>
      <c r="I60" s="357" t="s">
        <v>310</v>
      </c>
      <c r="J60" s="358" t="s">
        <v>311</v>
      </c>
      <c r="K60" s="348"/>
      <c r="L60" s="348"/>
      <c r="M60" s="165"/>
      <c r="N60" s="165"/>
      <c r="O60" s="166"/>
      <c r="P60" s="158"/>
    </row>
    <row r="61" spans="1:16" s="1" customFormat="1" ht="34.5" customHeight="1">
      <c r="A61" s="525"/>
      <c r="B61" s="516" t="s">
        <v>458</v>
      </c>
      <c r="C61" s="219"/>
      <c r="D61" s="319" t="s">
        <v>378</v>
      </c>
      <c r="E61" s="235" t="s">
        <v>1</v>
      </c>
      <c r="F61" s="368">
        <v>100</v>
      </c>
      <c r="G61" s="363">
        <v>100</v>
      </c>
      <c r="H61" s="369">
        <v>0</v>
      </c>
      <c r="I61" s="328">
        <v>0</v>
      </c>
      <c r="J61" s="66">
        <f t="shared" ref="J61:J68" si="3">+H61-I61</f>
        <v>0</v>
      </c>
      <c r="K61" s="348"/>
      <c r="L61" s="348"/>
      <c r="M61" s="165"/>
      <c r="N61" s="165"/>
      <c r="O61" s="166"/>
      <c r="P61" s="158"/>
    </row>
    <row r="62" spans="1:16" s="1" customFormat="1" ht="32.25" customHeight="1">
      <c r="A62" s="525"/>
      <c r="B62" s="516"/>
      <c r="C62" s="219"/>
      <c r="D62" s="315" t="str">
        <f>+'Anexo 1 Matriz SINA Inf Gestión'!B49</f>
        <v>Áreas protegidas  inscritas con planes de manejo en ejecución</v>
      </c>
      <c r="E62" s="260" t="s">
        <v>439</v>
      </c>
      <c r="F62" s="324">
        <f>+'Anexo 1 Matriz SINA Inf Gestión'!D48</f>
        <v>35140</v>
      </c>
      <c r="G62" s="363">
        <v>35140</v>
      </c>
      <c r="H62" s="328">
        <f>+'Anexo 1 Matriz SINA Inf Gestión'!M48</f>
        <v>1418862043</v>
      </c>
      <c r="I62" s="328">
        <f>+'Anexo 1 Matriz SINA Inf Gestión'!N48</f>
        <v>1413507357</v>
      </c>
      <c r="J62" s="66">
        <f t="shared" si="3"/>
        <v>5354686</v>
      </c>
      <c r="K62" s="348"/>
      <c r="L62" s="348"/>
      <c r="M62" s="165"/>
      <c r="N62" s="165"/>
      <c r="O62" s="166"/>
      <c r="P62" s="158"/>
    </row>
    <row r="63" spans="1:16" s="1" customFormat="1" ht="32.25" customHeight="1">
      <c r="A63" s="525"/>
      <c r="B63" s="516"/>
      <c r="C63" s="219"/>
      <c r="D63" s="315" t="e">
        <f>+'Anexo 1 Matriz SINA Inf Gestión'!#REF!</f>
        <v>#REF!</v>
      </c>
      <c r="E63" s="260" t="s">
        <v>439</v>
      </c>
      <c r="F63" s="324">
        <f>+'Anexo 1 Matriz SINA Inf Gestión'!D49</f>
        <v>186743</v>
      </c>
      <c r="G63" s="363">
        <v>186743</v>
      </c>
      <c r="H63" s="328">
        <f>+'Anexo 1 Matriz SINA Inf Gestión'!M49</f>
        <v>0</v>
      </c>
      <c r="I63" s="328">
        <f>+'Anexo 1 Matriz SINA Inf Gestión'!N49</f>
        <v>0</v>
      </c>
      <c r="J63" s="66">
        <f t="shared" si="3"/>
        <v>0</v>
      </c>
      <c r="K63" s="348"/>
      <c r="L63" s="348"/>
      <c r="M63" s="165"/>
      <c r="N63" s="165"/>
      <c r="O63" s="166"/>
      <c r="P63" s="158"/>
    </row>
    <row r="64" spans="1:16" s="1" customFormat="1" ht="32.25" customHeight="1">
      <c r="A64" s="525"/>
      <c r="B64" s="516"/>
      <c r="C64" s="219"/>
      <c r="D64" s="319" t="s">
        <v>379</v>
      </c>
      <c r="E64" s="235" t="s">
        <v>1</v>
      </c>
      <c r="F64" s="324">
        <f>+'Anexo 1 Matriz SINA Inf Gestión'!D50</f>
        <v>25</v>
      </c>
      <c r="G64" s="363">
        <v>25</v>
      </c>
      <c r="H64" s="328">
        <f>+'Anexo 1 Matriz SINA Inf Gestión'!M50</f>
        <v>0</v>
      </c>
      <c r="I64" s="328">
        <f>+'Anexo 1 Matriz SINA Inf Gestión'!N50</f>
        <v>0</v>
      </c>
      <c r="J64" s="66">
        <f t="shared" si="3"/>
        <v>0</v>
      </c>
      <c r="K64" s="348"/>
      <c r="L64" s="348"/>
      <c r="M64" s="165"/>
      <c r="N64" s="165"/>
      <c r="O64" s="166"/>
      <c r="P64" s="158"/>
    </row>
    <row r="65" spans="1:16" s="1" customFormat="1" ht="36" customHeight="1">
      <c r="A65" s="525"/>
      <c r="B65" s="516"/>
      <c r="C65" s="219"/>
      <c r="D65" s="315" t="s">
        <v>381</v>
      </c>
      <c r="E65" s="244" t="s">
        <v>182</v>
      </c>
      <c r="F65" s="324">
        <f>+'Anexo 1 Matriz SINA Inf Gestión'!D51</f>
        <v>192</v>
      </c>
      <c r="G65" s="363">
        <v>192</v>
      </c>
      <c r="H65" s="328">
        <f>+'Anexo 1 Matriz SINA Inf Gestión'!M51</f>
        <v>168042178</v>
      </c>
      <c r="I65" s="328">
        <f>+'Anexo 1 Matriz SINA Inf Gestión'!N51</f>
        <v>160448537</v>
      </c>
      <c r="J65" s="66">
        <f t="shared" si="3"/>
        <v>7593641</v>
      </c>
      <c r="K65" s="348"/>
      <c r="L65" s="348"/>
      <c r="M65" s="165"/>
      <c r="N65" s="165"/>
      <c r="O65" s="166"/>
      <c r="P65" s="225"/>
    </row>
    <row r="66" spans="1:16" s="1" customFormat="1" ht="36" customHeight="1">
      <c r="A66" s="525"/>
      <c r="B66" s="516"/>
      <c r="C66" s="219"/>
      <c r="D66" s="319" t="s">
        <v>380</v>
      </c>
      <c r="E66" s="244" t="s">
        <v>179</v>
      </c>
      <c r="F66" s="324">
        <f>+'Anexo 1 Matriz SINA Inf Gestión'!D52</f>
        <v>100</v>
      </c>
      <c r="G66" s="363">
        <v>100</v>
      </c>
      <c r="H66" s="328">
        <f>+'Anexo 1 Matriz SINA Inf Gestión'!M52</f>
        <v>0</v>
      </c>
      <c r="I66" s="328">
        <f>+'Anexo 1 Matriz SINA Inf Gestión'!N52</f>
        <v>0</v>
      </c>
      <c r="J66" s="66">
        <f t="shared" si="3"/>
        <v>0</v>
      </c>
      <c r="K66" s="348"/>
      <c r="L66" s="348"/>
      <c r="M66" s="165"/>
      <c r="N66" s="165"/>
      <c r="O66" s="166"/>
      <c r="P66" s="158"/>
    </row>
    <row r="67" spans="1:16" s="1" customFormat="1" ht="36" customHeight="1">
      <c r="A67" s="525"/>
      <c r="B67" s="516"/>
      <c r="C67" s="219"/>
      <c r="D67" s="315" t="s">
        <v>441</v>
      </c>
      <c r="E67" s="233" t="s">
        <v>377</v>
      </c>
      <c r="F67" s="324">
        <f>+'Anexo 1 Matriz SINA Inf Gestión'!D53</f>
        <v>4</v>
      </c>
      <c r="G67" s="363">
        <v>4</v>
      </c>
      <c r="H67" s="328">
        <f>+'Anexo 1 Matriz SINA Inf Gestión'!M53</f>
        <v>65978274</v>
      </c>
      <c r="I67" s="328">
        <f>+'Anexo 1 Matriz SINA Inf Gestión'!N53</f>
        <v>64018744</v>
      </c>
      <c r="J67" s="66">
        <f t="shared" si="3"/>
        <v>1959530</v>
      </c>
      <c r="K67" s="348"/>
      <c r="L67" s="348"/>
      <c r="M67" s="165"/>
      <c r="N67" s="165"/>
      <c r="O67" s="166"/>
      <c r="P67" s="158"/>
    </row>
    <row r="68" spans="1:16" s="1" customFormat="1" ht="36" customHeight="1">
      <c r="A68" s="525"/>
      <c r="B68" s="516"/>
      <c r="C68" s="352"/>
      <c r="D68" s="370" t="s">
        <v>495</v>
      </c>
      <c r="E68" s="244"/>
      <c r="F68" s="233"/>
      <c r="G68" s="371"/>
      <c r="H68" s="328">
        <f>+'Anexo 1 Matriz SINA Inf Gestión'!M54</f>
        <v>8901809</v>
      </c>
      <c r="I68" s="328">
        <f>+'Anexo 1 Matriz SINA Inf Gestión'!N54</f>
        <v>8531203</v>
      </c>
      <c r="J68" s="66">
        <f t="shared" si="3"/>
        <v>370606</v>
      </c>
      <c r="K68" s="348"/>
      <c r="L68" s="348"/>
      <c r="M68" s="165"/>
      <c r="N68" s="165"/>
      <c r="O68" s="166"/>
      <c r="P68" s="158"/>
    </row>
    <row r="69" spans="1:16" s="1" customFormat="1" ht="20.25" customHeight="1">
      <c r="A69" s="525"/>
      <c r="B69" s="516"/>
      <c r="C69" s="352"/>
      <c r="D69" s="556" t="s">
        <v>317</v>
      </c>
      <c r="E69" s="556"/>
      <c r="F69" s="556"/>
      <c r="G69" s="556"/>
      <c r="H69" s="362">
        <f>SUM(H61:H68)</f>
        <v>1661784304</v>
      </c>
      <c r="I69" s="372"/>
      <c r="J69" s="557">
        <f>+H69-I70</f>
        <v>15278463</v>
      </c>
      <c r="K69" s="348"/>
      <c r="L69" s="348"/>
      <c r="M69" s="165"/>
      <c r="N69" s="165"/>
      <c r="O69" s="166"/>
      <c r="P69" s="158"/>
    </row>
    <row r="70" spans="1:16" s="1" customFormat="1" ht="20.25" customHeight="1">
      <c r="A70" s="525"/>
      <c r="B70" s="547"/>
      <c r="C70" s="352"/>
      <c r="D70" s="556" t="s">
        <v>318</v>
      </c>
      <c r="E70" s="556"/>
      <c r="F70" s="556"/>
      <c r="G70" s="556"/>
      <c r="H70" s="556"/>
      <c r="I70" s="373">
        <f>SUM(I61:I68)</f>
        <v>1646505841</v>
      </c>
      <c r="J70" s="557"/>
      <c r="K70" s="348"/>
      <c r="L70" s="348"/>
      <c r="M70" s="165"/>
      <c r="N70" s="165"/>
      <c r="O70" s="166"/>
      <c r="P70" s="158"/>
    </row>
    <row r="71" spans="1:16" s="1" customFormat="1" ht="20.25" customHeight="1">
      <c r="A71" s="525"/>
      <c r="B71" s="534"/>
      <c r="C71" s="210"/>
      <c r="D71" s="558" t="s">
        <v>319</v>
      </c>
      <c r="E71" s="558"/>
      <c r="F71" s="558"/>
      <c r="G71" s="558"/>
      <c r="H71" s="558"/>
      <c r="I71" s="374">
        <f>+I70/H69</f>
        <v>0.99080598910266271</v>
      </c>
      <c r="J71" s="557"/>
      <c r="K71" s="348"/>
      <c r="L71" s="348"/>
      <c r="M71" s="165"/>
      <c r="N71" s="165"/>
      <c r="O71" s="166"/>
      <c r="P71" s="158"/>
    </row>
    <row r="72" spans="1:16" s="1" customFormat="1" ht="16.5" customHeight="1">
      <c r="A72" s="537" t="s">
        <v>302</v>
      </c>
      <c r="B72" s="555" t="s">
        <v>303</v>
      </c>
      <c r="C72" s="355"/>
      <c r="D72" s="551" t="s">
        <v>304</v>
      </c>
      <c r="E72" s="544" t="s">
        <v>94</v>
      </c>
      <c r="F72" s="544" t="s">
        <v>305</v>
      </c>
      <c r="G72" s="544"/>
      <c r="H72" s="545" t="s">
        <v>306</v>
      </c>
      <c r="I72" s="545"/>
      <c r="J72" s="546"/>
      <c r="K72" s="348"/>
      <c r="L72" s="348"/>
      <c r="M72" s="165"/>
      <c r="N72" s="165"/>
      <c r="O72" s="166"/>
      <c r="P72" s="158"/>
    </row>
    <row r="73" spans="1:16" s="1" customFormat="1" ht="51" customHeight="1">
      <c r="A73" s="537"/>
      <c r="B73" s="555"/>
      <c r="C73" s="375"/>
      <c r="D73" s="552"/>
      <c r="E73" s="544"/>
      <c r="F73" s="359" t="s">
        <v>307</v>
      </c>
      <c r="G73" s="359" t="s">
        <v>308</v>
      </c>
      <c r="H73" s="360" t="s">
        <v>309</v>
      </c>
      <c r="I73" s="357" t="s">
        <v>310</v>
      </c>
      <c r="J73" s="358" t="s">
        <v>311</v>
      </c>
      <c r="K73" s="348"/>
      <c r="L73" s="348"/>
      <c r="M73" s="165"/>
      <c r="N73" s="165"/>
      <c r="O73" s="166"/>
      <c r="P73" s="158"/>
    </row>
    <row r="74" spans="1:16" s="1" customFormat="1" ht="68.25" customHeight="1">
      <c r="A74" s="583" t="s">
        <v>459</v>
      </c>
      <c r="B74" s="516" t="s">
        <v>471</v>
      </c>
      <c r="C74" s="219"/>
      <c r="D74" s="321" t="s">
        <v>382</v>
      </c>
      <c r="E74" s="244" t="s">
        <v>1</v>
      </c>
      <c r="F74" s="235">
        <v>25</v>
      </c>
      <c r="G74" s="328">
        <v>25</v>
      </c>
      <c r="H74" s="328">
        <f>+'Anexo 1 Matriz SINA Inf Gestión'!M57</f>
        <v>80922400</v>
      </c>
      <c r="I74" s="328">
        <f>+'Anexo 1 Matriz SINA Inf Gestión'!N57</f>
        <v>80922400</v>
      </c>
      <c r="J74" s="66">
        <f t="shared" ref="J74:J80" si="4">+H74-I74</f>
        <v>0</v>
      </c>
      <c r="K74" s="348"/>
      <c r="L74" s="348"/>
      <c r="M74" s="165">
        <v>175228</v>
      </c>
      <c r="N74" s="165">
        <v>45086</v>
      </c>
      <c r="O74" s="166">
        <v>334406</v>
      </c>
      <c r="P74" s="158"/>
    </row>
    <row r="75" spans="1:16" s="1" customFormat="1" ht="57" customHeight="1">
      <c r="A75" s="583"/>
      <c r="B75" s="516"/>
      <c r="C75" s="219"/>
      <c r="D75" s="319" t="s">
        <v>383</v>
      </c>
      <c r="E75" s="244" t="s">
        <v>1</v>
      </c>
      <c r="F75" s="235">
        <v>19</v>
      </c>
      <c r="G75" s="328">
        <v>19</v>
      </c>
      <c r="H75" s="328">
        <f>+'Anexo 1 Matriz SINA Inf Gestión'!M58</f>
        <v>0</v>
      </c>
      <c r="I75" s="328">
        <f>+'Anexo 1 Matriz SINA Inf Gestión'!N58</f>
        <v>0</v>
      </c>
      <c r="J75" s="66">
        <f t="shared" si="4"/>
        <v>0</v>
      </c>
      <c r="K75" s="348"/>
      <c r="L75" s="348"/>
      <c r="M75" s="165"/>
      <c r="N75" s="165"/>
      <c r="O75" s="166"/>
      <c r="P75" s="158"/>
    </row>
    <row r="76" spans="1:16" s="1" customFormat="1" ht="73.5" customHeight="1">
      <c r="A76" s="583"/>
      <c r="B76" s="516"/>
      <c r="C76" s="219"/>
      <c r="D76" s="376" t="s">
        <v>384</v>
      </c>
      <c r="E76" s="244" t="s">
        <v>482</v>
      </c>
      <c r="F76" s="235">
        <v>2</v>
      </c>
      <c r="G76" s="328">
        <v>2</v>
      </c>
      <c r="H76" s="328">
        <f>+'Anexo 1 Matriz SINA Inf Gestión'!M59</f>
        <v>1655479575</v>
      </c>
      <c r="I76" s="328">
        <f>+'Anexo 1 Matriz SINA Inf Gestión'!N59</f>
        <v>1397054484</v>
      </c>
      <c r="J76" s="66">
        <f t="shared" si="4"/>
        <v>258425091</v>
      </c>
      <c r="K76" s="348"/>
      <c r="L76" s="348"/>
      <c r="M76" s="165"/>
      <c r="N76" s="165"/>
      <c r="O76" s="166"/>
      <c r="P76" s="158"/>
    </row>
    <row r="77" spans="1:16" s="1" customFormat="1" ht="33.75" customHeight="1">
      <c r="A77" s="583"/>
      <c r="B77" s="516"/>
      <c r="C77" s="219"/>
      <c r="D77" s="377" t="s">
        <v>385</v>
      </c>
      <c r="E77" s="244" t="s">
        <v>386</v>
      </c>
      <c r="F77" s="233">
        <v>1</v>
      </c>
      <c r="G77" s="328">
        <v>1</v>
      </c>
      <c r="H77" s="328">
        <f>+'Anexo 1 Matriz SINA Inf Gestión'!M60</f>
        <v>23493600</v>
      </c>
      <c r="I77" s="328">
        <f>+'Anexo 1 Matriz SINA Inf Gestión'!N60</f>
        <v>23493600</v>
      </c>
      <c r="J77" s="66">
        <f t="shared" si="4"/>
        <v>0</v>
      </c>
      <c r="K77" s="348"/>
      <c r="L77" s="348"/>
      <c r="M77" s="165"/>
      <c r="N77" s="165"/>
      <c r="O77" s="166"/>
      <c r="P77" s="158"/>
    </row>
    <row r="78" spans="1:16" s="1" customFormat="1" ht="33.75" customHeight="1">
      <c r="A78" s="583"/>
      <c r="B78" s="516"/>
      <c r="C78" s="219"/>
      <c r="D78" s="377" t="s">
        <v>387</v>
      </c>
      <c r="E78" s="244" t="s">
        <v>388</v>
      </c>
      <c r="F78" s="235">
        <v>2</v>
      </c>
      <c r="G78" s="328">
        <v>2</v>
      </c>
      <c r="H78" s="328">
        <f>+'Anexo 1 Matriz SINA Inf Gestión'!M61</f>
        <v>0</v>
      </c>
      <c r="I78" s="328">
        <f>+'Anexo 1 Matriz SINA Inf Gestión'!N61</f>
        <v>0</v>
      </c>
      <c r="J78" s="66">
        <f t="shared" si="4"/>
        <v>0</v>
      </c>
      <c r="K78" s="348"/>
      <c r="L78" s="348"/>
      <c r="M78" s="165"/>
      <c r="N78" s="165"/>
      <c r="O78" s="166"/>
      <c r="P78" s="158"/>
    </row>
    <row r="79" spans="1:16" s="1" customFormat="1" ht="84.75" customHeight="1">
      <c r="A79" s="583"/>
      <c r="B79" s="516"/>
      <c r="C79" s="219"/>
      <c r="D79" s="370" t="s">
        <v>389</v>
      </c>
      <c r="E79" s="244" t="s">
        <v>388</v>
      </c>
      <c r="F79" s="235">
        <v>1</v>
      </c>
      <c r="G79" s="328">
        <v>1</v>
      </c>
      <c r="H79" s="328">
        <f>+'Anexo 1 Matriz SINA Inf Gestión'!M62</f>
        <v>4676133681</v>
      </c>
      <c r="I79" s="328">
        <f>+'Anexo 1 Matriz SINA Inf Gestión'!N62</f>
        <v>4668911244</v>
      </c>
      <c r="J79" s="66">
        <f t="shared" si="4"/>
        <v>7222437</v>
      </c>
      <c r="K79" s="348"/>
      <c r="L79" s="348"/>
      <c r="M79" s="165"/>
      <c r="N79" s="165"/>
      <c r="O79" s="166"/>
      <c r="P79" s="158"/>
    </row>
    <row r="80" spans="1:16" s="1" customFormat="1" ht="33.75" customHeight="1">
      <c r="A80" s="583"/>
      <c r="B80" s="516"/>
      <c r="C80" s="352"/>
      <c r="D80" s="370" t="s">
        <v>495</v>
      </c>
      <c r="E80" s="244" t="s">
        <v>496</v>
      </c>
      <c r="F80" s="235">
        <v>0</v>
      </c>
      <c r="G80" s="328">
        <v>0</v>
      </c>
      <c r="H80" s="328">
        <f>+'Anexo 1 Matriz SINA Inf Gestión'!M63</f>
        <v>18517963</v>
      </c>
      <c r="I80" s="328">
        <f>+'Anexo 1 Matriz SINA Inf Gestión'!N63</f>
        <v>17487839</v>
      </c>
      <c r="J80" s="66">
        <f t="shared" si="4"/>
        <v>1030124</v>
      </c>
      <c r="K80" s="348"/>
      <c r="L80" s="348"/>
      <c r="M80" s="165"/>
      <c r="N80" s="165"/>
      <c r="O80" s="166"/>
      <c r="P80" s="158"/>
    </row>
    <row r="81" spans="1:16" s="1" customFormat="1" ht="15">
      <c r="A81" s="583"/>
      <c r="B81" s="584"/>
      <c r="C81" s="379"/>
      <c r="D81" s="586" t="s">
        <v>317</v>
      </c>
      <c r="E81" s="556"/>
      <c r="F81" s="556"/>
      <c r="G81" s="556"/>
      <c r="H81" s="362">
        <f>SUM(H74:H80)</f>
        <v>6454547219</v>
      </c>
      <c r="I81" s="237"/>
      <c r="J81" s="557">
        <f>+H81-I82</f>
        <v>266677652</v>
      </c>
      <c r="K81" s="170"/>
      <c r="L81" s="348"/>
      <c r="M81" s="165">
        <v>630821</v>
      </c>
      <c r="N81" s="165"/>
      <c r="O81" s="166"/>
      <c r="P81" s="158"/>
    </row>
    <row r="82" spans="1:16" s="1" customFormat="1" ht="15">
      <c r="A82" s="583"/>
      <c r="B82" s="584"/>
      <c r="C82" s="378"/>
      <c r="D82" s="556" t="s">
        <v>318</v>
      </c>
      <c r="E82" s="556"/>
      <c r="F82" s="556"/>
      <c r="G82" s="556"/>
      <c r="H82" s="556"/>
      <c r="I82" s="362">
        <f>SUM(I74:I81)</f>
        <v>6187869567</v>
      </c>
      <c r="J82" s="557"/>
      <c r="K82" s="167"/>
      <c r="L82" s="348"/>
      <c r="M82" s="165">
        <v>4107244</v>
      </c>
      <c r="N82" s="165"/>
      <c r="O82" s="166"/>
      <c r="P82" s="158"/>
    </row>
    <row r="83" spans="1:16" s="1" customFormat="1" ht="15">
      <c r="A83" s="583"/>
      <c r="B83" s="585"/>
      <c r="C83" s="380"/>
      <c r="D83" s="558" t="s">
        <v>319</v>
      </c>
      <c r="E83" s="558"/>
      <c r="F83" s="558"/>
      <c r="G83" s="558"/>
      <c r="H83" s="558"/>
      <c r="I83" s="327">
        <f>+I82/H81</f>
        <v>0.95868375535080275</v>
      </c>
      <c r="J83" s="557"/>
      <c r="K83" s="348">
        <v>80</v>
      </c>
      <c r="L83" s="348"/>
      <c r="M83" s="171"/>
      <c r="N83" s="168">
        <f>SUM(M74:N82)</f>
        <v>4958379</v>
      </c>
      <c r="O83" s="172">
        <f>SUM(O74:O82)</f>
        <v>334406</v>
      </c>
      <c r="P83" s="158"/>
    </row>
    <row r="84" spans="1:16" s="1" customFormat="1" ht="23.25" customHeight="1">
      <c r="A84" s="583"/>
      <c r="B84" s="555" t="s">
        <v>303</v>
      </c>
      <c r="C84" s="355"/>
      <c r="D84" s="551" t="s">
        <v>304</v>
      </c>
      <c r="E84" s="544" t="s">
        <v>94</v>
      </c>
      <c r="F84" s="544" t="s">
        <v>305</v>
      </c>
      <c r="G84" s="544"/>
      <c r="H84" s="545" t="s">
        <v>306</v>
      </c>
      <c r="I84" s="545"/>
      <c r="J84" s="546"/>
      <c r="K84" s="348"/>
      <c r="L84" s="348"/>
      <c r="M84" s="171"/>
      <c r="N84" s="168"/>
      <c r="O84" s="172"/>
      <c r="P84" s="158"/>
    </row>
    <row r="85" spans="1:16" s="1" customFormat="1" ht="44.25" customHeight="1">
      <c r="A85" s="583"/>
      <c r="B85" s="555"/>
      <c r="C85" s="375"/>
      <c r="D85" s="552"/>
      <c r="E85" s="544"/>
      <c r="F85" s="359" t="s">
        <v>307</v>
      </c>
      <c r="G85" s="359" t="s">
        <v>308</v>
      </c>
      <c r="H85" s="360" t="s">
        <v>309</v>
      </c>
      <c r="I85" s="357" t="s">
        <v>310</v>
      </c>
      <c r="J85" s="358" t="s">
        <v>311</v>
      </c>
      <c r="K85" s="348"/>
      <c r="L85" s="348"/>
      <c r="M85" s="171"/>
      <c r="N85" s="168"/>
      <c r="O85" s="172"/>
      <c r="P85" s="158"/>
    </row>
    <row r="86" spans="1:16" s="1" customFormat="1" ht="50.25" customHeight="1">
      <c r="A86" s="583"/>
      <c r="B86" s="547" t="s">
        <v>460</v>
      </c>
      <c r="C86" s="352"/>
      <c r="D86" s="321" t="s">
        <v>390</v>
      </c>
      <c r="E86" s="244" t="s">
        <v>1</v>
      </c>
      <c r="F86" s="235">
        <v>30</v>
      </c>
      <c r="G86" s="328">
        <v>30</v>
      </c>
      <c r="H86" s="328">
        <v>0</v>
      </c>
      <c r="I86" s="328">
        <v>0</v>
      </c>
      <c r="J86" s="66">
        <f>+H86-I86</f>
        <v>0</v>
      </c>
      <c r="K86" s="348"/>
      <c r="L86" s="348"/>
      <c r="M86" s="171"/>
      <c r="N86" s="168"/>
      <c r="O86" s="172"/>
      <c r="P86" s="158"/>
    </row>
    <row r="87" spans="1:16" s="1" customFormat="1" ht="44.25" customHeight="1">
      <c r="A87" s="583"/>
      <c r="B87" s="547"/>
      <c r="C87" s="352"/>
      <c r="D87" s="381" t="s">
        <v>392</v>
      </c>
      <c r="E87" s="310" t="s">
        <v>129</v>
      </c>
      <c r="F87" s="235">
        <v>2</v>
      </c>
      <c r="G87" s="328">
        <v>2</v>
      </c>
      <c r="H87" s="328">
        <v>0</v>
      </c>
      <c r="I87" s="328">
        <v>0</v>
      </c>
      <c r="J87" s="66">
        <f>+H87-I87</f>
        <v>0</v>
      </c>
      <c r="K87" s="348"/>
      <c r="L87" s="348"/>
      <c r="M87" s="171"/>
      <c r="N87" s="168"/>
      <c r="O87" s="172"/>
      <c r="P87" s="225"/>
    </row>
    <row r="88" spans="1:16" s="1" customFormat="1" ht="29.25" customHeight="1">
      <c r="A88" s="583"/>
      <c r="B88" s="547"/>
      <c r="C88" s="352"/>
      <c r="D88" s="382" t="s">
        <v>393</v>
      </c>
      <c r="E88" s="244" t="s">
        <v>395</v>
      </c>
      <c r="F88" s="235">
        <v>1</v>
      </c>
      <c r="G88" s="405">
        <v>0.8</v>
      </c>
      <c r="H88" s="328">
        <f>+'Anexo 1 Matriz SINA Inf Gestión'!M67</f>
        <v>50200000</v>
      </c>
      <c r="I88" s="328">
        <f>+'Anexo 1 Matriz SINA Inf Gestión'!N67</f>
        <v>50200000</v>
      </c>
      <c r="J88" s="66">
        <f>+H88-I88</f>
        <v>0</v>
      </c>
      <c r="K88" s="348"/>
      <c r="L88" s="348"/>
      <c r="M88" s="171"/>
      <c r="N88" s="168"/>
      <c r="O88" s="172"/>
      <c r="P88" s="158"/>
    </row>
    <row r="89" spans="1:16" s="1" customFormat="1" ht="105.75" customHeight="1">
      <c r="A89" s="583"/>
      <c r="B89" s="547"/>
      <c r="C89" s="352"/>
      <c r="D89" s="382" t="s">
        <v>394</v>
      </c>
      <c r="E89" s="244" t="s">
        <v>129</v>
      </c>
      <c r="F89" s="235">
        <v>1</v>
      </c>
      <c r="G89" s="328">
        <v>1</v>
      </c>
      <c r="H89" s="328">
        <f>+'Anexo 1 Matriz SINA Inf Gestión'!M68</f>
        <v>96594233</v>
      </c>
      <c r="I89" s="328">
        <f>+'Anexo 1 Matriz SINA Inf Gestión'!N68</f>
        <v>73406170</v>
      </c>
      <c r="J89" s="66">
        <f>+H89-I89</f>
        <v>23188063</v>
      </c>
      <c r="K89" s="348"/>
      <c r="L89" s="348"/>
      <c r="M89" s="171"/>
      <c r="N89" s="168"/>
      <c r="O89" s="172"/>
      <c r="P89" s="158"/>
    </row>
    <row r="90" spans="1:16" s="1" customFormat="1" ht="15">
      <c r="A90" s="583"/>
      <c r="B90" s="584"/>
      <c r="C90" s="378"/>
      <c r="D90" s="586" t="s">
        <v>317</v>
      </c>
      <c r="E90" s="556"/>
      <c r="F90" s="556"/>
      <c r="G90" s="556"/>
      <c r="H90" s="362">
        <f>SUM(H86:H89)</f>
        <v>146794233</v>
      </c>
      <c r="I90" s="383"/>
      <c r="J90" s="587">
        <f>+H90-I91</f>
        <v>23188063</v>
      </c>
      <c r="K90" s="348"/>
      <c r="L90" s="348"/>
      <c r="M90" s="171"/>
      <c r="N90" s="168"/>
      <c r="O90" s="172"/>
      <c r="P90" s="158"/>
    </row>
    <row r="91" spans="1:16" s="1" customFormat="1" ht="15">
      <c r="A91" s="583"/>
      <c r="B91" s="584"/>
      <c r="C91" s="378"/>
      <c r="D91" s="556" t="s">
        <v>318</v>
      </c>
      <c r="E91" s="556"/>
      <c r="F91" s="556"/>
      <c r="G91" s="556"/>
      <c r="H91" s="556"/>
      <c r="I91" s="362">
        <f>SUM(I86:I90)</f>
        <v>123606170</v>
      </c>
      <c r="J91" s="587"/>
      <c r="K91" s="348"/>
      <c r="L91" s="348"/>
      <c r="M91" s="171"/>
      <c r="N91" s="168"/>
      <c r="O91" s="172"/>
      <c r="P91" s="158"/>
    </row>
    <row r="92" spans="1:16" s="1" customFormat="1" ht="15">
      <c r="A92" s="583"/>
      <c r="B92" s="584"/>
      <c r="C92" s="378"/>
      <c r="D92" s="558" t="s">
        <v>319</v>
      </c>
      <c r="E92" s="558"/>
      <c r="F92" s="558"/>
      <c r="G92" s="558"/>
      <c r="H92" s="558"/>
      <c r="I92" s="384">
        <f>+I91/H90</f>
        <v>0.84203696203787515</v>
      </c>
      <c r="J92" s="587"/>
      <c r="K92" s="348"/>
      <c r="L92" s="348"/>
      <c r="M92" s="171"/>
      <c r="N92" s="168"/>
      <c r="O92" s="172"/>
      <c r="P92" s="158"/>
    </row>
    <row r="93" spans="1:16" s="1" customFormat="1" ht="19.5" customHeight="1">
      <c r="A93" s="537" t="s">
        <v>302</v>
      </c>
      <c r="B93" s="555" t="s">
        <v>303</v>
      </c>
      <c r="C93" s="355"/>
      <c r="D93" s="551" t="s">
        <v>304</v>
      </c>
      <c r="E93" s="544" t="s">
        <v>94</v>
      </c>
      <c r="F93" s="544" t="s">
        <v>305</v>
      </c>
      <c r="G93" s="544"/>
      <c r="H93" s="545" t="s">
        <v>306</v>
      </c>
      <c r="I93" s="545"/>
      <c r="J93" s="546"/>
      <c r="K93" s="348"/>
      <c r="L93" s="348"/>
      <c r="M93" s="165"/>
      <c r="N93" s="165"/>
      <c r="O93" s="166"/>
      <c r="P93" s="158"/>
    </row>
    <row r="94" spans="1:16" s="1" customFormat="1" ht="45.75" customHeight="1">
      <c r="A94" s="537"/>
      <c r="B94" s="555"/>
      <c r="C94" s="375"/>
      <c r="D94" s="552"/>
      <c r="E94" s="544"/>
      <c r="F94" s="359" t="s">
        <v>307</v>
      </c>
      <c r="G94" s="359" t="s">
        <v>308</v>
      </c>
      <c r="H94" s="385" t="s">
        <v>309</v>
      </c>
      <c r="I94" s="359" t="s">
        <v>310</v>
      </c>
      <c r="J94" s="386" t="s">
        <v>311</v>
      </c>
      <c r="K94" s="348"/>
      <c r="L94" s="348"/>
      <c r="M94" s="165"/>
      <c r="N94" s="165"/>
      <c r="O94" s="166"/>
      <c r="P94" s="158"/>
    </row>
    <row r="95" spans="1:16" s="1" customFormat="1" ht="111" customHeight="1">
      <c r="A95" s="524" t="s">
        <v>461</v>
      </c>
      <c r="B95" s="534" t="s">
        <v>462</v>
      </c>
      <c r="C95" s="219"/>
      <c r="D95" s="321" t="s">
        <v>396</v>
      </c>
      <c r="E95" s="244" t="s">
        <v>179</v>
      </c>
      <c r="F95" s="235">
        <v>100</v>
      </c>
      <c r="G95" s="328">
        <v>100</v>
      </c>
      <c r="H95" s="328">
        <v>0</v>
      </c>
      <c r="I95" s="328"/>
      <c r="J95" s="66">
        <f t="shared" ref="J95:J110" si="5">+H95-I95</f>
        <v>0</v>
      </c>
      <c r="K95" s="348"/>
      <c r="L95" s="348"/>
      <c r="M95" s="173">
        <v>951912</v>
      </c>
      <c r="N95" s="165">
        <v>69813</v>
      </c>
      <c r="O95" s="166">
        <v>412670</v>
      </c>
      <c r="P95" s="225"/>
    </row>
    <row r="96" spans="1:16" s="1" customFormat="1" ht="60.75" customHeight="1">
      <c r="A96" s="525"/>
      <c r="B96" s="535"/>
      <c r="C96" s="219"/>
      <c r="D96" s="319" t="s">
        <v>397</v>
      </c>
      <c r="E96" s="244" t="s">
        <v>179</v>
      </c>
      <c r="F96" s="235">
        <v>100</v>
      </c>
      <c r="G96" s="328">
        <v>100</v>
      </c>
      <c r="H96" s="328">
        <f>+'Anexo 1 Matriz SINA Inf Gestión'!M72</f>
        <v>13432564</v>
      </c>
      <c r="I96" s="328">
        <f>+'Anexo 1 Matriz SINA Inf Gestión'!N72</f>
        <v>13432564</v>
      </c>
      <c r="J96" s="66">
        <f t="shared" si="5"/>
        <v>0</v>
      </c>
      <c r="K96" s="348"/>
      <c r="L96" s="348"/>
      <c r="M96" s="173"/>
      <c r="N96" s="165"/>
      <c r="O96" s="166"/>
      <c r="P96" s="158"/>
    </row>
    <row r="97" spans="1:16" s="1" customFormat="1" ht="48" customHeight="1">
      <c r="A97" s="525"/>
      <c r="B97" s="535"/>
      <c r="C97" s="219"/>
      <c r="D97" s="319" t="s">
        <v>398</v>
      </c>
      <c r="E97" s="244" t="s">
        <v>179</v>
      </c>
      <c r="F97" s="235">
        <v>100</v>
      </c>
      <c r="G97" s="328">
        <v>100</v>
      </c>
      <c r="H97" s="328">
        <f>+'Anexo 1 Matriz SINA Inf Gestión'!M73</f>
        <v>0</v>
      </c>
      <c r="I97" s="328">
        <f>+'Anexo 1 Matriz SINA Inf Gestión'!N73</f>
        <v>0</v>
      </c>
      <c r="J97" s="66">
        <f t="shared" si="5"/>
        <v>0</v>
      </c>
      <c r="K97" s="348"/>
      <c r="L97" s="348"/>
      <c r="M97" s="173"/>
      <c r="N97" s="165"/>
      <c r="O97" s="166"/>
      <c r="P97" s="158"/>
    </row>
    <row r="98" spans="1:16" s="1" customFormat="1" ht="48.75" customHeight="1">
      <c r="A98" s="525"/>
      <c r="B98" s="535"/>
      <c r="C98" s="219"/>
      <c r="D98" s="321" t="s">
        <v>399</v>
      </c>
      <c r="E98" s="244" t="s">
        <v>1</v>
      </c>
      <c r="F98" s="235">
        <v>100</v>
      </c>
      <c r="G98" s="328">
        <v>100</v>
      </c>
      <c r="H98" s="328">
        <f>+'Anexo 1 Matriz SINA Inf Gestión'!M74</f>
        <v>372108950</v>
      </c>
      <c r="I98" s="328">
        <f>+'Anexo 1 Matriz SINA Inf Gestión'!N74</f>
        <v>371160657</v>
      </c>
      <c r="J98" s="66">
        <f t="shared" si="5"/>
        <v>948293</v>
      </c>
      <c r="K98" s="348"/>
      <c r="L98" s="348"/>
      <c r="M98" s="173"/>
      <c r="N98" s="165"/>
      <c r="O98" s="166"/>
      <c r="P98" s="158"/>
    </row>
    <row r="99" spans="1:16" s="1" customFormat="1" ht="47.25" customHeight="1">
      <c r="A99" s="525"/>
      <c r="B99" s="535"/>
      <c r="C99" s="219"/>
      <c r="D99" s="321" t="s">
        <v>400</v>
      </c>
      <c r="E99" s="244" t="s">
        <v>483</v>
      </c>
      <c r="F99" s="235">
        <v>60</v>
      </c>
      <c r="G99" s="328">
        <v>60</v>
      </c>
      <c r="H99" s="328">
        <f>+'Anexo 1 Matriz SINA Inf Gestión'!M75</f>
        <v>0</v>
      </c>
      <c r="I99" s="328">
        <f>+'Anexo 1 Matriz SINA Inf Gestión'!N75</f>
        <v>0</v>
      </c>
      <c r="J99" s="66">
        <f t="shared" si="5"/>
        <v>0</v>
      </c>
      <c r="K99" s="348"/>
      <c r="L99" s="348"/>
      <c r="M99" s="173"/>
      <c r="N99" s="165"/>
      <c r="O99" s="166"/>
      <c r="P99" s="158"/>
    </row>
    <row r="100" spans="1:16" s="1" customFormat="1" ht="56.25" customHeight="1">
      <c r="A100" s="525"/>
      <c r="B100" s="535"/>
      <c r="C100" s="219"/>
      <c r="D100" s="321" t="s">
        <v>401</v>
      </c>
      <c r="E100" s="244" t="s">
        <v>179</v>
      </c>
      <c r="F100" s="235">
        <v>20</v>
      </c>
      <c r="G100" s="328">
        <v>20</v>
      </c>
      <c r="H100" s="328">
        <f>+'Anexo 1 Matriz SINA Inf Gestión'!M76</f>
        <v>0</v>
      </c>
      <c r="I100" s="328">
        <f>+'Anexo 1 Matriz SINA Inf Gestión'!N76</f>
        <v>0</v>
      </c>
      <c r="J100" s="66">
        <f t="shared" si="5"/>
        <v>0</v>
      </c>
      <c r="K100" s="348"/>
      <c r="L100" s="348"/>
      <c r="M100" s="173"/>
      <c r="N100" s="165"/>
      <c r="O100" s="166"/>
      <c r="P100" s="225"/>
    </row>
    <row r="101" spans="1:16" s="1" customFormat="1" ht="99" customHeight="1">
      <c r="A101" s="525"/>
      <c r="B101" s="535"/>
      <c r="C101" s="219"/>
      <c r="D101" s="315" t="s">
        <v>402</v>
      </c>
      <c r="E101" s="244" t="s">
        <v>179</v>
      </c>
      <c r="F101" s="235">
        <v>100</v>
      </c>
      <c r="G101" s="328">
        <v>100</v>
      </c>
      <c r="H101" s="328">
        <f>+'Anexo 1 Matriz SINA Inf Gestión'!M77</f>
        <v>68322200</v>
      </c>
      <c r="I101" s="328">
        <f>+'Anexo 1 Matriz SINA Inf Gestión'!N77</f>
        <v>68322200</v>
      </c>
      <c r="J101" s="66">
        <f t="shared" si="5"/>
        <v>0</v>
      </c>
      <c r="K101" s="348"/>
      <c r="L101" s="348"/>
      <c r="M101" s="173"/>
      <c r="N101" s="165"/>
      <c r="O101" s="166"/>
      <c r="P101" s="158"/>
    </row>
    <row r="102" spans="1:16" s="1" customFormat="1" ht="53.25" customHeight="1">
      <c r="A102" s="525"/>
      <c r="B102" s="535"/>
      <c r="C102" s="219"/>
      <c r="D102" s="387" t="s">
        <v>403</v>
      </c>
      <c r="E102" s="244" t="s">
        <v>181</v>
      </c>
      <c r="F102" s="235">
        <v>1</v>
      </c>
      <c r="G102" s="328">
        <v>1</v>
      </c>
      <c r="H102" s="328">
        <f>+'Anexo 1 Matriz SINA Inf Gestión'!M78</f>
        <v>1012371660</v>
      </c>
      <c r="I102" s="328">
        <f>+'Anexo 1 Matriz SINA Inf Gestión'!N78</f>
        <v>979258541</v>
      </c>
      <c r="J102" s="66">
        <f t="shared" si="5"/>
        <v>33113119</v>
      </c>
      <c r="K102" s="348"/>
      <c r="L102" s="348"/>
      <c r="M102" s="173">
        <f>280554*2</f>
        <v>561108</v>
      </c>
      <c r="N102" s="165">
        <f>105137*2</f>
        <v>210274</v>
      </c>
      <c r="O102" s="166"/>
      <c r="P102" s="158"/>
    </row>
    <row r="103" spans="1:16" s="1" customFormat="1" ht="55.5" customHeight="1">
      <c r="A103" s="525"/>
      <c r="B103" s="535"/>
      <c r="C103" s="219"/>
      <c r="D103" s="387" t="s">
        <v>404</v>
      </c>
      <c r="E103" s="244" t="s">
        <v>405</v>
      </c>
      <c r="F103" s="235">
        <v>1</v>
      </c>
      <c r="G103" s="328">
        <v>1</v>
      </c>
      <c r="H103" s="328">
        <f>+'Anexo 1 Matriz SINA Inf Gestión'!M79</f>
        <v>182828000</v>
      </c>
      <c r="I103" s="328">
        <f>+'Anexo 1 Matriz SINA Inf Gestión'!N79</f>
        <v>182697542</v>
      </c>
      <c r="J103" s="66">
        <f t="shared" si="5"/>
        <v>130458</v>
      </c>
      <c r="K103" s="348"/>
      <c r="L103" s="348"/>
      <c r="M103" s="173">
        <v>425686</v>
      </c>
      <c r="N103" s="165">
        <v>63158</v>
      </c>
      <c r="O103" s="166"/>
      <c r="P103" s="158"/>
    </row>
    <row r="104" spans="1:16" s="1" customFormat="1" ht="66.75" customHeight="1">
      <c r="A104" s="525"/>
      <c r="B104" s="535"/>
      <c r="C104" s="219"/>
      <c r="D104" s="370" t="s">
        <v>406</v>
      </c>
      <c r="E104" s="244" t="s">
        <v>181</v>
      </c>
      <c r="F104" s="235">
        <v>1</v>
      </c>
      <c r="G104" s="328">
        <v>1</v>
      </c>
      <c r="H104" s="328">
        <f>+'Anexo 1 Matriz SINA Inf Gestión'!M80</f>
        <v>39256400</v>
      </c>
      <c r="I104" s="328">
        <f>+'Anexo 1 Matriz SINA Inf Gestión'!N80</f>
        <v>39256400</v>
      </c>
      <c r="J104" s="66">
        <f t="shared" si="5"/>
        <v>0</v>
      </c>
      <c r="K104" s="348"/>
      <c r="L104" s="348"/>
      <c r="M104" s="173"/>
      <c r="N104" s="165"/>
      <c r="O104" s="166"/>
      <c r="P104" s="158"/>
    </row>
    <row r="105" spans="1:16" s="1" customFormat="1" ht="30">
      <c r="A105" s="525"/>
      <c r="B105" s="535"/>
      <c r="C105" s="219"/>
      <c r="D105" s="387" t="s">
        <v>407</v>
      </c>
      <c r="E105" s="244" t="s">
        <v>184</v>
      </c>
      <c r="F105" s="235">
        <v>1</v>
      </c>
      <c r="G105" s="328">
        <v>1</v>
      </c>
      <c r="H105" s="328">
        <f>+'Anexo 1 Matriz SINA Inf Gestión'!M81</f>
        <v>167667134</v>
      </c>
      <c r="I105" s="328">
        <f>+'Anexo 1 Matriz SINA Inf Gestión'!N81</f>
        <v>165886540</v>
      </c>
      <c r="J105" s="66">
        <f t="shared" si="5"/>
        <v>1780594</v>
      </c>
      <c r="K105" s="348"/>
      <c r="L105" s="348"/>
      <c r="M105" s="173"/>
      <c r="N105" s="165"/>
      <c r="O105" s="166"/>
      <c r="P105" s="158"/>
    </row>
    <row r="106" spans="1:16" s="1" customFormat="1" ht="30">
      <c r="A106" s="525"/>
      <c r="B106" s="535"/>
      <c r="C106" s="219"/>
      <c r="D106" s="370" t="s">
        <v>408</v>
      </c>
      <c r="E106" s="244" t="s">
        <v>1</v>
      </c>
      <c r="F106" s="235">
        <v>100</v>
      </c>
      <c r="G106" s="328">
        <v>100</v>
      </c>
      <c r="H106" s="328">
        <f>+'Anexo 1 Matriz SINA Inf Gestión'!M82</f>
        <v>0</v>
      </c>
      <c r="I106" s="328">
        <f>+'Anexo 1 Matriz SINA Inf Gestión'!N82</f>
        <v>0</v>
      </c>
      <c r="J106" s="66">
        <f t="shared" si="5"/>
        <v>0</v>
      </c>
      <c r="K106" s="348"/>
      <c r="L106" s="348"/>
      <c r="M106" s="173"/>
      <c r="N106" s="165"/>
      <c r="O106" s="166"/>
      <c r="P106" s="158"/>
    </row>
    <row r="107" spans="1:16" s="1" customFormat="1" ht="30">
      <c r="A107" s="525"/>
      <c r="B107" s="535"/>
      <c r="C107" s="219"/>
      <c r="D107" s="370" t="s">
        <v>409</v>
      </c>
      <c r="E107" s="244" t="s">
        <v>180</v>
      </c>
      <c r="F107" s="235">
        <v>37</v>
      </c>
      <c r="G107" s="328">
        <v>37</v>
      </c>
      <c r="H107" s="328">
        <f>+'Anexo 1 Matriz SINA Inf Gestión'!M83</f>
        <v>0</v>
      </c>
      <c r="I107" s="328">
        <f>+'Anexo 1 Matriz SINA Inf Gestión'!N83</f>
        <v>0</v>
      </c>
      <c r="J107" s="66">
        <f t="shared" si="5"/>
        <v>0</v>
      </c>
      <c r="K107" s="348"/>
      <c r="L107" s="348"/>
      <c r="M107" s="173"/>
      <c r="N107" s="165"/>
      <c r="O107" s="166"/>
      <c r="P107" s="158"/>
    </row>
    <row r="108" spans="1:16" s="1" customFormat="1" ht="30">
      <c r="A108" s="525"/>
      <c r="B108" s="535"/>
      <c r="C108" s="219"/>
      <c r="D108" s="370" t="s">
        <v>0</v>
      </c>
      <c r="E108" s="295" t="s">
        <v>410</v>
      </c>
      <c r="F108" s="235">
        <v>1</v>
      </c>
      <c r="G108" s="328">
        <v>1</v>
      </c>
      <c r="H108" s="328">
        <f>+'Anexo 1 Matriz SINA Inf Gestión'!M84</f>
        <v>142467600</v>
      </c>
      <c r="I108" s="328">
        <f>+'Anexo 1 Matriz SINA Inf Gestión'!N84</f>
        <v>142467600</v>
      </c>
      <c r="J108" s="66">
        <f t="shared" si="5"/>
        <v>0</v>
      </c>
      <c r="K108" s="348"/>
      <c r="L108" s="348"/>
      <c r="M108" s="173"/>
      <c r="N108" s="165"/>
      <c r="O108" s="166"/>
      <c r="P108" s="158"/>
    </row>
    <row r="109" spans="1:16" s="1" customFormat="1" ht="19.5" customHeight="1">
      <c r="A109" s="525"/>
      <c r="B109" s="535"/>
      <c r="C109" s="219"/>
      <c r="D109" s="388" t="s">
        <v>411</v>
      </c>
      <c r="E109" s="244" t="s">
        <v>1</v>
      </c>
      <c r="F109" s="235">
        <v>90</v>
      </c>
      <c r="G109" s="328">
        <v>90</v>
      </c>
      <c r="H109" s="328">
        <f>+'Anexo 1 Matriz SINA Inf Gestión'!M85</f>
        <v>0</v>
      </c>
      <c r="I109" s="328">
        <f>+'Anexo 1 Matriz SINA Inf Gestión'!N85</f>
        <v>0</v>
      </c>
      <c r="J109" s="66">
        <f t="shared" si="5"/>
        <v>0</v>
      </c>
      <c r="K109" s="348"/>
      <c r="L109" s="348"/>
      <c r="M109" s="173"/>
      <c r="N109" s="165"/>
      <c r="O109" s="166"/>
      <c r="P109" s="225"/>
    </row>
    <row r="110" spans="1:16" s="1" customFormat="1" ht="30">
      <c r="A110" s="525"/>
      <c r="B110" s="535"/>
      <c r="C110" s="219"/>
      <c r="D110" s="370" t="s">
        <v>495</v>
      </c>
      <c r="E110" s="244" t="s">
        <v>496</v>
      </c>
      <c r="F110" s="235"/>
      <c r="G110" s="328"/>
      <c r="H110" s="328">
        <v>38268307</v>
      </c>
      <c r="I110" s="328">
        <f>+'Anexo 1 Matriz SINA Inf Gestión'!N86</f>
        <v>38184219</v>
      </c>
      <c r="J110" s="66">
        <f t="shared" si="5"/>
        <v>84088</v>
      </c>
      <c r="K110" s="348"/>
      <c r="L110" s="348"/>
      <c r="M110" s="173"/>
      <c r="N110" s="165"/>
      <c r="O110" s="166"/>
      <c r="P110" s="158"/>
    </row>
    <row r="111" spans="1:16" s="1" customFormat="1" ht="15">
      <c r="A111" s="525"/>
      <c r="B111" s="535"/>
      <c r="C111" s="352"/>
      <c r="D111" s="528" t="s">
        <v>317</v>
      </c>
      <c r="E111" s="529"/>
      <c r="F111" s="529"/>
      <c r="G111" s="530"/>
      <c r="H111" s="362">
        <f>SUM(H95:H110)</f>
        <v>2036722815</v>
      </c>
      <c r="J111" s="548">
        <f>+H111-I112</f>
        <v>36056552</v>
      </c>
      <c r="K111" s="167">
        <v>29</v>
      </c>
      <c r="L111" s="348"/>
      <c r="M111" s="173"/>
      <c r="N111" s="165"/>
      <c r="O111" s="166"/>
      <c r="P111" s="158"/>
    </row>
    <row r="112" spans="1:16" s="1" customFormat="1" ht="18" customHeight="1">
      <c r="A112" s="525"/>
      <c r="B112" s="535"/>
      <c r="C112" s="352"/>
      <c r="D112" s="528" t="s">
        <v>318</v>
      </c>
      <c r="E112" s="529"/>
      <c r="F112" s="529"/>
      <c r="G112" s="529"/>
      <c r="H112" s="530"/>
      <c r="I112" s="362">
        <f>SUM(I95:I110)</f>
        <v>2000666263</v>
      </c>
      <c r="J112" s="549"/>
      <c r="K112" s="348"/>
      <c r="L112" s="348"/>
      <c r="M112" s="168">
        <f>SUM(M95:M111)</f>
        <v>1938706</v>
      </c>
      <c r="N112" s="168">
        <f>SUM(N95:N111)</f>
        <v>343245</v>
      </c>
      <c r="O112" s="172">
        <f>SUM(O95:O111)</f>
        <v>412670</v>
      </c>
      <c r="P112" s="158"/>
    </row>
    <row r="113" spans="1:19" s="1" customFormat="1" ht="18" customHeight="1">
      <c r="A113" s="526"/>
      <c r="B113" s="536"/>
      <c r="C113" s="210"/>
      <c r="D113" s="528" t="s">
        <v>319</v>
      </c>
      <c r="E113" s="529"/>
      <c r="F113" s="529"/>
      <c r="G113" s="529"/>
      <c r="H113" s="530"/>
      <c r="I113" s="327">
        <f>+I112/H111</f>
        <v>0.98229678003582432</v>
      </c>
      <c r="J113" s="550"/>
      <c r="K113" s="348"/>
      <c r="L113" s="348"/>
      <c r="M113" s="168"/>
      <c r="N113" s="168"/>
      <c r="O113" s="172"/>
      <c r="P113" s="158"/>
    </row>
    <row r="114" spans="1:19" s="1" customFormat="1" ht="19.5" customHeight="1">
      <c r="A114" s="538" t="s">
        <v>302</v>
      </c>
      <c r="B114" s="553" t="s">
        <v>303</v>
      </c>
      <c r="C114" s="375"/>
      <c r="D114" s="551" t="s">
        <v>304</v>
      </c>
      <c r="E114" s="544" t="s">
        <v>94</v>
      </c>
      <c r="F114" s="544" t="s">
        <v>305</v>
      </c>
      <c r="G114" s="544"/>
      <c r="H114" s="545" t="s">
        <v>306</v>
      </c>
      <c r="I114" s="545"/>
      <c r="J114" s="546"/>
      <c r="K114" s="348"/>
      <c r="L114" s="348"/>
      <c r="M114" s="165"/>
      <c r="N114" s="165"/>
      <c r="O114" s="166"/>
      <c r="P114" s="158"/>
    </row>
    <row r="115" spans="1:19" s="1" customFormat="1" ht="50.25" customHeight="1">
      <c r="A115" s="539"/>
      <c r="B115" s="554"/>
      <c r="C115" s="389"/>
      <c r="D115" s="552"/>
      <c r="E115" s="544"/>
      <c r="F115" s="359" t="s">
        <v>307</v>
      </c>
      <c r="G115" s="359" t="s">
        <v>308</v>
      </c>
      <c r="H115" s="360" t="s">
        <v>309</v>
      </c>
      <c r="I115" s="357" t="s">
        <v>310</v>
      </c>
      <c r="J115" s="358" t="s">
        <v>311</v>
      </c>
      <c r="K115" s="348"/>
      <c r="L115" s="348"/>
      <c r="M115" s="165"/>
      <c r="N115" s="165"/>
      <c r="O115" s="166"/>
      <c r="P115" s="158"/>
    </row>
    <row r="116" spans="1:19" s="1" customFormat="1" ht="72" customHeight="1">
      <c r="A116" s="524" t="s">
        <v>472</v>
      </c>
      <c r="B116" s="534" t="s">
        <v>473</v>
      </c>
      <c r="C116" s="352"/>
      <c r="D116" s="299" t="s">
        <v>413</v>
      </c>
      <c r="E116" s="244" t="s">
        <v>179</v>
      </c>
      <c r="F116" s="235">
        <f>+'Anexo 1 Matriz SINA Inf Gestión'!D89</f>
        <v>100</v>
      </c>
      <c r="G116" s="328">
        <v>100</v>
      </c>
      <c r="H116" s="328">
        <f>+'Anexo 1 Matriz SINA Inf Gestión'!M89</f>
        <v>0</v>
      </c>
      <c r="I116" s="235">
        <f>+'Anexo 1 Matriz SINA Inf Gestión'!N89</f>
        <v>0</v>
      </c>
      <c r="J116" s="66"/>
      <c r="K116" s="348"/>
      <c r="L116" s="348"/>
      <c r="M116" s="165"/>
      <c r="N116" s="165"/>
      <c r="O116" s="166"/>
      <c r="P116" s="225"/>
    </row>
    <row r="117" spans="1:19" s="1" customFormat="1" ht="81" customHeight="1">
      <c r="A117" s="525"/>
      <c r="B117" s="535"/>
      <c r="C117" s="352"/>
      <c r="D117" s="241" t="s">
        <v>414</v>
      </c>
      <c r="E117" s="244" t="s">
        <v>179</v>
      </c>
      <c r="F117" s="235">
        <f>+'Anexo 1 Matriz SINA Inf Gestión'!D90</f>
        <v>100</v>
      </c>
      <c r="G117" s="328">
        <v>100</v>
      </c>
      <c r="H117" s="328">
        <f>+'Anexo 1 Matriz SINA Inf Gestión'!M90</f>
        <v>114548800</v>
      </c>
      <c r="I117" s="235">
        <f>+'Anexo 1 Matriz SINA Inf Gestión'!N90</f>
        <v>109118666</v>
      </c>
      <c r="J117" s="66">
        <f>+H117-I117</f>
        <v>5430134</v>
      </c>
      <c r="K117" s="348"/>
      <c r="L117" s="348"/>
      <c r="M117" s="165"/>
      <c r="N117" s="165"/>
      <c r="O117" s="166"/>
      <c r="P117" s="158"/>
    </row>
    <row r="118" spans="1:19" s="392" customFormat="1" ht="69.75" customHeight="1">
      <c r="A118" s="525"/>
      <c r="B118" s="535"/>
      <c r="C118" s="390"/>
      <c r="D118" s="241" t="s">
        <v>415</v>
      </c>
      <c r="E118" s="244" t="s">
        <v>1</v>
      </c>
      <c r="F118" s="235">
        <f>+'Anexo 1 Matriz SINA Inf Gestión'!D91</f>
        <v>70</v>
      </c>
      <c r="G118" s="328">
        <v>70</v>
      </c>
      <c r="H118" s="328">
        <f>+'Anexo 1 Matriz SINA Inf Gestión'!M91</f>
        <v>100000000</v>
      </c>
      <c r="I118" s="235">
        <f>+'Anexo 1 Matriz SINA Inf Gestión'!N91</f>
        <v>70451225</v>
      </c>
      <c r="J118" s="66">
        <f>+H118-I118</f>
        <v>29548775</v>
      </c>
      <c r="K118" s="391"/>
      <c r="L118" s="391"/>
      <c r="M118" s="214"/>
      <c r="N118" s="214"/>
      <c r="O118" s="214"/>
      <c r="P118" s="214"/>
      <c r="Q118" s="1"/>
      <c r="R118" s="1"/>
      <c r="S118" s="1"/>
    </row>
    <row r="119" spans="1:19" s="392" customFormat="1" ht="106.5" customHeight="1">
      <c r="A119" s="525"/>
      <c r="B119" s="535"/>
      <c r="C119" s="390"/>
      <c r="D119" s="249" t="s">
        <v>416</v>
      </c>
      <c r="E119" s="244" t="s">
        <v>417</v>
      </c>
      <c r="F119" s="235">
        <f>+'Anexo 1 Matriz SINA Inf Gestión'!D92</f>
        <v>5</v>
      </c>
      <c r="G119" s="328">
        <v>5</v>
      </c>
      <c r="H119" s="328">
        <f>+'Anexo 1 Matriz SINA Inf Gestión'!M92</f>
        <v>225358700</v>
      </c>
      <c r="I119" s="235">
        <f>+'Anexo 1 Matriz SINA Inf Gestión'!N92</f>
        <v>221356634</v>
      </c>
      <c r="J119" s="66">
        <f>+H119-I119</f>
        <v>4002066</v>
      </c>
      <c r="K119" s="391"/>
      <c r="L119" s="391"/>
      <c r="M119" s="214"/>
      <c r="N119" s="214"/>
      <c r="O119" s="214"/>
      <c r="P119" s="224"/>
      <c r="Q119" s="1"/>
      <c r="R119" s="1"/>
      <c r="S119" s="1"/>
    </row>
    <row r="120" spans="1:19" s="392" customFormat="1" ht="39.75" customHeight="1">
      <c r="A120" s="525"/>
      <c r="B120" s="535"/>
      <c r="C120" s="390"/>
      <c r="D120" s="278" t="s">
        <v>495</v>
      </c>
      <c r="E120" s="244" t="s">
        <v>496</v>
      </c>
      <c r="F120" s="235">
        <v>0</v>
      </c>
      <c r="G120" s="328">
        <v>0</v>
      </c>
      <c r="H120" s="328">
        <f>+'Anexo 1 Matriz SINA Inf Gestión'!M94</f>
        <v>33128900</v>
      </c>
      <c r="I120" s="235">
        <f>+'Anexo 1 Matriz SINA Inf Gestión'!N94</f>
        <v>25135732</v>
      </c>
      <c r="J120" s="66">
        <f>+H120-I120</f>
        <v>7993168</v>
      </c>
      <c r="K120" s="391"/>
      <c r="L120" s="391"/>
      <c r="M120" s="214"/>
      <c r="N120" s="214"/>
      <c r="O120" s="214"/>
      <c r="P120" s="214"/>
      <c r="Q120" s="1"/>
      <c r="R120" s="1"/>
      <c r="S120" s="1"/>
    </row>
    <row r="121" spans="1:19" s="1" customFormat="1" ht="18" customHeight="1">
      <c r="A121" s="525"/>
      <c r="B121" s="535"/>
      <c r="C121" s="378"/>
      <c r="D121" s="528" t="s">
        <v>317</v>
      </c>
      <c r="E121" s="529"/>
      <c r="F121" s="529"/>
      <c r="G121" s="530"/>
      <c r="H121" s="362">
        <f>SUM(H116:H120)</f>
        <v>473036400</v>
      </c>
      <c r="J121" s="548">
        <f>+H121-I122</f>
        <v>46974143</v>
      </c>
      <c r="K121" s="348"/>
      <c r="L121" s="348"/>
      <c r="M121" s="165"/>
      <c r="N121" s="165"/>
      <c r="O121" s="166"/>
      <c r="P121" s="158"/>
    </row>
    <row r="122" spans="1:19" s="1" customFormat="1" ht="18" customHeight="1">
      <c r="A122" s="525"/>
      <c r="B122" s="535"/>
      <c r="C122" s="378"/>
      <c r="D122" s="528" t="s">
        <v>318</v>
      </c>
      <c r="E122" s="529"/>
      <c r="F122" s="529"/>
      <c r="G122" s="529"/>
      <c r="H122" s="530"/>
      <c r="I122" s="393">
        <f>SUM(I116:I120)</f>
        <v>426062257</v>
      </c>
      <c r="J122" s="549"/>
      <c r="K122" s="348"/>
      <c r="L122" s="348"/>
      <c r="M122" s="165"/>
      <c r="N122" s="165"/>
      <c r="O122" s="166"/>
      <c r="P122" s="158"/>
    </row>
    <row r="123" spans="1:19" s="1" customFormat="1" ht="18" customHeight="1">
      <c r="A123" s="525"/>
      <c r="B123" s="536"/>
      <c r="C123" s="378"/>
      <c r="D123" s="528" t="s">
        <v>319</v>
      </c>
      <c r="E123" s="529"/>
      <c r="F123" s="529"/>
      <c r="G123" s="529"/>
      <c r="H123" s="530"/>
      <c r="I123" s="374">
        <f>+I122/H121</f>
        <v>0.90069655738966392</v>
      </c>
      <c r="J123" s="550"/>
      <c r="K123" s="348"/>
      <c r="L123" s="348"/>
      <c r="M123" s="165"/>
      <c r="N123" s="165"/>
      <c r="O123" s="166"/>
      <c r="P123" s="158"/>
    </row>
    <row r="124" spans="1:19" s="1" customFormat="1" ht="16.5" customHeight="1">
      <c r="A124" s="525"/>
      <c r="B124" s="555" t="s">
        <v>303</v>
      </c>
      <c r="C124" s="355"/>
      <c r="D124" s="551" t="s">
        <v>304</v>
      </c>
      <c r="E124" s="544" t="s">
        <v>94</v>
      </c>
      <c r="F124" s="544" t="s">
        <v>305</v>
      </c>
      <c r="G124" s="544"/>
      <c r="H124" s="545" t="s">
        <v>306</v>
      </c>
      <c r="I124" s="545"/>
      <c r="J124" s="546"/>
      <c r="K124" s="348"/>
      <c r="L124" s="348"/>
      <c r="M124" s="165"/>
      <c r="N124" s="165"/>
      <c r="O124" s="166"/>
      <c r="P124" s="158"/>
    </row>
    <row r="125" spans="1:19" s="1" customFormat="1" ht="30">
      <c r="A125" s="525"/>
      <c r="B125" s="555"/>
      <c r="C125" s="355"/>
      <c r="D125" s="552"/>
      <c r="E125" s="544"/>
      <c r="F125" s="359" t="s">
        <v>307</v>
      </c>
      <c r="G125" s="359" t="s">
        <v>308</v>
      </c>
      <c r="H125" s="360" t="s">
        <v>309</v>
      </c>
      <c r="I125" s="357" t="s">
        <v>310</v>
      </c>
      <c r="J125" s="358" t="s">
        <v>311</v>
      </c>
      <c r="K125" s="348"/>
      <c r="L125" s="348"/>
      <c r="M125" s="165"/>
      <c r="N125" s="165"/>
      <c r="O125" s="166"/>
      <c r="P125" s="158"/>
    </row>
    <row r="126" spans="1:19" s="1" customFormat="1" ht="40.5" customHeight="1">
      <c r="A126" s="525"/>
      <c r="B126" s="534" t="s">
        <v>463</v>
      </c>
      <c r="C126" s="210"/>
      <c r="D126" s="370" t="s">
        <v>419</v>
      </c>
      <c r="E126" s="244" t="s">
        <v>420</v>
      </c>
      <c r="F126" s="235">
        <v>1</v>
      </c>
      <c r="G126" s="328">
        <v>1</v>
      </c>
      <c r="H126" s="328">
        <f>+'Anexo 1 Matriz SINA Inf Gestión'!M96</f>
        <v>1406644400</v>
      </c>
      <c r="I126" s="235">
        <f>+'Anexo 1 Matriz SINA Inf Gestión'!N96</f>
        <v>1405282284</v>
      </c>
      <c r="J126" s="66">
        <f>+H126-I126</f>
        <v>1362116</v>
      </c>
      <c r="K126" s="348"/>
      <c r="L126" s="348"/>
      <c r="M126" s="165"/>
      <c r="N126" s="165"/>
      <c r="O126" s="166"/>
      <c r="P126" s="158"/>
    </row>
    <row r="127" spans="1:19" s="1" customFormat="1" ht="38.25" customHeight="1">
      <c r="A127" s="525"/>
      <c r="B127" s="535"/>
      <c r="C127" s="352"/>
      <c r="D127" s="370" t="s">
        <v>421</v>
      </c>
      <c r="E127" s="244" t="s">
        <v>129</v>
      </c>
      <c r="F127" s="235">
        <v>1</v>
      </c>
      <c r="G127" s="328">
        <v>1</v>
      </c>
      <c r="H127" s="328">
        <f>+'Anexo 1 Matriz SINA Inf Gestión'!M97</f>
        <v>0</v>
      </c>
      <c r="I127" s="235">
        <f>+'Anexo 1 Matriz SINA Inf Gestión'!N97</f>
        <v>0</v>
      </c>
      <c r="J127" s="66">
        <f>+H127-I127</f>
        <v>0</v>
      </c>
      <c r="K127" s="348"/>
      <c r="L127" s="348"/>
      <c r="M127" s="165"/>
      <c r="N127" s="165"/>
      <c r="O127" s="166"/>
      <c r="P127" s="158"/>
    </row>
    <row r="128" spans="1:19" s="1" customFormat="1" ht="57.75" customHeight="1">
      <c r="A128" s="525"/>
      <c r="B128" s="535"/>
      <c r="C128" s="352"/>
      <c r="D128" s="370" t="s">
        <v>422</v>
      </c>
      <c r="E128" s="244" t="s">
        <v>1</v>
      </c>
      <c r="F128" s="235">
        <v>0</v>
      </c>
      <c r="G128" s="328">
        <v>0</v>
      </c>
      <c r="H128" s="328">
        <f>+'Anexo 1 Matriz SINA Inf Gestión'!M98</f>
        <v>104000000</v>
      </c>
      <c r="I128" s="235">
        <f>+'Anexo 1 Matriz SINA Inf Gestión'!N98</f>
        <v>100400000</v>
      </c>
      <c r="J128" s="66">
        <f>+H128-I128</f>
        <v>3600000</v>
      </c>
      <c r="K128" s="348"/>
      <c r="L128" s="348"/>
      <c r="M128" s="165"/>
      <c r="N128" s="165"/>
      <c r="O128" s="166"/>
      <c r="P128" s="158"/>
    </row>
    <row r="129" spans="1:16" s="1" customFormat="1" ht="77.25" customHeight="1">
      <c r="A129" s="525"/>
      <c r="B129" s="535"/>
      <c r="C129" s="378"/>
      <c r="D129" s="370" t="s">
        <v>423</v>
      </c>
      <c r="E129" s="244" t="s">
        <v>424</v>
      </c>
      <c r="F129" s="235">
        <v>38</v>
      </c>
      <c r="G129" s="328">
        <v>38</v>
      </c>
      <c r="H129" s="328">
        <f>+'Anexo 1 Matriz SINA Inf Gestión'!M99</f>
        <v>339355600</v>
      </c>
      <c r="I129" s="235">
        <f>+'Anexo 1 Matriz SINA Inf Gestión'!N99</f>
        <v>335551973</v>
      </c>
      <c r="J129" s="66">
        <f>+H129-I129</f>
        <v>3803627</v>
      </c>
      <c r="K129" s="348"/>
      <c r="L129" s="348"/>
      <c r="M129" s="165"/>
      <c r="N129" s="165"/>
      <c r="O129" s="166"/>
      <c r="P129" s="158"/>
    </row>
    <row r="130" spans="1:16" s="1" customFormat="1" ht="15">
      <c r="A130" s="525"/>
      <c r="B130" s="535"/>
      <c r="C130" s="378"/>
      <c r="D130" s="540" t="s">
        <v>317</v>
      </c>
      <c r="E130" s="541"/>
      <c r="F130" s="541"/>
      <c r="G130" s="542"/>
      <c r="H130" s="393">
        <f>SUM(H126:H129)</f>
        <v>1850000000</v>
      </c>
      <c r="I130" s="406"/>
      <c r="J130" s="594">
        <f>+H130-I131</f>
        <v>8765743</v>
      </c>
      <c r="K130" s="348"/>
      <c r="L130" s="348"/>
      <c r="M130" s="165"/>
      <c r="N130" s="165"/>
      <c r="O130" s="166"/>
      <c r="P130" s="158"/>
    </row>
    <row r="131" spans="1:16" s="1" customFormat="1" ht="18" customHeight="1">
      <c r="A131" s="525"/>
      <c r="B131" s="535"/>
      <c r="C131" s="378"/>
      <c r="D131" s="540" t="s">
        <v>318</v>
      </c>
      <c r="E131" s="541"/>
      <c r="F131" s="541"/>
      <c r="G131" s="541"/>
      <c r="H131" s="542"/>
      <c r="I131" s="362">
        <f>SUM(I126:I129)</f>
        <v>1841234257</v>
      </c>
      <c r="J131" s="595"/>
      <c r="K131" s="348"/>
      <c r="L131" s="348"/>
      <c r="M131" s="165"/>
      <c r="N131" s="165"/>
      <c r="O131" s="166"/>
      <c r="P131" s="158"/>
    </row>
    <row r="132" spans="1:16" s="1" customFormat="1" ht="18" customHeight="1">
      <c r="A132" s="526"/>
      <c r="B132" s="536"/>
      <c r="C132" s="378"/>
      <c r="D132" s="528" t="s">
        <v>319</v>
      </c>
      <c r="E132" s="529"/>
      <c r="F132" s="529"/>
      <c r="G132" s="529"/>
      <c r="H132" s="530"/>
      <c r="I132" s="384">
        <f>+I131/H130</f>
        <v>0.9952617605405405</v>
      </c>
      <c r="J132" s="596"/>
      <c r="K132" s="348"/>
      <c r="L132" s="348"/>
      <c r="M132" s="165"/>
      <c r="N132" s="165"/>
      <c r="O132" s="166"/>
      <c r="P132" s="158"/>
    </row>
    <row r="133" spans="1:16" s="1" customFormat="1" ht="26.25" customHeight="1">
      <c r="A133" s="537" t="s">
        <v>302</v>
      </c>
      <c r="B133" s="555" t="s">
        <v>303</v>
      </c>
      <c r="C133" s="355"/>
      <c r="D133" s="394"/>
      <c r="E133" s="544" t="s">
        <v>94</v>
      </c>
      <c r="F133" s="544" t="s">
        <v>305</v>
      </c>
      <c r="G133" s="544"/>
      <c r="H133" s="545" t="s">
        <v>306</v>
      </c>
      <c r="I133" s="545"/>
      <c r="J133" s="546"/>
      <c r="K133" s="348"/>
      <c r="L133" s="348"/>
      <c r="M133" s="165"/>
      <c r="N133" s="165"/>
      <c r="O133" s="166"/>
      <c r="P133" s="158"/>
    </row>
    <row r="134" spans="1:16" s="1" customFormat="1" ht="47.25" customHeight="1">
      <c r="A134" s="537"/>
      <c r="B134" s="555"/>
      <c r="C134" s="355"/>
      <c r="D134" s="356" t="s">
        <v>304</v>
      </c>
      <c r="E134" s="544"/>
      <c r="F134" s="359" t="s">
        <v>307</v>
      </c>
      <c r="G134" s="359" t="s">
        <v>308</v>
      </c>
      <c r="H134" s="360" t="s">
        <v>309</v>
      </c>
      <c r="I134" s="357" t="s">
        <v>310</v>
      </c>
      <c r="J134" s="358" t="s">
        <v>311</v>
      </c>
      <c r="K134" s="348"/>
      <c r="L134" s="348"/>
      <c r="M134" s="165"/>
      <c r="N134" s="165"/>
      <c r="O134" s="166"/>
      <c r="P134" s="158"/>
    </row>
    <row r="135" spans="1:16" s="1" customFormat="1" ht="38.25" customHeight="1">
      <c r="A135" s="524" t="s">
        <v>464</v>
      </c>
      <c r="B135" s="534" t="s">
        <v>465</v>
      </c>
      <c r="C135" s="352"/>
      <c r="D135" s="370" t="s">
        <v>425</v>
      </c>
      <c r="E135" s="244" t="s">
        <v>493</v>
      </c>
      <c r="F135" s="235">
        <v>1</v>
      </c>
      <c r="G135" s="395">
        <v>1</v>
      </c>
      <c r="H135" s="328">
        <f>+'Anexo 1 Matriz SINA Inf Gestión'!M102</f>
        <v>119232028</v>
      </c>
      <c r="I135" s="328">
        <f>+'Anexo 1 Matriz SINA Inf Gestión'!N102</f>
        <v>119232028</v>
      </c>
      <c r="J135" s="66">
        <f t="shared" ref="J135:J143" si="6">+H135-I135</f>
        <v>0</v>
      </c>
      <c r="K135" s="348"/>
      <c r="L135" s="348"/>
      <c r="M135" s="165">
        <v>70091</v>
      </c>
      <c r="N135" s="165"/>
      <c r="O135" s="166">
        <v>413662</v>
      </c>
      <c r="P135" s="158"/>
    </row>
    <row r="136" spans="1:16" s="1" customFormat="1" ht="38.25" customHeight="1">
      <c r="A136" s="525"/>
      <c r="B136" s="535"/>
      <c r="C136" s="352"/>
      <c r="D136" s="370" t="s">
        <v>426</v>
      </c>
      <c r="E136" s="244" t="s">
        <v>1</v>
      </c>
      <c r="F136" s="235">
        <v>25</v>
      </c>
      <c r="G136" s="395">
        <v>25</v>
      </c>
      <c r="H136" s="328">
        <f>+'Anexo 1 Matriz SINA Inf Gestión'!M103</f>
        <v>567360065</v>
      </c>
      <c r="I136" s="328">
        <f>+'Anexo 1 Matriz SINA Inf Gestión'!N103</f>
        <v>567360065</v>
      </c>
      <c r="J136" s="66">
        <f t="shared" si="6"/>
        <v>0</v>
      </c>
      <c r="K136" s="348"/>
      <c r="L136" s="348"/>
      <c r="M136" s="165"/>
      <c r="N136" s="165"/>
      <c r="O136" s="166"/>
      <c r="P136" s="158"/>
    </row>
    <row r="137" spans="1:16" s="1" customFormat="1" ht="43.5" customHeight="1">
      <c r="A137" s="525"/>
      <c r="B137" s="535"/>
      <c r="C137" s="352"/>
      <c r="D137" s="370" t="s">
        <v>427</v>
      </c>
      <c r="E137" s="244" t="s">
        <v>178</v>
      </c>
      <c r="F137" s="235">
        <v>1</v>
      </c>
      <c r="G137" s="395">
        <v>1</v>
      </c>
      <c r="H137" s="328">
        <f>+'Anexo 1 Matriz SINA Inf Gestión'!M104</f>
        <v>0</v>
      </c>
      <c r="I137" s="328">
        <f>+'Anexo 1 Matriz SINA Inf Gestión'!N104</f>
        <v>0</v>
      </c>
      <c r="J137" s="66">
        <f t="shared" si="6"/>
        <v>0</v>
      </c>
      <c r="K137" s="348"/>
      <c r="L137" s="348"/>
      <c r="M137" s="165"/>
      <c r="N137" s="165"/>
      <c r="O137" s="166"/>
      <c r="P137" s="158"/>
    </row>
    <row r="138" spans="1:16" s="1" customFormat="1" ht="40.5" customHeight="1">
      <c r="A138" s="525"/>
      <c r="B138" s="535"/>
      <c r="C138" s="352"/>
      <c r="D138" s="370" t="s">
        <v>428</v>
      </c>
      <c r="E138" s="244" t="s">
        <v>185</v>
      </c>
      <c r="F138" s="235">
        <v>1</v>
      </c>
      <c r="G138" s="395">
        <v>1</v>
      </c>
      <c r="H138" s="328">
        <f>+'Anexo 1 Matriz SINA Inf Gestión'!M105</f>
        <v>0</v>
      </c>
      <c r="I138" s="328">
        <f>+'Anexo 1 Matriz SINA Inf Gestión'!N105</f>
        <v>0</v>
      </c>
      <c r="J138" s="66">
        <f t="shared" si="6"/>
        <v>0</v>
      </c>
      <c r="K138" s="348"/>
      <c r="L138" s="348"/>
      <c r="M138" s="165"/>
      <c r="N138" s="165"/>
      <c r="O138" s="166"/>
      <c r="P138" s="158"/>
    </row>
    <row r="139" spans="1:16" s="1" customFormat="1" ht="69" customHeight="1">
      <c r="A139" s="525"/>
      <c r="B139" s="535"/>
      <c r="C139" s="352"/>
      <c r="D139" s="370" t="s">
        <v>429</v>
      </c>
      <c r="E139" s="244" t="s">
        <v>430</v>
      </c>
      <c r="F139" s="235">
        <v>1</v>
      </c>
      <c r="G139" s="395">
        <v>1</v>
      </c>
      <c r="H139" s="328">
        <f>+'Anexo 1 Matriz SINA Inf Gestión'!M106</f>
        <v>1813723379</v>
      </c>
      <c r="I139" s="328">
        <f>+'Anexo 1 Matriz SINA Inf Gestión'!N106</f>
        <v>1744310456</v>
      </c>
      <c r="J139" s="66">
        <f t="shared" si="6"/>
        <v>69412923</v>
      </c>
      <c r="K139" s="348"/>
      <c r="L139" s="348"/>
      <c r="M139" s="165"/>
      <c r="N139" s="165"/>
      <c r="O139" s="166"/>
      <c r="P139" s="158"/>
    </row>
    <row r="140" spans="1:16" s="1" customFormat="1" ht="54.75" customHeight="1">
      <c r="A140" s="525"/>
      <c r="B140" s="535"/>
      <c r="C140" s="352"/>
      <c r="D140" s="370" t="s">
        <v>431</v>
      </c>
      <c r="E140" s="244" t="s">
        <v>485</v>
      </c>
      <c r="F140" s="235">
        <v>1</v>
      </c>
      <c r="G140" s="395">
        <v>1</v>
      </c>
      <c r="H140" s="328">
        <f>+'Anexo 1 Matriz SINA Inf Gestión'!M107</f>
        <v>0</v>
      </c>
      <c r="I140" s="328">
        <f>+'Anexo 1 Matriz SINA Inf Gestión'!N107</f>
        <v>0</v>
      </c>
      <c r="J140" s="66">
        <f t="shared" si="6"/>
        <v>0</v>
      </c>
      <c r="K140" s="348"/>
      <c r="L140" s="348"/>
      <c r="M140" s="165"/>
      <c r="N140" s="165"/>
      <c r="O140" s="166"/>
      <c r="P140" s="158"/>
    </row>
    <row r="141" spans="1:16" s="1" customFormat="1" ht="25.5" customHeight="1">
      <c r="A141" s="525"/>
      <c r="B141" s="535"/>
      <c r="C141" s="352"/>
      <c r="D141" s="370" t="s">
        <v>432</v>
      </c>
      <c r="E141" s="244" t="s">
        <v>184</v>
      </c>
      <c r="F141" s="235">
        <v>1</v>
      </c>
      <c r="G141" s="395">
        <v>1</v>
      </c>
      <c r="H141" s="328">
        <f>+'Anexo 1 Matriz SINA Inf Gestión'!M108</f>
        <v>4584866</v>
      </c>
      <c r="I141" s="328">
        <f>+'Anexo 1 Matriz SINA Inf Gestión'!N108</f>
        <v>4584866</v>
      </c>
      <c r="J141" s="66">
        <f t="shared" si="6"/>
        <v>0</v>
      </c>
      <c r="K141" s="348"/>
      <c r="L141" s="348"/>
      <c r="M141" s="165"/>
      <c r="N141" s="165"/>
      <c r="O141" s="166"/>
      <c r="P141" s="158"/>
    </row>
    <row r="142" spans="1:16" s="1" customFormat="1" ht="29.25" customHeight="1">
      <c r="A142" s="525"/>
      <c r="B142" s="535"/>
      <c r="C142" s="352"/>
      <c r="D142" s="370" t="s">
        <v>433</v>
      </c>
      <c r="E142" s="244" t="s">
        <v>129</v>
      </c>
      <c r="F142" s="235">
        <v>1</v>
      </c>
      <c r="G142" s="395">
        <v>1</v>
      </c>
      <c r="H142" s="328">
        <f>+'Anexo 1 Matriz SINA Inf Gestión'!M109</f>
        <v>50200000</v>
      </c>
      <c r="I142" s="328">
        <f>+'Anexo 1 Matriz SINA Inf Gestión'!N109</f>
        <v>50191686</v>
      </c>
      <c r="J142" s="66">
        <f t="shared" si="6"/>
        <v>8314</v>
      </c>
      <c r="K142" s="348"/>
      <c r="L142" s="348"/>
      <c r="M142" s="165"/>
      <c r="N142" s="165"/>
      <c r="O142" s="166"/>
      <c r="P142" s="158"/>
    </row>
    <row r="143" spans="1:16" s="1" customFormat="1" ht="35.25" customHeight="1">
      <c r="A143" s="525"/>
      <c r="B143" s="535"/>
      <c r="C143" s="352"/>
      <c r="D143" s="365" t="s">
        <v>495</v>
      </c>
      <c r="E143" s="244" t="s">
        <v>496</v>
      </c>
      <c r="F143" s="235"/>
      <c r="G143" s="367"/>
      <c r="H143" s="328">
        <f>+'Anexo 1 Matriz SINA Inf Gestión'!M110</f>
        <v>7462399</v>
      </c>
      <c r="I143" s="328">
        <f>+'Anexo 1 Matriz SINA Inf Gestión'!N110</f>
        <v>7462399</v>
      </c>
      <c r="J143" s="66">
        <f t="shared" si="6"/>
        <v>0</v>
      </c>
      <c r="K143" s="348"/>
      <c r="L143" s="348"/>
      <c r="M143" s="165"/>
      <c r="N143" s="165"/>
      <c r="O143" s="166"/>
      <c r="P143" s="158"/>
    </row>
    <row r="144" spans="1:16" s="1" customFormat="1" ht="15">
      <c r="A144" s="525"/>
      <c r="B144" s="535"/>
      <c r="C144" s="378"/>
      <c r="D144" s="528" t="s">
        <v>317</v>
      </c>
      <c r="E144" s="529"/>
      <c r="F144" s="529"/>
      <c r="G144" s="530"/>
      <c r="H144" s="362">
        <f>SUM(H135:H143)</f>
        <v>2562562737</v>
      </c>
      <c r="J144" s="548">
        <f>+H144-I145</f>
        <v>69421237</v>
      </c>
      <c r="K144" s="396">
        <v>21</v>
      </c>
      <c r="L144" s="348"/>
      <c r="M144" s="165"/>
      <c r="N144" s="165"/>
      <c r="O144" s="166"/>
      <c r="P144" s="158"/>
    </row>
    <row r="145" spans="1:18" s="175" customFormat="1" ht="19.5" customHeight="1">
      <c r="A145" s="525"/>
      <c r="B145" s="535"/>
      <c r="C145" s="378"/>
      <c r="D145" s="528" t="s">
        <v>318</v>
      </c>
      <c r="E145" s="529"/>
      <c r="F145" s="529"/>
      <c r="G145" s="529"/>
      <c r="H145" s="530"/>
      <c r="I145" s="362">
        <f>SUM(I135:I143)</f>
        <v>2493141500</v>
      </c>
      <c r="J145" s="549"/>
      <c r="K145" s="167">
        <f>SUM(K22:K144)/7</f>
        <v>20.142857142857142</v>
      </c>
      <c r="L145" s="167"/>
      <c r="M145" s="168">
        <f>SUM(M135:M144)</f>
        <v>70091</v>
      </c>
      <c r="N145" s="168"/>
      <c r="O145" s="168">
        <f>SUM(O135:O144)</f>
        <v>413662</v>
      </c>
      <c r="P145" s="38"/>
    </row>
    <row r="146" spans="1:18" s="175" customFormat="1" ht="19.5" customHeight="1">
      <c r="A146" s="525"/>
      <c r="B146" s="536"/>
      <c r="C146" s="378"/>
      <c r="D146" s="528" t="s">
        <v>319</v>
      </c>
      <c r="E146" s="529"/>
      <c r="F146" s="529"/>
      <c r="G146" s="529"/>
      <c r="H146" s="530"/>
      <c r="I146" s="383">
        <f>+I145/H144</f>
        <v>0.97290944881167218</v>
      </c>
      <c r="J146" s="550"/>
      <c r="K146" s="167"/>
      <c r="L146" s="167"/>
      <c r="M146" s="168"/>
      <c r="N146" s="168"/>
      <c r="O146" s="168"/>
      <c r="P146" s="38"/>
    </row>
    <row r="147" spans="1:18" s="175" customFormat="1" ht="37.5" customHeight="1">
      <c r="A147" s="525"/>
      <c r="B147" s="555" t="s">
        <v>303</v>
      </c>
      <c r="C147" s="355"/>
      <c r="D147" s="355"/>
      <c r="E147" s="544" t="s">
        <v>94</v>
      </c>
      <c r="F147" s="544" t="s">
        <v>305</v>
      </c>
      <c r="G147" s="544"/>
      <c r="H147" s="545" t="s">
        <v>306</v>
      </c>
      <c r="I147" s="545"/>
      <c r="J147" s="546"/>
      <c r="K147" s="167"/>
      <c r="L147" s="167"/>
      <c r="M147" s="168"/>
      <c r="N147" s="168"/>
      <c r="O147" s="168"/>
      <c r="P147" s="38"/>
    </row>
    <row r="148" spans="1:18" s="175" customFormat="1" ht="46.9" customHeight="1">
      <c r="A148" s="525"/>
      <c r="B148" s="555"/>
      <c r="C148" s="355"/>
      <c r="D148" s="356" t="s">
        <v>304</v>
      </c>
      <c r="E148" s="544"/>
      <c r="F148" s="359" t="s">
        <v>307</v>
      </c>
      <c r="G148" s="359" t="s">
        <v>308</v>
      </c>
      <c r="H148" s="360" t="s">
        <v>309</v>
      </c>
      <c r="I148" s="357" t="s">
        <v>310</v>
      </c>
      <c r="J148" s="358" t="s">
        <v>311</v>
      </c>
      <c r="K148" s="167"/>
      <c r="L148" s="167"/>
      <c r="M148" s="168"/>
      <c r="N148" s="168"/>
      <c r="O148" s="168"/>
      <c r="P148" s="38"/>
    </row>
    <row r="149" spans="1:18" s="175" customFormat="1" ht="36.75" customHeight="1">
      <c r="A149" s="525"/>
      <c r="B149" s="534" t="s">
        <v>466</v>
      </c>
      <c r="C149" s="210"/>
      <c r="D149" s="319" t="s">
        <v>434</v>
      </c>
      <c r="E149" s="244" t="s">
        <v>1</v>
      </c>
      <c r="F149" s="235">
        <v>25</v>
      </c>
      <c r="G149" s="397">
        <v>25</v>
      </c>
      <c r="H149" s="367"/>
      <c r="I149" s="367">
        <v>0</v>
      </c>
      <c r="J149" s="66">
        <f t="shared" ref="J149:J154" si="7">+H149-I149</f>
        <v>0</v>
      </c>
      <c r="K149" s="167"/>
      <c r="L149" s="167"/>
      <c r="M149" s="168"/>
      <c r="N149" s="168"/>
      <c r="O149" s="168"/>
      <c r="P149" s="38"/>
    </row>
    <row r="150" spans="1:18" s="175" customFormat="1" ht="15">
      <c r="A150" s="525"/>
      <c r="B150" s="535"/>
      <c r="C150" s="398"/>
      <c r="D150" s="376" t="s">
        <v>435</v>
      </c>
      <c r="E150" s="244" t="s">
        <v>486</v>
      </c>
      <c r="F150" s="235">
        <v>1</v>
      </c>
      <c r="G150" s="397">
        <v>1</v>
      </c>
      <c r="H150" s="367">
        <v>264620800</v>
      </c>
      <c r="I150" s="367">
        <f>+'Anexo 1 Matriz SINA Inf Gestión'!N113</f>
        <v>259667370</v>
      </c>
      <c r="J150" s="66">
        <f t="shared" si="7"/>
        <v>4953430</v>
      </c>
      <c r="K150" s="167"/>
      <c r="L150" s="167"/>
      <c r="M150" s="168"/>
      <c r="N150" s="168"/>
      <c r="O150" s="168"/>
      <c r="P150" s="38"/>
    </row>
    <row r="151" spans="1:18" s="175" customFormat="1" ht="15">
      <c r="A151" s="525"/>
      <c r="B151" s="535"/>
      <c r="C151" s="398"/>
      <c r="D151" s="315" t="s">
        <v>436</v>
      </c>
      <c r="E151" s="244" t="s">
        <v>178</v>
      </c>
      <c r="F151" s="235">
        <v>1</v>
      </c>
      <c r="G151" s="397">
        <v>1</v>
      </c>
      <c r="H151" s="367">
        <v>1188379200</v>
      </c>
      <c r="I151" s="367">
        <f>+'Anexo 1 Matriz SINA Inf Gestión'!N114</f>
        <v>1156645716</v>
      </c>
      <c r="J151" s="66">
        <f t="shared" si="7"/>
        <v>31733484</v>
      </c>
      <c r="K151" s="167"/>
      <c r="L151" s="167"/>
      <c r="M151" s="176"/>
      <c r="N151" s="168"/>
      <c r="O151" s="168"/>
      <c r="P151" s="38"/>
    </row>
    <row r="152" spans="1:18" s="175" customFormat="1" ht="28.5">
      <c r="A152" s="525"/>
      <c r="B152" s="535"/>
      <c r="C152" s="398"/>
      <c r="D152" s="315" t="s">
        <v>437</v>
      </c>
      <c r="E152" s="244" t="s">
        <v>487</v>
      </c>
      <c r="F152" s="235">
        <v>1</v>
      </c>
      <c r="G152" s="397">
        <v>1</v>
      </c>
      <c r="H152" s="367">
        <f>+'Anexo 1 Matriz SINA Inf Gestión'!M115</f>
        <v>0</v>
      </c>
      <c r="I152" s="367">
        <v>0</v>
      </c>
      <c r="J152" s="66">
        <f t="shared" si="7"/>
        <v>0</v>
      </c>
      <c r="K152" s="167"/>
      <c r="L152" s="167"/>
      <c r="M152" s="176"/>
      <c r="N152" s="168"/>
      <c r="O152" s="168"/>
      <c r="P152" s="38"/>
    </row>
    <row r="153" spans="1:18" s="175" customFormat="1" ht="43.5" thickBot="1">
      <c r="A153" s="525"/>
      <c r="B153" s="535"/>
      <c r="C153" s="398"/>
      <c r="D153" s="399" t="s">
        <v>438</v>
      </c>
      <c r="E153" s="244" t="s">
        <v>184</v>
      </c>
      <c r="F153" s="235">
        <v>1</v>
      </c>
      <c r="G153" s="397">
        <v>1</v>
      </c>
      <c r="H153" s="367">
        <f>+'Anexo 1 Matriz SINA Inf Gestión'!M116</f>
        <v>140000000</v>
      </c>
      <c r="I153" s="367">
        <f>+'Anexo 1 Matriz SINA Inf Gestión'!N116</f>
        <v>132922987</v>
      </c>
      <c r="J153" s="66">
        <f t="shared" si="7"/>
        <v>7077013</v>
      </c>
      <c r="K153" s="167"/>
      <c r="L153" s="167"/>
      <c r="M153" s="176"/>
      <c r="N153" s="168"/>
      <c r="O153" s="168"/>
      <c r="P153" s="38"/>
    </row>
    <row r="154" spans="1:18" s="175" customFormat="1" ht="66" customHeight="1">
      <c r="A154" s="525"/>
      <c r="B154" s="535"/>
      <c r="C154" s="398"/>
      <c r="D154" s="365" t="s">
        <v>495</v>
      </c>
      <c r="E154" s="244"/>
      <c r="F154" s="235"/>
      <c r="G154" s="235">
        <v>0</v>
      </c>
      <c r="H154" s="367">
        <f>+'Anexo 1 Matriz SINA Inf Gestión'!M117</f>
        <v>17000000</v>
      </c>
      <c r="I154" s="328">
        <f>+'Anexo 1 Matriz SINA Inf Gestión'!N117</f>
        <v>13561096</v>
      </c>
      <c r="J154" s="66">
        <f t="shared" si="7"/>
        <v>3438904</v>
      </c>
      <c r="K154" s="167"/>
      <c r="L154" s="167"/>
      <c r="M154" s="176"/>
      <c r="N154" s="168"/>
      <c r="O154" s="168"/>
      <c r="P154" s="38"/>
    </row>
    <row r="155" spans="1:18" s="175" customFormat="1" ht="15">
      <c r="A155" s="525"/>
      <c r="B155" s="535"/>
      <c r="C155" s="398"/>
      <c r="D155" s="528" t="s">
        <v>317</v>
      </c>
      <c r="E155" s="529"/>
      <c r="F155" s="529"/>
      <c r="G155" s="530"/>
      <c r="H155" s="362">
        <f>SUM(H149:H154)</f>
        <v>1610000000</v>
      </c>
      <c r="J155" s="548">
        <f>+H155-I156</f>
        <v>47202831</v>
      </c>
      <c r="K155" s="177"/>
      <c r="L155" s="167"/>
      <c r="M155" s="167"/>
      <c r="N155" s="168"/>
      <c r="O155" s="168"/>
      <c r="P155" s="223"/>
    </row>
    <row r="156" spans="1:18" s="175" customFormat="1" ht="18" customHeight="1">
      <c r="A156" s="525"/>
      <c r="B156" s="535"/>
      <c r="C156" s="349"/>
      <c r="D156" s="528" t="s">
        <v>318</v>
      </c>
      <c r="E156" s="529"/>
      <c r="F156" s="529"/>
      <c r="G156" s="529"/>
      <c r="H156" s="530"/>
      <c r="I156" s="362">
        <f>SUM(I149:I154)</f>
        <v>1562797169</v>
      </c>
      <c r="J156" s="549"/>
      <c r="K156" s="177"/>
      <c r="L156" s="167"/>
      <c r="M156" s="167"/>
      <c r="N156" s="168"/>
      <c r="O156" s="168"/>
      <c r="P156" s="223"/>
      <c r="R156" s="167"/>
    </row>
    <row r="157" spans="1:18" s="175" customFormat="1" ht="18" customHeight="1" thickBot="1">
      <c r="A157" s="527"/>
      <c r="B157" s="543"/>
      <c r="C157" s="398"/>
      <c r="D157" s="531" t="s">
        <v>319</v>
      </c>
      <c r="E157" s="532"/>
      <c r="F157" s="532"/>
      <c r="G157" s="532"/>
      <c r="H157" s="533"/>
      <c r="I157" s="327">
        <f>+I156/H155</f>
        <v>0.97068147142857142</v>
      </c>
      <c r="J157" s="593"/>
      <c r="K157" s="174"/>
      <c r="L157" s="167"/>
      <c r="M157" s="167"/>
      <c r="N157" s="168"/>
      <c r="O157" s="168"/>
      <c r="P157" s="168"/>
    </row>
    <row r="158" spans="1:18" ht="18" customHeight="1">
      <c r="A158" s="561" t="s">
        <v>467</v>
      </c>
      <c r="B158" s="562"/>
      <c r="C158" s="562"/>
      <c r="D158" s="562"/>
      <c r="E158" s="562"/>
      <c r="F158" s="562"/>
      <c r="G158" s="562"/>
      <c r="H158" s="563"/>
      <c r="I158" s="400">
        <f>+H21+H36+H43+H56+H69+H81+H90+H111+H121+H130+H144+H155+1</f>
        <v>31883600736</v>
      </c>
      <c r="J158" s="588">
        <f>+I158-I159</f>
        <v>860467513</v>
      </c>
    </row>
    <row r="159" spans="1:18" ht="18" customHeight="1">
      <c r="A159" s="564" t="s">
        <v>468</v>
      </c>
      <c r="B159" s="565"/>
      <c r="C159" s="565"/>
      <c r="D159" s="565"/>
      <c r="E159" s="565"/>
      <c r="F159" s="565"/>
      <c r="G159" s="565"/>
      <c r="H159" s="566"/>
      <c r="I159" s="401">
        <f>+I22+I37+I44+I57+I70+I82+I91+I112+I122+I131+I145+I156</f>
        <v>31023133223</v>
      </c>
      <c r="J159" s="557"/>
    </row>
    <row r="160" spans="1:18" ht="18.75" customHeight="1" thickBot="1">
      <c r="A160" s="590" t="s">
        <v>469</v>
      </c>
      <c r="B160" s="591"/>
      <c r="C160" s="591"/>
      <c r="D160" s="591"/>
      <c r="E160" s="591"/>
      <c r="F160" s="591"/>
      <c r="G160" s="591"/>
      <c r="H160" s="592"/>
      <c r="I160" s="402">
        <f>+I159/I158</f>
        <v>0.97301222279990351</v>
      </c>
      <c r="J160" s="589"/>
    </row>
    <row r="161" spans="4:4">
      <c r="D161" s="335"/>
    </row>
    <row r="162" spans="4:4">
      <c r="D162" s="335"/>
    </row>
    <row r="163" spans="4:4" ht="15">
      <c r="D163" s="403"/>
    </row>
    <row r="164" spans="4:4">
      <c r="D164" s="335"/>
    </row>
    <row r="165" spans="4:4">
      <c r="D165" s="404"/>
    </row>
    <row r="166" spans="4:4">
      <c r="D166" s="404"/>
    </row>
  </sheetData>
  <mergeCells count="140">
    <mergeCell ref="J144:J146"/>
    <mergeCell ref="D145:H145"/>
    <mergeCell ref="J158:J160"/>
    <mergeCell ref="H147:J147"/>
    <mergeCell ref="H124:J124"/>
    <mergeCell ref="H133:J133"/>
    <mergeCell ref="E124:E125"/>
    <mergeCell ref="F124:G124"/>
    <mergeCell ref="D146:H146"/>
    <mergeCell ref="A160:H160"/>
    <mergeCell ref="J155:J157"/>
    <mergeCell ref="B135:B146"/>
    <mergeCell ref="J130:J132"/>
    <mergeCell ref="E147:E148"/>
    <mergeCell ref="B133:B134"/>
    <mergeCell ref="E133:E134"/>
    <mergeCell ref="F133:G133"/>
    <mergeCell ref="D132:H132"/>
    <mergeCell ref="B147:B148"/>
    <mergeCell ref="F147:G147"/>
    <mergeCell ref="B126:B132"/>
    <mergeCell ref="D130:G130"/>
    <mergeCell ref="A93:A94"/>
    <mergeCell ref="B93:B94"/>
    <mergeCell ref="D93:D94"/>
    <mergeCell ref="E93:E94"/>
    <mergeCell ref="F93:G93"/>
    <mergeCell ref="H93:J93"/>
    <mergeCell ref="D83:H83"/>
    <mergeCell ref="B84:B85"/>
    <mergeCell ref="D84:D85"/>
    <mergeCell ref="E84:E85"/>
    <mergeCell ref="F84:G84"/>
    <mergeCell ref="H84:J84"/>
    <mergeCell ref="B86:B92"/>
    <mergeCell ref="D90:G90"/>
    <mergeCell ref="J90:J92"/>
    <mergeCell ref="D91:H91"/>
    <mergeCell ref="D92:H92"/>
    <mergeCell ref="A72:A73"/>
    <mergeCell ref="B72:B73"/>
    <mergeCell ref="D72:D73"/>
    <mergeCell ref="E72:E73"/>
    <mergeCell ref="F72:G72"/>
    <mergeCell ref="H72:J72"/>
    <mergeCell ref="A74:A92"/>
    <mergeCell ref="B74:B83"/>
    <mergeCell ref="D81:G81"/>
    <mergeCell ref="J81:J83"/>
    <mergeCell ref="D82:H82"/>
    <mergeCell ref="A1:I3"/>
    <mergeCell ref="B4:J4"/>
    <mergeCell ref="A5:B5"/>
    <mergeCell ref="D5:E5"/>
    <mergeCell ref="H5:J5"/>
    <mergeCell ref="B6:J6"/>
    <mergeCell ref="H24:J24"/>
    <mergeCell ref="B26:B38"/>
    <mergeCell ref="D36:G36"/>
    <mergeCell ref="J36:J38"/>
    <mergeCell ref="D37:H37"/>
    <mergeCell ref="D38:H38"/>
    <mergeCell ref="E7:E8"/>
    <mergeCell ref="F7:G7"/>
    <mergeCell ref="H7:J7"/>
    <mergeCell ref="A7:A8"/>
    <mergeCell ref="B7:B8"/>
    <mergeCell ref="D21:G21"/>
    <mergeCell ref="J21:J23"/>
    <mergeCell ref="D22:H22"/>
    <mergeCell ref="D23:H23"/>
    <mergeCell ref="B39:B40"/>
    <mergeCell ref="D39:D40"/>
    <mergeCell ref="E39:E40"/>
    <mergeCell ref="F39:G39"/>
    <mergeCell ref="H39:J39"/>
    <mergeCell ref="B41:B45"/>
    <mergeCell ref="D43:G43"/>
    <mergeCell ref="J43:J45"/>
    <mergeCell ref="D44:H44"/>
    <mergeCell ref="D45:H45"/>
    <mergeCell ref="A46:A47"/>
    <mergeCell ref="B46:B47"/>
    <mergeCell ref="D46:D47"/>
    <mergeCell ref="E46:E47"/>
    <mergeCell ref="D7:D8"/>
    <mergeCell ref="A9:A45"/>
    <mergeCell ref="B9:B23"/>
    <mergeCell ref="A158:H158"/>
    <mergeCell ref="A159:H159"/>
    <mergeCell ref="B24:B25"/>
    <mergeCell ref="D24:D25"/>
    <mergeCell ref="E24:E25"/>
    <mergeCell ref="F24:G24"/>
    <mergeCell ref="D112:H112"/>
    <mergeCell ref="F46:G46"/>
    <mergeCell ref="H46:J46"/>
    <mergeCell ref="A48:A71"/>
    <mergeCell ref="B48:B58"/>
    <mergeCell ref="D56:G56"/>
    <mergeCell ref="J56:J58"/>
    <mergeCell ref="D57:H57"/>
    <mergeCell ref="D58:H58"/>
    <mergeCell ref="B59:B60"/>
    <mergeCell ref="D59:D60"/>
    <mergeCell ref="E59:E60"/>
    <mergeCell ref="F59:G59"/>
    <mergeCell ref="H59:J59"/>
    <mergeCell ref="B61:B71"/>
    <mergeCell ref="J111:J113"/>
    <mergeCell ref="D124:D125"/>
    <mergeCell ref="B116:B123"/>
    <mergeCell ref="J121:J123"/>
    <mergeCell ref="D111:G111"/>
    <mergeCell ref="B114:B115"/>
    <mergeCell ref="H114:J114"/>
    <mergeCell ref="D114:D115"/>
    <mergeCell ref="E114:E115"/>
    <mergeCell ref="F114:G114"/>
    <mergeCell ref="B124:B125"/>
    <mergeCell ref="D123:H123"/>
    <mergeCell ref="D69:G69"/>
    <mergeCell ref="J69:J71"/>
    <mergeCell ref="D70:H70"/>
    <mergeCell ref="D71:H71"/>
    <mergeCell ref="A95:A113"/>
    <mergeCell ref="A135:A157"/>
    <mergeCell ref="D155:G155"/>
    <mergeCell ref="D156:H156"/>
    <mergeCell ref="D157:H157"/>
    <mergeCell ref="D113:H113"/>
    <mergeCell ref="D121:G121"/>
    <mergeCell ref="D122:H122"/>
    <mergeCell ref="B95:B113"/>
    <mergeCell ref="D144:G144"/>
    <mergeCell ref="A133:A134"/>
    <mergeCell ref="A114:A115"/>
    <mergeCell ref="A116:A132"/>
    <mergeCell ref="D131:H131"/>
    <mergeCell ref="B149:B157"/>
  </mergeCells>
  <pageMargins left="0.27559055118110237" right="0.19685039370078741" top="0.15748031496062992" bottom="0.19685039370078741" header="0.19685039370078741" footer="0"/>
  <pageSetup scale="43" orientation="landscape" r:id="rId1"/>
  <headerFooter alignWithMargins="0"/>
  <rowBreaks count="3" manualBreakCount="3">
    <brk id="38" max="16383" man="1"/>
    <brk id="92" max="16383" man="1"/>
    <brk id="13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opLeftCell="A2" zoomScale="96" zoomScaleNormal="96" workbookViewId="0">
      <pane ySplit="2" topLeftCell="A4" activePane="bottomLeft" state="frozen"/>
      <selection activeCell="A2" sqref="A2"/>
      <selection pane="bottomLeft" activeCell="S7" sqref="S7"/>
    </sheetView>
  </sheetViews>
  <sheetFormatPr baseColWidth="10" defaultRowHeight="15"/>
  <cols>
    <col min="1" max="1" width="3.5703125" style="650" bestFit="1" customWidth="1"/>
    <col min="2" max="2" width="62.42578125" style="650" customWidth="1"/>
    <col min="3" max="3" width="16.140625" style="650" customWidth="1"/>
    <col min="4" max="6" width="6.140625" style="650" customWidth="1"/>
    <col min="7" max="7" width="3.5703125" style="650" customWidth="1"/>
    <col min="8" max="8" width="6.140625" style="650" hidden="1" customWidth="1"/>
    <col min="9" max="9" width="5.42578125" style="650" hidden="1" customWidth="1"/>
    <col min="10" max="10" width="7" style="650" hidden="1" customWidth="1"/>
    <col min="11" max="11" width="4.28515625" style="650" hidden="1" customWidth="1"/>
    <col min="12" max="12" width="15" style="650" customWidth="1"/>
    <col min="13" max="14" width="22.42578125" style="650" customWidth="1"/>
    <col min="15" max="15" width="1.85546875" style="650" customWidth="1"/>
    <col min="16" max="16384" width="11.42578125" style="650"/>
  </cols>
  <sheetData>
    <row r="1" spans="1:18" s="651" customFormat="1" ht="130.5" customHeight="1" thickBot="1">
      <c r="A1" s="647"/>
      <c r="B1" s="648"/>
      <c r="C1" s="648"/>
      <c r="D1" s="648"/>
      <c r="E1" s="648"/>
      <c r="F1" s="648"/>
      <c r="G1" s="648"/>
      <c r="H1" s="648"/>
      <c r="I1" s="648"/>
      <c r="J1" s="648"/>
      <c r="K1" s="648"/>
      <c r="L1" s="648"/>
      <c r="M1" s="648"/>
      <c r="N1" s="648"/>
      <c r="O1" s="648"/>
      <c r="P1" s="649"/>
      <c r="Q1" s="650"/>
      <c r="R1" s="650"/>
    </row>
    <row r="2" spans="1:18" s="655" customFormat="1" ht="16.5" thickBot="1">
      <c r="A2" s="652" t="str">
        <f>'[6]Datos Generales'!C5</f>
        <v>Corporación Autónoma Regional del Alto Magdalena - CAM</v>
      </c>
      <c r="B2" s="653"/>
      <c r="C2" s="653"/>
      <c r="D2" s="653"/>
      <c r="E2" s="653"/>
      <c r="F2" s="653"/>
      <c r="G2" s="653"/>
      <c r="H2" s="653"/>
      <c r="I2" s="653"/>
      <c r="J2" s="653"/>
      <c r="K2" s="653"/>
      <c r="L2" s="653"/>
      <c r="M2" s="653"/>
      <c r="N2" s="653"/>
      <c r="O2" s="653"/>
      <c r="P2" s="654"/>
      <c r="Q2" s="650"/>
      <c r="R2" s="650"/>
    </row>
    <row r="3" spans="1:18" s="655" customFormat="1" ht="16.5" thickBot="1">
      <c r="A3" s="656" t="s">
        <v>559</v>
      </c>
      <c r="B3" s="657"/>
      <c r="C3" s="657"/>
      <c r="D3" s="657"/>
      <c r="E3" s="657"/>
      <c r="F3" s="657"/>
      <c r="G3" s="657"/>
      <c r="H3" s="657"/>
      <c r="I3" s="657"/>
      <c r="J3" s="657"/>
      <c r="K3" s="657"/>
      <c r="L3" s="657"/>
      <c r="M3" s="657"/>
      <c r="N3" s="657"/>
      <c r="O3" s="657"/>
      <c r="P3" s="658"/>
      <c r="Q3" s="650"/>
      <c r="R3" s="650"/>
    </row>
    <row r="4" spans="1:18" s="655" customFormat="1" ht="30.75" customHeight="1" thickBot="1">
      <c r="A4" s="659" t="s">
        <v>560</v>
      </c>
      <c r="B4" s="660"/>
      <c r="C4" s="661" t="str">
        <f>'[6]Datos Generales'!C6</f>
        <v>2016-II</v>
      </c>
      <c r="D4" s="661"/>
      <c r="E4" s="661"/>
      <c r="F4" s="661"/>
      <c r="G4" s="661"/>
      <c r="H4" s="661"/>
      <c r="I4" s="661"/>
      <c r="J4" s="661"/>
      <c r="K4" s="661"/>
      <c r="L4" s="662"/>
      <c r="M4" s="662"/>
      <c r="N4" s="662"/>
      <c r="O4" s="662"/>
      <c r="P4" s="663"/>
      <c r="Q4" s="650"/>
      <c r="R4" s="650"/>
    </row>
    <row r="5" spans="1:18" ht="30" customHeight="1">
      <c r="A5" s="664" t="s">
        <v>561</v>
      </c>
      <c r="B5" s="664" t="s">
        <v>562</v>
      </c>
      <c r="C5" s="665">
        <v>2016</v>
      </c>
      <c r="D5" s="666">
        <v>2017</v>
      </c>
      <c r="E5" s="666">
        <v>2018</v>
      </c>
      <c r="F5" s="666">
        <v>2019</v>
      </c>
      <c r="H5" s="667" t="s">
        <v>563</v>
      </c>
      <c r="I5" s="667" t="s">
        <v>564</v>
      </c>
      <c r="J5" s="667" t="s">
        <v>565</v>
      </c>
      <c r="L5" s="668" t="s">
        <v>566</v>
      </c>
      <c r="M5" s="668" t="s">
        <v>567</v>
      </c>
      <c r="N5" s="669" t="s">
        <v>565</v>
      </c>
      <c r="O5" s="670" t="s">
        <v>241</v>
      </c>
      <c r="P5" s="671"/>
    </row>
    <row r="6" spans="1:18" ht="45" customHeight="1">
      <c r="A6" s="672" t="s">
        <v>568</v>
      </c>
      <c r="B6" s="673" t="s">
        <v>569</v>
      </c>
      <c r="C6" s="674">
        <f>+'[6]1POMCAS'!D8</f>
        <v>1</v>
      </c>
      <c r="D6" s="675"/>
      <c r="E6" s="676"/>
      <c r="F6" s="676"/>
      <c r="H6" s="677">
        <f>'[6]1POMCAS'!F11</f>
        <v>0</v>
      </c>
      <c r="I6" s="677" t="str">
        <f>+'[6]1POMCAS'!E12</f>
        <v>Programa 1: Agua para todos. Proyecto 1.1: Ordenamiento y administración del recurso hídrico y las cuencas hidrográficas.</v>
      </c>
      <c r="J6" s="677">
        <f>+'[6]1POMCAS'!E13</f>
        <v>0</v>
      </c>
      <c r="L6" s="678" t="str">
        <f t="shared" ref="L6:L32" si="0">IF(ISNUMBER(C6),"",H6)</f>
        <v/>
      </c>
      <c r="M6" s="678" t="str">
        <f t="shared" ref="M6:N32" si="1">IF(ISNUMBER(I6),"",I6)</f>
        <v>Programa 1: Agua para todos. Proyecto 1.1: Ordenamiento y administración del recurso hídrico y las cuencas hidrográficas.</v>
      </c>
      <c r="N6" s="679" t="str">
        <f t="shared" si="1"/>
        <v/>
      </c>
      <c r="O6" s="680" t="s">
        <v>241</v>
      </c>
      <c r="P6" s="681"/>
    </row>
    <row r="7" spans="1:18" ht="72">
      <c r="A7" s="672" t="s">
        <v>570</v>
      </c>
      <c r="B7" s="673" t="s">
        <v>571</v>
      </c>
      <c r="C7" s="682">
        <f>+'[6]2PORH'!D8</f>
        <v>1</v>
      </c>
      <c r="D7" s="676"/>
      <c r="E7" s="676"/>
      <c r="F7" s="676"/>
      <c r="H7" s="677">
        <f>+'[6]2PORH'!F11</f>
        <v>0</v>
      </c>
      <c r="I7" s="677" t="str">
        <f>+'[6]2PORH'!E12</f>
        <v>Programa 1: Agua para todos. Proyecto 1.1: Ordenamiento y administración del recurso hídrico y las cuencas hidrográficas.</v>
      </c>
      <c r="J7" s="677">
        <f>+'[6]2PORH'!E13</f>
        <v>0</v>
      </c>
      <c r="L7" s="678" t="str">
        <f t="shared" si="0"/>
        <v/>
      </c>
      <c r="M7" s="678" t="str">
        <f t="shared" si="1"/>
        <v>Programa 1: Agua para todos. Proyecto 1.1: Ordenamiento y administración del recurso hídrico y las cuencas hidrográficas.</v>
      </c>
      <c r="N7" s="679" t="str">
        <f t="shared" si="1"/>
        <v/>
      </c>
      <c r="O7" s="680" t="s">
        <v>241</v>
      </c>
      <c r="P7" s="681"/>
    </row>
    <row r="8" spans="1:18" ht="48">
      <c r="A8" s="672" t="s">
        <v>572</v>
      </c>
      <c r="B8" s="673" t="s">
        <v>573</v>
      </c>
      <c r="C8" s="682">
        <f>+'[6]3PSMV'!D8</f>
        <v>1</v>
      </c>
      <c r="D8" s="676"/>
      <c r="E8" s="676"/>
      <c r="F8" s="676"/>
      <c r="H8" s="677">
        <f>+'[6]3PSMV'!F11</f>
        <v>0</v>
      </c>
      <c r="I8" s="677" t="str">
        <f>+'[6]3PSMV'!E12</f>
        <v>Programa 4: Cuida tu Naturaleza. Proyecto 4.1: Control y vigilancia ambiental</v>
      </c>
      <c r="J8" s="677">
        <f>+'[6]3PSMV'!E13</f>
        <v>0</v>
      </c>
      <c r="L8" s="678" t="str">
        <f t="shared" si="0"/>
        <v/>
      </c>
      <c r="M8" s="678" t="str">
        <f t="shared" si="1"/>
        <v>Programa 4: Cuida tu Naturaleza. Proyecto 4.1: Control y vigilancia ambiental</v>
      </c>
      <c r="N8" s="679" t="str">
        <f t="shared" si="1"/>
        <v/>
      </c>
      <c r="O8" s="680" t="s">
        <v>241</v>
      </c>
      <c r="P8" s="681"/>
    </row>
    <row r="9" spans="1:18" ht="72">
      <c r="A9" s="672" t="s">
        <v>574</v>
      </c>
      <c r="B9" s="673" t="s">
        <v>353</v>
      </c>
      <c r="C9" s="682">
        <f>+'[6]4UsoAguas'!D8</f>
        <v>1</v>
      </c>
      <c r="D9" s="676"/>
      <c r="E9" s="676"/>
      <c r="F9" s="676"/>
      <c r="H9" s="677">
        <f>+'[6]4UsoAguas'!F11</f>
        <v>0</v>
      </c>
      <c r="I9" s="677" t="str">
        <f>+'[6]4UsoAguas'!E12</f>
        <v>Programa 1: Agua para todos. Proyecto 1.1: Ordenamiento y administración del recurso hídrico y las cuencas hidrográficas.</v>
      </c>
      <c r="J9" s="677">
        <f>+'[6]4UsoAguas'!E13</f>
        <v>0</v>
      </c>
      <c r="L9" s="678" t="str">
        <f t="shared" si="0"/>
        <v/>
      </c>
      <c r="M9" s="678" t="str">
        <f t="shared" si="1"/>
        <v>Programa 1: Agua para todos. Proyecto 1.1: Ordenamiento y administración del recurso hídrico y las cuencas hidrográficas.</v>
      </c>
      <c r="N9" s="679" t="str">
        <f t="shared" si="1"/>
        <v/>
      </c>
      <c r="O9" s="680" t="s">
        <v>241</v>
      </c>
      <c r="P9" s="681"/>
    </row>
    <row r="10" spans="1:18" ht="48">
      <c r="A10" s="672" t="s">
        <v>575</v>
      </c>
      <c r="B10" s="673" t="s">
        <v>396</v>
      </c>
      <c r="C10" s="682">
        <f>+'[6]5PUEAA'!D8</f>
        <v>1</v>
      </c>
      <c r="D10" s="676"/>
      <c r="E10" s="676"/>
      <c r="F10" s="676"/>
      <c r="H10" s="677">
        <f>+'[6]5PUEAA'!F11</f>
        <v>0</v>
      </c>
      <c r="I10" s="677" t="str">
        <f>+'[6]5PUEAA'!E12</f>
        <v>Programa 4: Cuida tu Naturaleza. Proyecto 4.1: Control y vigilancia ambiental</v>
      </c>
      <c r="J10" s="677">
        <f>+'[6]5PUEAA'!E13</f>
        <v>0</v>
      </c>
      <c r="L10" s="678" t="str">
        <f t="shared" si="0"/>
        <v/>
      </c>
      <c r="M10" s="678" t="str">
        <f t="shared" si="1"/>
        <v>Programa 4: Cuida tu Naturaleza. Proyecto 4.1: Control y vigilancia ambiental</v>
      </c>
      <c r="N10" s="679" t="str">
        <f t="shared" si="1"/>
        <v/>
      </c>
      <c r="O10" s="680" t="s">
        <v>241</v>
      </c>
      <c r="P10" s="681"/>
    </row>
    <row r="11" spans="1:18" ht="48">
      <c r="A11" s="672" t="s">
        <v>576</v>
      </c>
      <c r="B11" s="673" t="s">
        <v>478</v>
      </c>
      <c r="C11" s="682">
        <f>+'[6]6POMCASejec'!D8</f>
        <v>1</v>
      </c>
      <c r="D11" s="676"/>
      <c r="E11" s="676"/>
      <c r="F11" s="676"/>
      <c r="H11" s="677">
        <f>+'[6]6POMCASejec'!F11</f>
        <v>0</v>
      </c>
      <c r="I11" s="677" t="str">
        <f>+'[6]6POMCASejec'!E12</f>
        <v>Programa 1: Agua para todos. Proyecto 1.2: Recuperación de cuencas hidrográficas</v>
      </c>
      <c r="J11" s="677">
        <f>+'[6]6POMCASejec'!E13</f>
        <v>0</v>
      </c>
      <c r="L11" s="678" t="str">
        <f t="shared" si="0"/>
        <v/>
      </c>
      <c r="M11" s="678" t="str">
        <f t="shared" si="1"/>
        <v>Programa 1: Agua para todos. Proyecto 1.2: Recuperación de cuencas hidrográficas</v>
      </c>
      <c r="N11" s="679" t="str">
        <f t="shared" si="1"/>
        <v/>
      </c>
      <c r="O11" s="680" t="s">
        <v>241</v>
      </c>
      <c r="P11" s="681"/>
    </row>
    <row r="12" spans="1:18" ht="48">
      <c r="A12" s="672" t="s">
        <v>577</v>
      </c>
      <c r="B12" s="673" t="s">
        <v>414</v>
      </c>
      <c r="C12" s="682">
        <f>+'[6]7Clima'!D8</f>
        <v>1</v>
      </c>
      <c r="D12" s="676"/>
      <c r="E12" s="676"/>
      <c r="F12" s="676"/>
      <c r="H12" s="677">
        <f>+'[6]7Clima'!F11</f>
        <v>0</v>
      </c>
      <c r="I12" s="677" t="str">
        <f>+'[6]7Clima'!E12</f>
        <v>Programa 5: Huila Territorio Ordenado, Proyecto 5.1: Planificación Ambiental Territorial</v>
      </c>
      <c r="J12" s="677">
        <f>+'[6]7Clima'!E13</f>
        <v>0</v>
      </c>
      <c r="L12" s="678" t="str">
        <f t="shared" si="0"/>
        <v/>
      </c>
      <c r="M12" s="678" t="str">
        <f t="shared" si="1"/>
        <v>Programa 5: Huila Territorio Ordenado, Proyecto 5.1: Planificación Ambiental Territorial</v>
      </c>
      <c r="N12" s="679" t="str">
        <f t="shared" si="1"/>
        <v/>
      </c>
      <c r="O12" s="680" t="s">
        <v>241</v>
      </c>
      <c r="P12" s="681"/>
    </row>
    <row r="13" spans="1:18" ht="48">
      <c r="A13" s="672" t="s">
        <v>578</v>
      </c>
      <c r="B13" s="673" t="s">
        <v>579</v>
      </c>
      <c r="C13" s="682" t="str">
        <f>+'[6]8Suelo'!D8</f>
        <v>SIN INFORMACION</v>
      </c>
      <c r="D13" s="676"/>
      <c r="E13" s="676"/>
      <c r="F13" s="676"/>
      <c r="H13" s="677">
        <f>+'[6]8Suelo'!F11</f>
        <v>0</v>
      </c>
      <c r="I13" s="677" t="str">
        <f>+'[6]8Suelo'!E12</f>
        <v>Programa 1: Agua para todos. Proyecto 1.2: Recuperación de cuencas hidrográficas</v>
      </c>
      <c r="J13" s="677" t="str">
        <f>+'[6]8Suelo'!E13</f>
        <v>Meta ajustada mediante Acuerdo de Consejo Directivo No. 014 de diciembre de 2016</v>
      </c>
      <c r="L13" s="678">
        <f t="shared" si="0"/>
        <v>0</v>
      </c>
      <c r="M13" s="678" t="str">
        <f t="shared" si="1"/>
        <v>Programa 1: Agua para todos. Proyecto 1.2: Recuperación de cuencas hidrográficas</v>
      </c>
      <c r="N13" s="679" t="str">
        <f t="shared" si="1"/>
        <v>Meta ajustada mediante Acuerdo de Consejo Directivo No. 014 de diciembre de 2016</v>
      </c>
      <c r="O13" s="680" t="s">
        <v>241</v>
      </c>
      <c r="P13" s="681"/>
    </row>
    <row r="14" spans="1:18" ht="60">
      <c r="A14" s="672" t="s">
        <v>580</v>
      </c>
      <c r="B14" s="673" t="s">
        <v>581</v>
      </c>
      <c r="C14" s="682">
        <f>+'[6]9RUNAP'!D9</f>
        <v>1</v>
      </c>
      <c r="D14" s="676"/>
      <c r="E14" s="676"/>
      <c r="F14" s="676"/>
      <c r="H14" s="677">
        <f>+'[6]9RUNAP'!F12</f>
        <v>0</v>
      </c>
      <c r="I14" s="677" t="str">
        <f>+'[6]9RUNAP'!E13</f>
        <v>Programa 2: Biodiversidad, fuente de vida, Proyecto 2.1 Conocimiento y planificación de ecosistemas estratégicos</v>
      </c>
      <c r="J14" s="677">
        <f>+'[6]9RUNAP'!E14</f>
        <v>0</v>
      </c>
      <c r="L14" s="678" t="str">
        <f t="shared" si="0"/>
        <v/>
      </c>
      <c r="M14" s="678" t="str">
        <f t="shared" si="1"/>
        <v>Programa 2: Biodiversidad, fuente de vida, Proyecto 2.1 Conocimiento y planificación de ecosistemas estratégicos</v>
      </c>
      <c r="N14" s="679" t="str">
        <f t="shared" si="1"/>
        <v/>
      </c>
      <c r="O14" s="680" t="s">
        <v>241</v>
      </c>
      <c r="P14" s="681"/>
    </row>
    <row r="15" spans="1:18" ht="108">
      <c r="A15" s="672" t="s">
        <v>582</v>
      </c>
      <c r="B15" s="673" t="s">
        <v>583</v>
      </c>
      <c r="C15" s="682" t="str">
        <f>'[6]10Paramos'!D8</f>
        <v>SIN INFORMACION</v>
      </c>
      <c r="D15" s="676"/>
      <c r="E15" s="676"/>
      <c r="F15" s="676"/>
      <c r="H15" s="677">
        <f>'[6]10Paramos'!F11</f>
        <v>0</v>
      </c>
      <c r="I15" s="677" t="str">
        <f>'[6]10Paramos'!E12</f>
        <v>Programa 2: Biodiversidad, fuente de vida, Proyecto 2.1 Conocimiento y planificación de ecosistemas estratégicos</v>
      </c>
      <c r="J15" s="677" t="str">
        <f>'[6]10Paramos'!E13</f>
        <v>El reporte del indicador está previsto para el 2017 a 2019, sin embargo está sujeto a la expedicion previamente de  los lineamientos  que expida el MADS para la  zonificacion y regimen de usos.</v>
      </c>
      <c r="L15" s="678">
        <f t="shared" si="0"/>
        <v>0</v>
      </c>
      <c r="M15" s="678" t="str">
        <f t="shared" si="1"/>
        <v>Programa 2: Biodiversidad, fuente de vida, Proyecto 2.1 Conocimiento y planificación de ecosistemas estratégicos</v>
      </c>
      <c r="N15" s="679" t="str">
        <f t="shared" si="1"/>
        <v>El reporte del indicador está previsto para el 2017 a 2019, sin embargo está sujeto a la expedicion previamente de  los lineamientos  que expida el MADS para la  zonificacion y regimen de usos.</v>
      </c>
      <c r="O15" s="680" t="s">
        <v>241</v>
      </c>
      <c r="P15" s="681"/>
    </row>
    <row r="16" spans="1:18" ht="144">
      <c r="A16" s="672" t="s">
        <v>584</v>
      </c>
      <c r="B16" s="673" t="s">
        <v>585</v>
      </c>
      <c r="C16" s="682">
        <f>+'[6]11Forest'!D8</f>
        <v>1</v>
      </c>
      <c r="D16" s="676"/>
      <c r="E16" s="676"/>
      <c r="F16" s="676"/>
      <c r="H16" s="677">
        <f>+'[6]11Forest'!F11</f>
        <v>0</v>
      </c>
      <c r="I16" s="677" t="str">
        <f>+'[6]11Forest'!E12</f>
        <v>Programa 5: Huila Territorio Ordenado, Proyecto 5.1: Planificación Ambiental Territorial</v>
      </c>
      <c r="J16" s="677" t="str">
        <f>+'[6]11Forest'!E13</f>
        <v xml:space="preserve">La CAM inició la formulacion del Plan General de Ordenacion Forestal,  para lo cual se estableció en el PAI una meta del 70%  de acuerdo a las etapas qeu comprende su  formulación.  Se espera la adopción para la vigencia 2017 para completar el 100%. </v>
      </c>
      <c r="L16" s="678" t="str">
        <f t="shared" si="0"/>
        <v/>
      </c>
      <c r="M16" s="678" t="str">
        <f t="shared" si="1"/>
        <v>Programa 5: Huila Territorio Ordenado, Proyecto 5.1: Planificación Ambiental Territorial</v>
      </c>
      <c r="N16" s="679" t="str">
        <f t="shared" si="1"/>
        <v xml:space="preserve">La CAM inició la formulacion del Plan General de Ordenacion Forestal,  para lo cual se estableció en el PAI una meta del 70%  de acuerdo a las etapas qeu comprende su  formulación.  Se espera la adopción para la vigencia 2017 para completar el 100%. </v>
      </c>
      <c r="O16" s="680" t="s">
        <v>241</v>
      </c>
      <c r="P16" s="681"/>
    </row>
    <row r="17" spans="1:16" ht="168">
      <c r="A17" s="672" t="s">
        <v>586</v>
      </c>
      <c r="B17" s="673" t="s">
        <v>378</v>
      </c>
      <c r="C17" s="682">
        <f>+'[6]12PlanesAP'!D8</f>
        <v>1</v>
      </c>
      <c r="D17" s="676"/>
      <c r="E17" s="676"/>
      <c r="F17" s="676"/>
      <c r="H17" s="677">
        <f>+'[6]12PlanesAP'!F11</f>
        <v>0</v>
      </c>
      <c r="I17" s="677" t="str">
        <f>+'[6]12PlanesAP'!E12</f>
        <v>Programa 2: Biodiversidad, fuente de vida, Proyecto 2.2 Conservación y recuperación de ecosistemas estratégicos y su biodiversidad</v>
      </c>
      <c r="J17" s="677" t="str">
        <f>+'[6]12PlanesAP'!E13</f>
        <v>Para el caso de este Indicador, se realizó ajuste en el Plan de Acción frente a las áreas protegidas inscritas con Planes de Manejo en ejecución y las areas registradas con planes de manejo en ejecución. Es decir que las acciones realizadas se refieren a la totalidad de las areas protegidas con planes de manejo.</v>
      </c>
      <c r="L17" s="678" t="str">
        <f t="shared" si="0"/>
        <v/>
      </c>
      <c r="M17" s="678" t="str">
        <f t="shared" si="1"/>
        <v>Programa 2: Biodiversidad, fuente de vida, Proyecto 2.2 Conservación y recuperación de ecosistemas estratégicos y su biodiversidad</v>
      </c>
      <c r="N17" s="679" t="str">
        <f t="shared" si="1"/>
        <v>Para el caso de este Indicador, se realizó ajuste en el Plan de Acción frente a las áreas protegidas inscritas con Planes de Manejo en ejecución y las areas registradas con planes de manejo en ejecución. Es decir que las acciones realizadas se refieren a la totalidad de las areas protegidas con planes de manejo.</v>
      </c>
      <c r="O17" s="680" t="s">
        <v>241</v>
      </c>
      <c r="P17" s="681"/>
    </row>
    <row r="18" spans="1:16" ht="72">
      <c r="A18" s="672" t="s">
        <v>587</v>
      </c>
      <c r="B18" s="673" t="s">
        <v>380</v>
      </c>
      <c r="C18" s="682">
        <f>+'[6]13Amenaz'!D8</f>
        <v>1</v>
      </c>
      <c r="D18" s="676"/>
      <c r="E18" s="676"/>
      <c r="F18" s="676"/>
      <c r="H18" s="677">
        <f>+'[6]13Amenaz'!F11</f>
        <v>0</v>
      </c>
      <c r="I18" s="677" t="str">
        <f>+'[6]13Amenaz'!E12</f>
        <v>Programa 2: Biodiversidad, fuente de vida, Proyecto 2.2 Conservación y recuperación de ecosistemas estratégicos y su biodiversidad</v>
      </c>
      <c r="J18" s="677">
        <f>+'[6]13Amenaz'!E13</f>
        <v>0</v>
      </c>
      <c r="L18" s="678" t="str">
        <f t="shared" si="0"/>
        <v/>
      </c>
      <c r="M18" s="678" t="str">
        <f t="shared" si="1"/>
        <v>Programa 2: Biodiversidad, fuente de vida, Proyecto 2.2 Conservación y recuperación de ecosistemas estratégicos y su biodiversidad</v>
      </c>
      <c r="N18" s="679" t="str">
        <f t="shared" si="1"/>
        <v/>
      </c>
      <c r="O18" s="680" t="s">
        <v>241</v>
      </c>
      <c r="P18" s="681"/>
    </row>
    <row r="19" spans="1:16" ht="60">
      <c r="A19" s="672" t="s">
        <v>588</v>
      </c>
      <c r="B19" s="673" t="s">
        <v>589</v>
      </c>
      <c r="C19" s="682" t="str">
        <f>+'[6]14Invasor'!D8</f>
        <v>N.A.</v>
      </c>
      <c r="D19" s="676"/>
      <c r="E19" s="676"/>
      <c r="F19" s="676"/>
      <c r="H19" s="677">
        <f>+'[6]14Invasor'!F11</f>
        <v>0</v>
      </c>
      <c r="I19" s="677" t="str">
        <f>+'[6]14Invasor'!E12</f>
        <v>Programa 2: Biodiversidad, fuente de vida, Proyecto 2.1 Conocimiento y planificación de ecosistemas estratégicos</v>
      </c>
      <c r="J19" s="677">
        <f>+'[6]14Invasor'!E13</f>
        <v>0</v>
      </c>
      <c r="L19" s="678">
        <f t="shared" si="0"/>
        <v>0</v>
      </c>
      <c r="M19" s="678" t="str">
        <f t="shared" si="1"/>
        <v>Programa 2: Biodiversidad, fuente de vida, Proyecto 2.1 Conocimiento y planificación de ecosistemas estratégicos</v>
      </c>
      <c r="N19" s="679" t="str">
        <f t="shared" si="1"/>
        <v/>
      </c>
      <c r="O19" s="680" t="s">
        <v>241</v>
      </c>
      <c r="P19" s="681"/>
    </row>
    <row r="20" spans="1:16" ht="72">
      <c r="A20" s="672" t="s">
        <v>590</v>
      </c>
      <c r="B20" s="673" t="s">
        <v>591</v>
      </c>
      <c r="C20" s="682">
        <f>+'[6]15Restaura'!D8</f>
        <v>1</v>
      </c>
      <c r="D20" s="676"/>
      <c r="E20" s="676"/>
      <c r="F20" s="676"/>
      <c r="H20" s="677">
        <f>+'[6]15Restaura'!F11</f>
        <v>0</v>
      </c>
      <c r="I20" s="677" t="str">
        <f>+'[6]15Restaura'!E12</f>
        <v>Programa 2: Biodiversidad, fuente de vida, Proyecto 2.2 Conservación y recuperación de ecosistemas estratégicos y su biodiversidad</v>
      </c>
      <c r="J20" s="677">
        <f>+'[6]15Restaura'!E13</f>
        <v>0</v>
      </c>
      <c r="L20" s="678" t="str">
        <f t="shared" si="0"/>
        <v/>
      </c>
      <c r="M20" s="678" t="str">
        <f t="shared" si="1"/>
        <v>Programa 2: Biodiversidad, fuente de vida, Proyecto 2.2 Conservación y recuperación de ecosistemas estratégicos y su biodiversidad</v>
      </c>
      <c r="N20" s="679" t="str">
        <f t="shared" si="1"/>
        <v/>
      </c>
      <c r="O20" s="680" t="s">
        <v>241</v>
      </c>
      <c r="P20" s="681"/>
    </row>
    <row r="21" spans="1:16" ht="48">
      <c r="A21" s="672" t="s">
        <v>592</v>
      </c>
      <c r="B21" s="673" t="s">
        <v>593</v>
      </c>
      <c r="C21" s="682" t="str">
        <f>+'[6]16MIZC'!D8</f>
        <v>NO APLICA</v>
      </c>
      <c r="D21" s="676"/>
      <c r="E21" s="676"/>
      <c r="F21" s="676"/>
      <c r="H21" s="677" t="str">
        <f>+'[6]16MIZC'!F11</f>
        <v>Acuerdo de Consejo Directivo No. 04 de 2016</v>
      </c>
      <c r="I21" s="677">
        <f>+'[6]16MIZC'!E12</f>
        <v>0</v>
      </c>
      <c r="J21" s="677" t="str">
        <f>+'[6]16MIZC'!E13</f>
        <v>Este indicador no fue adoptado por la CAM, pues su jurisdicción es continental.</v>
      </c>
      <c r="L21" s="678" t="str">
        <f t="shared" si="0"/>
        <v>Acuerdo de Consejo Directivo No. 04 de 2016</v>
      </c>
      <c r="M21" s="678" t="str">
        <f t="shared" si="1"/>
        <v/>
      </c>
      <c r="N21" s="679" t="str">
        <f t="shared" si="1"/>
        <v>Este indicador no fue adoptado por la CAM, pues su jurisdicción es continental.</v>
      </c>
      <c r="O21" s="680" t="s">
        <v>241</v>
      </c>
      <c r="P21" s="681"/>
    </row>
    <row r="22" spans="1:16" ht="48">
      <c r="A22" s="672" t="s">
        <v>594</v>
      </c>
      <c r="B22" s="673" t="s">
        <v>397</v>
      </c>
      <c r="C22" s="682">
        <f>+'[6]17PGIRS'!D8</f>
        <v>1</v>
      </c>
      <c r="D22" s="676"/>
      <c r="E22" s="676"/>
      <c r="F22" s="676"/>
      <c r="H22" s="677">
        <f>+'[6]17PGIRS'!F11</f>
        <v>0</v>
      </c>
      <c r="I22" s="677" t="str">
        <f>+'[6]17PGIRS'!E12</f>
        <v>Programa 4: Cuida tu Naturaleza. Proyecto 4.1: Control y vigilancia ambiental</v>
      </c>
      <c r="J22" s="677">
        <f>+'[6]17PGIRS'!E13</f>
        <v>0</v>
      </c>
      <c r="L22" s="678" t="str">
        <f t="shared" si="0"/>
        <v/>
      </c>
      <c r="M22" s="678" t="str">
        <f t="shared" si="1"/>
        <v>Programa 4: Cuida tu Naturaleza. Proyecto 4.1: Control y vigilancia ambiental</v>
      </c>
      <c r="N22" s="679" t="str">
        <f t="shared" si="1"/>
        <v/>
      </c>
      <c r="O22" s="680" t="s">
        <v>241</v>
      </c>
      <c r="P22" s="681"/>
    </row>
    <row r="23" spans="1:16" ht="60">
      <c r="A23" s="672" t="s">
        <v>595</v>
      </c>
      <c r="B23" s="673" t="s">
        <v>383</v>
      </c>
      <c r="C23" s="682">
        <f>+'[6]18Sector'!D8</f>
        <v>1</v>
      </c>
      <c r="D23" s="676"/>
      <c r="E23" s="676"/>
      <c r="F23" s="676"/>
      <c r="H23" s="677">
        <f>+'[6]18Sector'!F11</f>
        <v>0</v>
      </c>
      <c r="I23" s="677" t="str">
        <f>+'[6]18Sector'!E12</f>
        <v>Programa 3: Adaptación para el crecimiento verde, proyecto 3.1: Crecimiento verde de sectores productivos</v>
      </c>
      <c r="J23" s="677">
        <f>+'[6]18Sector'!E13</f>
        <v>0</v>
      </c>
      <c r="L23" s="678" t="str">
        <f t="shared" si="0"/>
        <v/>
      </c>
      <c r="M23" s="678" t="str">
        <f t="shared" si="1"/>
        <v>Programa 3: Adaptación para el crecimiento verde, proyecto 3.1: Crecimiento verde de sectores productivos</v>
      </c>
      <c r="N23" s="679" t="str">
        <f t="shared" si="1"/>
        <v/>
      </c>
      <c r="O23" s="680" t="s">
        <v>241</v>
      </c>
      <c r="P23" s="681"/>
    </row>
    <row r="24" spans="1:16" ht="60">
      <c r="A24" s="672" t="s">
        <v>596</v>
      </c>
      <c r="B24" s="673" t="s">
        <v>597</v>
      </c>
      <c r="C24" s="682">
        <f>+'[6]19GAU'!D8</f>
        <v>1</v>
      </c>
      <c r="D24" s="676"/>
      <c r="E24" s="676"/>
      <c r="F24" s="676"/>
      <c r="H24" s="677">
        <f>+'[6]19GAU'!F11</f>
        <v>0</v>
      </c>
      <c r="I24" s="677" t="str">
        <f>+'[6]19GAU'!E12</f>
        <v>Programa 3: Adaptación para el crecimiento verde, proyecto 3.2:  Areas urbanas sostenibles resilientes</v>
      </c>
      <c r="J24" s="677">
        <f>+'[6]19GAU'!E13</f>
        <v>0</v>
      </c>
      <c r="L24" s="678" t="str">
        <f t="shared" si="0"/>
        <v/>
      </c>
      <c r="M24" s="678" t="str">
        <f t="shared" si="1"/>
        <v>Programa 3: Adaptación para el crecimiento verde, proyecto 3.2:  Areas urbanas sostenibles resilientes</v>
      </c>
      <c r="N24" s="679" t="str">
        <f t="shared" si="1"/>
        <v/>
      </c>
      <c r="O24" s="680" t="s">
        <v>241</v>
      </c>
      <c r="P24" s="681"/>
    </row>
    <row r="25" spans="1:16" ht="60">
      <c r="A25" s="672" t="s">
        <v>598</v>
      </c>
      <c r="B25" s="673" t="s">
        <v>599</v>
      </c>
      <c r="C25" s="682">
        <f>+'[6]20Negoc'!D8</f>
        <v>1</v>
      </c>
      <c r="D25" s="676"/>
      <c r="E25" s="676"/>
      <c r="F25" s="676"/>
      <c r="H25" s="677">
        <f>+'[6]20Negoc'!F11</f>
        <v>0</v>
      </c>
      <c r="I25" s="677" t="str">
        <f>+'[6]20Negoc'!E12</f>
        <v>Programa 3: Adaptación para el crecimiento verde, proyecto 3.1: Crecimiento verde de sectores productivos</v>
      </c>
      <c r="J25" s="677">
        <f>+'[6]20Negoc'!E13</f>
        <v>0</v>
      </c>
      <c r="L25" s="678" t="str">
        <f t="shared" si="0"/>
        <v/>
      </c>
      <c r="M25" s="678" t="str">
        <f t="shared" si="1"/>
        <v>Programa 3: Adaptación para el crecimiento verde, proyecto 3.1: Crecimiento verde de sectores productivos</v>
      </c>
      <c r="N25" s="679" t="str">
        <f t="shared" si="1"/>
        <v/>
      </c>
      <c r="O25" s="680" t="s">
        <v>241</v>
      </c>
      <c r="P25" s="681"/>
    </row>
    <row r="26" spans="1:16" ht="48">
      <c r="A26" s="672" t="s">
        <v>600</v>
      </c>
      <c r="B26" s="673" t="s">
        <v>601</v>
      </c>
      <c r="C26" s="682">
        <f>+'[6]21TiempoT'!D8</f>
        <v>1</v>
      </c>
      <c r="D26" s="676"/>
      <c r="E26" s="676"/>
      <c r="F26" s="676"/>
      <c r="H26" s="677">
        <f>+'[6]21TiempoT'!F11</f>
        <v>0</v>
      </c>
      <c r="I26" s="677" t="str">
        <f>+'[6]21TiempoT'!E12</f>
        <v>Programa 4: Cuida tu Naturaleza. Proyecto 4.1: Control y vigilancia ambiental</v>
      </c>
      <c r="J26" s="677" t="str">
        <f>+'[6]21TiempoT'!E13</f>
        <v xml:space="preserve">Los datos reportados hacen referencia a solicitudes resueltas dentro de la vigencia 2016. </v>
      </c>
      <c r="L26" s="678" t="str">
        <f t="shared" si="0"/>
        <v/>
      </c>
      <c r="M26" s="678" t="str">
        <f t="shared" si="1"/>
        <v>Programa 4: Cuida tu Naturaleza. Proyecto 4.1: Control y vigilancia ambiental</v>
      </c>
      <c r="N26" s="679" t="str">
        <f t="shared" si="1"/>
        <v xml:space="preserve">Los datos reportados hacen referencia a solicitudes resueltas dentro de la vigencia 2016. </v>
      </c>
      <c r="O26" s="680" t="s">
        <v>241</v>
      </c>
      <c r="P26" s="681"/>
    </row>
    <row r="27" spans="1:16" ht="132">
      <c r="A27" s="672" t="s">
        <v>602</v>
      </c>
      <c r="B27" s="673" t="s">
        <v>399</v>
      </c>
      <c r="C27" s="682">
        <f>+'[6]22Autor'!D8</f>
        <v>1</v>
      </c>
      <c r="D27" s="676"/>
      <c r="E27" s="676"/>
      <c r="F27" s="676"/>
      <c r="H27" s="677">
        <f>+'[6]22Autor'!F11</f>
        <v>0</v>
      </c>
      <c r="I27" s="677" t="str">
        <f>+'[6]22Autor'!E12</f>
        <v>Programa 4: Cuida tu Naturaleza. Proyecto 4.1: Control y vigilancia ambiental</v>
      </c>
      <c r="J27" s="677" t="str">
        <f>+'[6]22Autor'!E13</f>
        <v>Con relación a las licencias Ambientales, a 31 de diciembre de 2016 el seguimiento se realizó a las licencias vigentes otorgadas durante la vigencia 2015 y años anteriores. Para el 2017 se hará seguimiento a las de vigencias anteriores mas la otorgadas en el 2016.</v>
      </c>
      <c r="L27" s="678" t="str">
        <f t="shared" si="0"/>
        <v/>
      </c>
      <c r="M27" s="678" t="str">
        <f t="shared" si="1"/>
        <v>Programa 4: Cuida tu Naturaleza. Proyecto 4.1: Control y vigilancia ambiental</v>
      </c>
      <c r="N27" s="679" t="str">
        <f t="shared" si="1"/>
        <v>Con relación a las licencias Ambientales, a 31 de diciembre de 2016 el seguimiento se realizó a las licencias vigentes otorgadas durante la vigencia 2015 y años anteriores. Para el 2017 se hará seguimiento a las de vigencias anteriores mas la otorgadas en el 2016.</v>
      </c>
      <c r="O27" s="680" t="s">
        <v>241</v>
      </c>
      <c r="P27" s="681"/>
    </row>
    <row r="28" spans="1:16" ht="132">
      <c r="A28" s="672" t="s">
        <v>603</v>
      </c>
      <c r="B28" s="673" t="s">
        <v>604</v>
      </c>
      <c r="C28" s="682">
        <f>+'[6]22Autor'!D8</f>
        <v>1</v>
      </c>
      <c r="D28" s="676"/>
      <c r="E28" s="676"/>
      <c r="F28" s="676"/>
      <c r="H28" s="677">
        <f>+'[6]22Autor'!F11</f>
        <v>0</v>
      </c>
      <c r="I28" s="677" t="str">
        <f>+'[6]22Autor'!E12</f>
        <v>Programa 4: Cuida tu Naturaleza. Proyecto 4.1: Control y vigilancia ambiental</v>
      </c>
      <c r="J28" s="677" t="str">
        <f>+'[6]22Autor'!E13</f>
        <v>Con relación a las licencias Ambientales, a 31 de diciembre de 2016 el seguimiento se realizó a las licencias vigentes otorgadas durante la vigencia 2015 y años anteriores. Para el 2017 se hará seguimiento a las de vigencias anteriores mas la otorgadas en el 2016.</v>
      </c>
      <c r="L28" s="678" t="str">
        <f t="shared" si="0"/>
        <v/>
      </c>
      <c r="M28" s="678" t="str">
        <f t="shared" si="1"/>
        <v>Programa 4: Cuida tu Naturaleza. Proyecto 4.1: Control y vigilancia ambiental</v>
      </c>
      <c r="N28" s="679" t="str">
        <f t="shared" si="1"/>
        <v>Con relación a las licencias Ambientales, a 31 de diciembre de 2016 el seguimiento se realizó a las licencias vigentes otorgadas durante la vigencia 2015 y años anteriores. Para el 2017 se hará seguimiento a las de vigencias anteriores mas la otorgadas en el 2016.</v>
      </c>
      <c r="O28" s="680" t="s">
        <v>241</v>
      </c>
      <c r="P28" s="681"/>
    </row>
    <row r="29" spans="1:16" ht="51">
      <c r="A29" s="672" t="s">
        <v>605</v>
      </c>
      <c r="B29" s="673" t="s">
        <v>413</v>
      </c>
      <c r="C29" s="682">
        <f>'[6]24POT'!D7</f>
        <v>1</v>
      </c>
      <c r="D29" s="676"/>
      <c r="E29" s="676"/>
      <c r="F29" s="676"/>
      <c r="H29" s="677">
        <f>'[6]24POT'!F10</f>
        <v>0</v>
      </c>
      <c r="I29" s="677" t="str">
        <f>'[6]24POT'!E11</f>
        <v>Programa 5: Huila Territorio Ordenado, Proyecto 5.1: Planificación Ambiental Territorial</v>
      </c>
      <c r="J29" s="677">
        <f>'[6]24POT'!E12</f>
        <v>0</v>
      </c>
      <c r="L29" s="678" t="str">
        <f t="shared" si="0"/>
        <v/>
      </c>
      <c r="M29" s="678" t="str">
        <f t="shared" si="1"/>
        <v>Programa 5: Huila Territorio Ordenado, Proyecto 5.1: Planificación Ambiental Territorial</v>
      </c>
      <c r="N29" s="679" t="str">
        <f t="shared" si="1"/>
        <v/>
      </c>
      <c r="O29" s="680" t="s">
        <v>241</v>
      </c>
      <c r="P29" s="681"/>
    </row>
    <row r="30" spans="1:16" ht="72">
      <c r="A30" s="672" t="s">
        <v>606</v>
      </c>
      <c r="B30" s="673" t="s">
        <v>356</v>
      </c>
      <c r="C30" s="682" t="str">
        <f>+'[6]25Redes'!D8</f>
        <v>SIN INFORMACION</v>
      </c>
      <c r="D30" s="676"/>
      <c r="E30" s="676"/>
      <c r="F30" s="676"/>
      <c r="H30" s="677">
        <f>+'[6]25Redes'!F11</f>
        <v>0</v>
      </c>
      <c r="I30" s="677" t="str">
        <f>+'[6]25Redes'!E12</f>
        <v>Programa 1: Agua para todos. Proyecto 1.1: Ordenamiento y administración del recurso hídrico y las cuencas hidrográficas.</v>
      </c>
      <c r="J30" s="677">
        <f>+'[6]25Redes'!E13</f>
        <v>0</v>
      </c>
      <c r="L30" s="678">
        <f t="shared" si="0"/>
        <v>0</v>
      </c>
      <c r="M30" s="678" t="str">
        <f t="shared" si="1"/>
        <v>Programa 1: Agua para todos. Proyecto 1.1: Ordenamiento y administración del recurso hídrico y las cuencas hidrográficas.</v>
      </c>
      <c r="N30" s="679" t="str">
        <f t="shared" si="1"/>
        <v/>
      </c>
      <c r="O30" s="680" t="s">
        <v>241</v>
      </c>
      <c r="P30" s="681"/>
    </row>
    <row r="31" spans="1:16" ht="48">
      <c r="A31" s="672" t="s">
        <v>607</v>
      </c>
      <c r="B31" s="673" t="s">
        <v>411</v>
      </c>
      <c r="C31" s="682">
        <f>+'[6]26SIAC'!D8</f>
        <v>1</v>
      </c>
      <c r="D31" s="676"/>
      <c r="E31" s="676"/>
      <c r="F31" s="676"/>
      <c r="H31" s="677">
        <f>+'[6]26SIAC'!F11</f>
        <v>0</v>
      </c>
      <c r="I31" s="677" t="str">
        <f>+'[6]26SIAC'!E12</f>
        <v>Programa 4: Cuida tu Naturaleza. Proyecto 4.1: Control y vigilancia ambiental</v>
      </c>
      <c r="J31" s="677">
        <f>+'[6]26SIAC'!E13</f>
        <v>0</v>
      </c>
      <c r="L31" s="678" t="str">
        <f t="shared" si="0"/>
        <v/>
      </c>
      <c r="M31" s="678" t="str">
        <f t="shared" si="1"/>
        <v>Programa 4: Cuida tu Naturaleza. Proyecto 4.1: Control y vigilancia ambiental</v>
      </c>
      <c r="N31" s="679" t="str">
        <f t="shared" si="1"/>
        <v/>
      </c>
      <c r="O31" s="680" t="s">
        <v>241</v>
      </c>
      <c r="P31" s="681"/>
    </row>
    <row r="32" spans="1:16" ht="48">
      <c r="A32" s="672" t="s">
        <v>608</v>
      </c>
      <c r="B32" s="673" t="s">
        <v>609</v>
      </c>
      <c r="C32" s="682">
        <f>+'[6]27Educa'!D8</f>
        <v>0.96562274800049885</v>
      </c>
      <c r="D32" s="676"/>
      <c r="E32" s="676"/>
      <c r="F32" s="676"/>
      <c r="H32" s="677">
        <f>+'[6]27Educa'!F11</f>
        <v>0</v>
      </c>
      <c r="I32" s="677" t="str">
        <f>+'[6]27Educa'!E12</f>
        <v>Programa 6: Educación Camino de Paz; Proyecto 6.2: Educación Ambiental: Opita de Corazón</v>
      </c>
      <c r="J32" s="677">
        <f>+'[6]27Educa'!E13</f>
        <v>0</v>
      </c>
      <c r="L32" s="678" t="str">
        <f t="shared" si="0"/>
        <v/>
      </c>
      <c r="M32" s="678" t="str">
        <f t="shared" si="1"/>
        <v>Programa 6: Educación Camino de Paz; Proyecto 6.2: Educación Ambiental: Opita de Corazón</v>
      </c>
      <c r="N32" s="679" t="str">
        <f t="shared" si="1"/>
        <v/>
      </c>
      <c r="O32" s="680" t="s">
        <v>241</v>
      </c>
      <c r="P32" s="681"/>
    </row>
  </sheetData>
  <sheetProtection sheet="1" objects="1" scenarios="1"/>
  <mergeCells count="4">
    <mergeCell ref="A1:P1"/>
    <mergeCell ref="A2:P2"/>
    <mergeCell ref="A3:P3"/>
    <mergeCell ref="A4:B4"/>
  </mergeCells>
  <conditionalFormatting sqref="C6:C32">
    <cfRule type="colorScale" priority="12">
      <colorScale>
        <cfvo type="min"/>
        <cfvo type="percentile" val="50"/>
        <cfvo type="max"/>
        <color rgb="FFF8696B"/>
        <color rgb="FFFFEB84"/>
        <color rgb="FF63BE7B"/>
      </colorScale>
    </cfRule>
  </conditionalFormatting>
  <conditionalFormatting sqref="H7:I32">
    <cfRule type="colorScale" priority="11">
      <colorScale>
        <cfvo type="min"/>
        <cfvo type="percentile" val="50"/>
        <cfvo type="max"/>
        <color rgb="FFF8696B"/>
        <color rgb="FFFFEB84"/>
        <color rgb="FF63BE7B"/>
      </colorScale>
    </cfRule>
  </conditionalFormatting>
  <conditionalFormatting sqref="L6:L7">
    <cfRule type="colorScale" priority="10">
      <colorScale>
        <cfvo type="min"/>
        <cfvo type="percentile" val="50"/>
        <cfvo type="max"/>
        <color rgb="FFF8696B"/>
        <color rgb="FFFFEB84"/>
        <color rgb="FF63BE7B"/>
      </colorScale>
    </cfRule>
  </conditionalFormatting>
  <conditionalFormatting sqref="L8:L32">
    <cfRule type="colorScale" priority="9">
      <colorScale>
        <cfvo type="min"/>
        <cfvo type="percentile" val="50"/>
        <cfvo type="max"/>
        <color rgb="FFF8696B"/>
        <color rgb="FFFFEB84"/>
        <color rgb="FF63BE7B"/>
      </colorScale>
    </cfRule>
  </conditionalFormatting>
  <conditionalFormatting sqref="M6:M32">
    <cfRule type="colorScale" priority="8">
      <colorScale>
        <cfvo type="min"/>
        <cfvo type="percentile" val="50"/>
        <cfvo type="max"/>
        <color rgb="FFF8696B"/>
        <color rgb="FFFFEB84"/>
        <color rgb="FF63BE7B"/>
      </colorScale>
    </cfRule>
  </conditionalFormatting>
  <conditionalFormatting sqref="N6">
    <cfRule type="colorScale" priority="7">
      <colorScale>
        <cfvo type="min"/>
        <cfvo type="percentile" val="50"/>
        <cfvo type="max"/>
        <color rgb="FFF8696B"/>
        <color rgb="FFFFEB84"/>
        <color rgb="FF63BE7B"/>
      </colorScale>
    </cfRule>
  </conditionalFormatting>
  <conditionalFormatting sqref="N7:N32">
    <cfRule type="colorScale" priority="6">
      <colorScale>
        <cfvo type="min"/>
        <cfvo type="percentile" val="50"/>
        <cfvo type="max"/>
        <color rgb="FFF8696B"/>
        <color rgb="FFFFEB84"/>
        <color rgb="FF63BE7B"/>
      </colorScale>
    </cfRule>
  </conditionalFormatting>
  <conditionalFormatting sqref="J7:J32">
    <cfRule type="colorScale" priority="5">
      <colorScale>
        <cfvo type="min"/>
        <cfvo type="percentile" val="50"/>
        <cfvo type="max"/>
        <color rgb="FFF8696B"/>
        <color rgb="FFFFEB84"/>
        <color rgb="FF63BE7B"/>
      </colorScale>
    </cfRule>
  </conditionalFormatting>
  <conditionalFormatting sqref="H6:I6">
    <cfRule type="colorScale" priority="4">
      <colorScale>
        <cfvo type="min"/>
        <cfvo type="percentile" val="50"/>
        <cfvo type="max"/>
        <color rgb="FFF8696B"/>
        <color rgb="FFFFEB84"/>
        <color rgb="FF63BE7B"/>
      </colorScale>
    </cfRule>
  </conditionalFormatting>
  <conditionalFormatting sqref="J6">
    <cfRule type="colorScale" priority="3">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Normal="100" zoomScaleSheetLayoutView="100" workbookViewId="0">
      <selection activeCell="H5" sqref="H5"/>
    </sheetView>
  </sheetViews>
  <sheetFormatPr baseColWidth="10" defaultRowHeight="12.75"/>
  <cols>
    <col min="1" max="1" width="9.140625" style="411" customWidth="1"/>
    <col min="2" max="2" width="49" style="411" customWidth="1"/>
    <col min="3" max="4" width="20.5703125" style="411" customWidth="1"/>
    <col min="5" max="16384" width="11.42578125" style="411"/>
  </cols>
  <sheetData>
    <row r="1" spans="1:7" ht="130.5" customHeight="1">
      <c r="A1" s="410"/>
      <c r="B1" s="410"/>
      <c r="C1" s="410"/>
      <c r="D1" s="410"/>
    </row>
    <row r="2" spans="1:7" s="413" customFormat="1">
      <c r="A2" s="597" t="s">
        <v>510</v>
      </c>
      <c r="B2" s="597"/>
      <c r="C2" s="597"/>
      <c r="D2" s="597"/>
      <c r="E2" s="412"/>
      <c r="F2" s="412"/>
      <c r="G2" s="412"/>
    </row>
    <row r="3" spans="1:7" s="413" customFormat="1">
      <c r="A3" s="597">
        <f>'[1]Datos Generales'!C5</f>
        <v>0</v>
      </c>
      <c r="B3" s="597"/>
      <c r="C3" s="597"/>
      <c r="D3" s="597"/>
      <c r="E3" s="412"/>
      <c r="F3" s="412"/>
      <c r="G3" s="412"/>
    </row>
    <row r="4" spans="1:7" s="413" customFormat="1" ht="15.75" customHeight="1" thickBot="1">
      <c r="A4" s="598" t="s">
        <v>558</v>
      </c>
      <c r="B4" s="598"/>
      <c r="C4" s="414">
        <f>'[1]Datos Generales'!C6</f>
        <v>0</v>
      </c>
      <c r="D4" s="414"/>
      <c r="E4" s="415"/>
      <c r="F4" s="415"/>
      <c r="G4" s="415"/>
    </row>
    <row r="5" spans="1:7" s="418" customFormat="1" ht="21" customHeight="1">
      <c r="A5" s="416"/>
      <c r="B5" s="417" t="s">
        <v>193</v>
      </c>
      <c r="C5" s="417" t="s">
        <v>194</v>
      </c>
      <c r="D5" s="417" t="s">
        <v>195</v>
      </c>
    </row>
    <row r="6" spans="1:7" s="413" customFormat="1">
      <c r="A6" s="419">
        <v>3000</v>
      </c>
      <c r="B6" s="420" t="s">
        <v>196</v>
      </c>
      <c r="C6" s="421">
        <f>SUM(C7+C33)</f>
        <v>35079676932</v>
      </c>
      <c r="D6" s="421">
        <f>SUM(D7+D33)</f>
        <v>35571852058</v>
      </c>
    </row>
    <row r="7" spans="1:7" s="413" customFormat="1">
      <c r="A7" s="422">
        <v>3100</v>
      </c>
      <c r="B7" s="423" t="s">
        <v>197</v>
      </c>
      <c r="C7" s="424">
        <f>SUM(C8+C12)</f>
        <v>20560715538</v>
      </c>
      <c r="D7" s="424">
        <f>SUM(D8+D12)</f>
        <v>20289063380</v>
      </c>
    </row>
    <row r="8" spans="1:7" s="413" customFormat="1">
      <c r="A8" s="425">
        <v>3110</v>
      </c>
      <c r="B8" s="426" t="s">
        <v>198</v>
      </c>
      <c r="C8" s="427">
        <f>SUM(C9:C11)</f>
        <v>7966559232</v>
      </c>
      <c r="D8" s="427">
        <f>SUM(D9:D11)</f>
        <v>8240561838</v>
      </c>
    </row>
    <row r="9" spans="1:7" s="431" customFormat="1" ht="11.25">
      <c r="A9" s="428"/>
      <c r="B9" s="429" t="s">
        <v>199</v>
      </c>
      <c r="C9" s="430"/>
      <c r="D9" s="430"/>
    </row>
    <row r="10" spans="1:7" s="431" customFormat="1" ht="11.25">
      <c r="A10" s="428"/>
      <c r="B10" s="429" t="s">
        <v>200</v>
      </c>
      <c r="C10" s="430">
        <v>7966559232</v>
      </c>
      <c r="D10" s="430">
        <v>8240561838</v>
      </c>
    </row>
    <row r="11" spans="1:7" s="431" customFormat="1" ht="11.25">
      <c r="A11" s="428"/>
      <c r="B11" s="429" t="s">
        <v>201</v>
      </c>
      <c r="C11" s="430"/>
      <c r="D11" s="430"/>
    </row>
    <row r="12" spans="1:7" s="413" customFormat="1">
      <c r="A12" s="425">
        <v>3120</v>
      </c>
      <c r="B12" s="426" t="s">
        <v>202</v>
      </c>
      <c r="C12" s="427">
        <f>SUM(C13+C17+C18+C19+C20+C25)</f>
        <v>12594156306</v>
      </c>
      <c r="D12" s="427">
        <f>SUM(D13+D17+D18+D19+D20+D25)</f>
        <v>12048501542</v>
      </c>
    </row>
    <row r="13" spans="1:7" s="434" customFormat="1" ht="12">
      <c r="A13" s="428">
        <v>3121</v>
      </c>
      <c r="B13" s="432" t="s">
        <v>203</v>
      </c>
      <c r="C13" s="433">
        <f>SUM(C14:C16)</f>
        <v>579744516</v>
      </c>
      <c r="D13" s="433">
        <f>SUM(D14:D16)</f>
        <v>1104825798</v>
      </c>
    </row>
    <row r="14" spans="1:7" s="431" customFormat="1" ht="11.25">
      <c r="A14" s="428"/>
      <c r="B14" s="429" t="s">
        <v>203</v>
      </c>
      <c r="C14" s="430">
        <v>0</v>
      </c>
      <c r="D14" s="430">
        <v>0</v>
      </c>
    </row>
    <row r="15" spans="1:7" s="431" customFormat="1" ht="11.25">
      <c r="A15" s="428"/>
      <c r="B15" s="429" t="s">
        <v>204</v>
      </c>
      <c r="C15" s="430">
        <f>579744516</f>
        <v>579744516</v>
      </c>
      <c r="D15" s="430">
        <v>1104825798</v>
      </c>
    </row>
    <row r="16" spans="1:7" s="431" customFormat="1" ht="11.25">
      <c r="A16" s="428"/>
      <c r="B16" s="429" t="s">
        <v>205</v>
      </c>
      <c r="C16" s="430">
        <v>0</v>
      </c>
      <c r="D16" s="430">
        <v>0</v>
      </c>
    </row>
    <row r="17" spans="1:4" s="434" customFormat="1" ht="12">
      <c r="A17" s="428">
        <v>3123</v>
      </c>
      <c r="B17" s="432" t="s">
        <v>206</v>
      </c>
      <c r="C17" s="433">
        <v>0</v>
      </c>
      <c r="D17" s="433">
        <v>0</v>
      </c>
    </row>
    <row r="18" spans="1:4" s="434" customFormat="1" ht="12">
      <c r="A18" s="428">
        <v>3124</v>
      </c>
      <c r="B18" s="432" t="s">
        <v>207</v>
      </c>
      <c r="C18" s="433">
        <v>0</v>
      </c>
      <c r="D18" s="433">
        <v>0</v>
      </c>
    </row>
    <row r="19" spans="1:4" s="434" customFormat="1" ht="12">
      <c r="A19" s="428">
        <v>3125</v>
      </c>
      <c r="B19" s="432" t="s">
        <v>208</v>
      </c>
      <c r="C19" s="433">
        <v>0</v>
      </c>
      <c r="D19" s="433">
        <v>0</v>
      </c>
    </row>
    <row r="20" spans="1:4" s="434" customFormat="1" ht="12">
      <c r="A20" s="428">
        <v>3126</v>
      </c>
      <c r="B20" s="432" t="s">
        <v>209</v>
      </c>
      <c r="C20" s="433">
        <f>SUM(C21:C24)</f>
        <v>9805794268</v>
      </c>
      <c r="D20" s="433">
        <f>SUM(D21:D24)</f>
        <v>6437754916</v>
      </c>
    </row>
    <row r="21" spans="1:4" s="431" customFormat="1" ht="11.25">
      <c r="A21" s="428"/>
      <c r="B21" s="429" t="s">
        <v>210</v>
      </c>
      <c r="C21" s="430">
        <v>5328127328</v>
      </c>
      <c r="D21" s="430">
        <v>5277101396</v>
      </c>
    </row>
    <row r="22" spans="1:4" s="431" customFormat="1" ht="11.25">
      <c r="A22" s="428"/>
      <c r="B22" s="429" t="s">
        <v>211</v>
      </c>
      <c r="C22" s="430"/>
      <c r="D22" s="430"/>
    </row>
    <row r="23" spans="1:4" s="431" customFormat="1" ht="11.25">
      <c r="A23" s="428"/>
      <c r="B23" s="429" t="s">
        <v>212</v>
      </c>
      <c r="C23" s="430">
        <v>0</v>
      </c>
      <c r="D23" s="430">
        <v>0</v>
      </c>
    </row>
    <row r="24" spans="1:4" s="431" customFormat="1" ht="11.25">
      <c r="A24" s="428"/>
      <c r="B24" s="429" t="s">
        <v>213</v>
      </c>
      <c r="C24" s="430">
        <v>4477666940</v>
      </c>
      <c r="D24" s="430">
        <v>1160653520</v>
      </c>
    </row>
    <row r="25" spans="1:4" s="434" customFormat="1" ht="12">
      <c r="A25" s="428">
        <v>3128</v>
      </c>
      <c r="B25" s="432" t="s">
        <v>214</v>
      </c>
      <c r="C25" s="433">
        <f>SUM(C26:C32)</f>
        <v>2208617522</v>
      </c>
      <c r="D25" s="433">
        <f>SUM(D26:D32)</f>
        <v>4505920828</v>
      </c>
    </row>
    <row r="26" spans="1:4" s="431" customFormat="1" ht="11.25">
      <c r="A26" s="428"/>
      <c r="B26" s="429" t="s">
        <v>215</v>
      </c>
      <c r="C26" s="430">
        <v>804494608</v>
      </c>
      <c r="D26" s="430">
        <v>1271442421</v>
      </c>
    </row>
    <row r="27" spans="1:4" s="431" customFormat="1" ht="11.25">
      <c r="A27" s="428"/>
      <c r="B27" s="429" t="s">
        <v>216</v>
      </c>
      <c r="C27" s="430"/>
      <c r="D27" s="430"/>
    </row>
    <row r="28" spans="1:4" s="431" customFormat="1" ht="11.25">
      <c r="A28" s="428"/>
      <c r="B28" s="429" t="s">
        <v>217</v>
      </c>
      <c r="C28" s="430">
        <v>1165272764</v>
      </c>
      <c r="D28" s="430">
        <v>1574584642</v>
      </c>
    </row>
    <row r="29" spans="1:4" s="431" customFormat="1" ht="11.25">
      <c r="A29" s="428"/>
      <c r="B29" s="429" t="s">
        <v>218</v>
      </c>
      <c r="C29" s="430">
        <v>12390896</v>
      </c>
      <c r="D29" s="430">
        <v>1132110972</v>
      </c>
    </row>
    <row r="30" spans="1:4" s="431" customFormat="1" ht="11.25">
      <c r="A30" s="428"/>
      <c r="B30" s="429" t="s">
        <v>219</v>
      </c>
      <c r="C30" s="430"/>
      <c r="D30" s="430"/>
    </row>
    <row r="31" spans="1:4" s="431" customFormat="1" ht="11.25">
      <c r="A31" s="428"/>
      <c r="B31" s="429" t="s">
        <v>220</v>
      </c>
      <c r="C31" s="430">
        <v>172058789</v>
      </c>
      <c r="D31" s="430">
        <v>442902598</v>
      </c>
    </row>
    <row r="32" spans="1:4" s="431" customFormat="1" ht="11.25">
      <c r="A32" s="428"/>
      <c r="B32" s="429" t="s">
        <v>214</v>
      </c>
      <c r="C32" s="430">
        <v>54400465</v>
      </c>
      <c r="D32" s="430">
        <v>84880195</v>
      </c>
    </row>
    <row r="33" spans="1:4" s="413" customFormat="1">
      <c r="A33" s="422">
        <v>3200</v>
      </c>
      <c r="B33" s="423" t="s">
        <v>221</v>
      </c>
      <c r="C33" s="424">
        <f>SUM(C34+C37+C40+C41+C47+C48)</f>
        <v>14518961394</v>
      </c>
      <c r="D33" s="424">
        <f>SUM(D34+D37+D40+D41+D47+D48)</f>
        <v>15282788678</v>
      </c>
    </row>
    <row r="34" spans="1:4" s="434" customFormat="1" ht="12">
      <c r="A34" s="428">
        <v>3210</v>
      </c>
      <c r="B34" s="435" t="s">
        <v>222</v>
      </c>
      <c r="C34" s="436">
        <v>0</v>
      </c>
      <c r="D34" s="436">
        <v>0</v>
      </c>
    </row>
    <row r="35" spans="1:4" s="431" customFormat="1" ht="11.25">
      <c r="A35" s="437">
        <v>3211</v>
      </c>
      <c r="B35" s="429" t="s">
        <v>223</v>
      </c>
      <c r="C35" s="430">
        <v>0</v>
      </c>
      <c r="D35" s="430">
        <v>0</v>
      </c>
    </row>
    <row r="36" spans="1:4" s="431" customFormat="1" ht="11.25">
      <c r="A36" s="437">
        <v>3212</v>
      </c>
      <c r="B36" s="429" t="s">
        <v>224</v>
      </c>
      <c r="C36" s="430">
        <v>0</v>
      </c>
      <c r="D36" s="430">
        <v>0</v>
      </c>
    </row>
    <row r="37" spans="1:4" s="434" customFormat="1" ht="12">
      <c r="A37" s="428">
        <v>3220</v>
      </c>
      <c r="B37" s="435" t="s">
        <v>225</v>
      </c>
      <c r="C37" s="436">
        <v>0</v>
      </c>
      <c r="D37" s="436">
        <v>0</v>
      </c>
    </row>
    <row r="38" spans="1:4" s="431" customFormat="1" ht="11.25">
      <c r="A38" s="437">
        <v>3221</v>
      </c>
      <c r="B38" s="429" t="s">
        <v>223</v>
      </c>
      <c r="C38" s="430">
        <v>0</v>
      </c>
      <c r="D38" s="430">
        <v>0</v>
      </c>
    </row>
    <row r="39" spans="1:4" s="431" customFormat="1" ht="11.25">
      <c r="A39" s="437">
        <v>3222</v>
      </c>
      <c r="B39" s="429" t="s">
        <v>224</v>
      </c>
      <c r="C39" s="430">
        <v>0</v>
      </c>
      <c r="D39" s="430">
        <v>0</v>
      </c>
    </row>
    <row r="40" spans="1:4" s="434" customFormat="1" ht="12">
      <c r="A40" s="428">
        <v>3230</v>
      </c>
      <c r="B40" s="435" t="s">
        <v>226</v>
      </c>
      <c r="C40" s="438">
        <v>420196365</v>
      </c>
      <c r="D40" s="438">
        <v>736340760</v>
      </c>
    </row>
    <row r="41" spans="1:4" s="434" customFormat="1" ht="12">
      <c r="A41" s="428">
        <v>3250</v>
      </c>
      <c r="B41" s="435" t="s">
        <v>227</v>
      </c>
      <c r="C41" s="438">
        <f>SUM(C42:C46)</f>
        <v>14098765029</v>
      </c>
      <c r="D41" s="438">
        <f>SUM(D42:D46)</f>
        <v>14546447918</v>
      </c>
    </row>
    <row r="42" spans="1:4" s="431" customFormat="1" ht="11.25">
      <c r="A42" s="437">
        <v>3251</v>
      </c>
      <c r="B42" s="429" t="s">
        <v>228</v>
      </c>
      <c r="C42" s="430">
        <v>0</v>
      </c>
      <c r="D42" s="430">
        <v>0</v>
      </c>
    </row>
    <row r="43" spans="1:4" s="431" customFormat="1" ht="11.25">
      <c r="A43" s="437">
        <v>3252</v>
      </c>
      <c r="B43" s="429" t="s">
        <v>229</v>
      </c>
      <c r="C43" s="430">
        <v>11224297484</v>
      </c>
      <c r="D43" s="430">
        <f>+C43</f>
        <v>11224297484</v>
      </c>
    </row>
    <row r="44" spans="1:4" s="431" customFormat="1" ht="11.25">
      <c r="A44" s="437">
        <v>3253</v>
      </c>
      <c r="B44" s="429" t="s">
        <v>230</v>
      </c>
      <c r="C44" s="430">
        <v>0</v>
      </c>
      <c r="D44" s="430">
        <v>0</v>
      </c>
    </row>
    <row r="45" spans="1:4" s="431" customFormat="1" ht="11.25">
      <c r="A45" s="437">
        <v>3254</v>
      </c>
      <c r="B45" s="429" t="s">
        <v>231</v>
      </c>
      <c r="C45" s="430">
        <v>2874467545</v>
      </c>
      <c r="D45" s="430">
        <v>3322150434</v>
      </c>
    </row>
    <row r="46" spans="1:4" s="431" customFormat="1" ht="11.25">
      <c r="A46" s="437">
        <v>3255</v>
      </c>
      <c r="B46" s="429" t="s">
        <v>232</v>
      </c>
      <c r="C46" s="430">
        <v>0</v>
      </c>
      <c r="D46" s="430">
        <v>0</v>
      </c>
    </row>
    <row r="47" spans="1:4" s="434" customFormat="1" ht="12">
      <c r="A47" s="428">
        <v>3260</v>
      </c>
      <c r="B47" s="435" t="s">
        <v>233</v>
      </c>
      <c r="C47" s="436">
        <v>0</v>
      </c>
      <c r="D47" s="436">
        <v>0</v>
      </c>
    </row>
    <row r="48" spans="1:4" s="413" customFormat="1">
      <c r="A48" s="422">
        <v>3500</v>
      </c>
      <c r="B48" s="423" t="s">
        <v>234</v>
      </c>
      <c r="C48" s="424">
        <v>0</v>
      </c>
      <c r="D48" s="424">
        <v>0</v>
      </c>
    </row>
    <row r="49" spans="1:4" s="413" customFormat="1">
      <c r="A49" s="419">
        <v>4000</v>
      </c>
      <c r="B49" s="439" t="s">
        <v>235</v>
      </c>
      <c r="C49" s="421">
        <f>SUM(C50:C53)</f>
        <v>4657719678</v>
      </c>
      <c r="D49" s="421">
        <f>SUM(D50:D53)</f>
        <v>3118770005</v>
      </c>
    </row>
    <row r="50" spans="1:4" s="434" customFormat="1" ht="12">
      <c r="A50" s="440">
        <v>4100</v>
      </c>
      <c r="B50" s="441" t="s">
        <v>236</v>
      </c>
      <c r="C50" s="442">
        <v>1977719678</v>
      </c>
      <c r="D50" s="442">
        <v>1656530322</v>
      </c>
    </row>
    <row r="51" spans="1:4" s="434" customFormat="1" ht="12">
      <c r="A51" s="440">
        <v>4200</v>
      </c>
      <c r="B51" s="441" t="s">
        <v>237</v>
      </c>
      <c r="C51" s="443">
        <v>0</v>
      </c>
      <c r="D51" s="443">
        <v>0</v>
      </c>
    </row>
    <row r="52" spans="1:4" s="434" customFormat="1" ht="12">
      <c r="A52" s="440">
        <v>4300</v>
      </c>
      <c r="B52" s="441" t="s">
        <v>238</v>
      </c>
      <c r="C52" s="443">
        <v>2680000000</v>
      </c>
      <c r="D52" s="443">
        <v>1462239683</v>
      </c>
    </row>
    <row r="53" spans="1:4" s="413" customFormat="1">
      <c r="A53" s="440">
        <v>41001</v>
      </c>
      <c r="B53" s="441" t="s">
        <v>239</v>
      </c>
      <c r="C53" s="443">
        <v>0</v>
      </c>
      <c r="D53" s="443">
        <v>0</v>
      </c>
    </row>
    <row r="54" spans="1:4" ht="23.25" customHeight="1">
      <c r="A54" s="419"/>
      <c r="B54" s="419" t="s">
        <v>240</v>
      </c>
      <c r="C54" s="421">
        <f>SUM(C6+C49)</f>
        <v>39737396610</v>
      </c>
      <c r="D54" s="421">
        <f>SUM(D6+D49)</f>
        <v>38690622063</v>
      </c>
    </row>
    <row r="55" spans="1:4" ht="7.5" customHeight="1"/>
  </sheetData>
  <mergeCells count="3">
    <mergeCell ref="A2:D2"/>
    <mergeCell ref="A3:D3"/>
    <mergeCell ref="A4:B4"/>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opLeftCell="A5" zoomScaleNormal="100" zoomScaleSheetLayoutView="100" workbookViewId="0">
      <pane ySplit="2" topLeftCell="A51" activePane="bottomLeft" state="frozen"/>
      <selection activeCell="A5" sqref="A5"/>
      <selection pane="bottomLeft" activeCell="K5" sqref="K1:K1048576"/>
    </sheetView>
  </sheetViews>
  <sheetFormatPr baseColWidth="10" defaultRowHeight="12.75"/>
  <cols>
    <col min="1" max="1" width="46" style="445" customWidth="1"/>
    <col min="2" max="2" width="14.42578125" style="445" customWidth="1"/>
    <col min="3" max="4" width="14" style="445" customWidth="1"/>
    <col min="5" max="7" width="13.5703125" style="445" customWidth="1"/>
    <col min="8" max="8" width="14.28515625" style="445" customWidth="1"/>
    <col min="9" max="10" width="14" style="445" customWidth="1"/>
    <col min="11" max="11" width="13.7109375" style="445" bestFit="1" customWidth="1"/>
    <col min="12" max="16384" width="11.42578125" style="445"/>
  </cols>
  <sheetData>
    <row r="1" spans="1:10" ht="130.5" customHeight="1" thickBot="1">
      <c r="A1" s="599"/>
      <c r="B1" s="599"/>
      <c r="C1" s="599"/>
      <c r="D1" s="599"/>
      <c r="E1" s="599"/>
      <c r="F1" s="599"/>
      <c r="G1" s="599"/>
      <c r="H1" s="599"/>
      <c r="I1" s="599"/>
      <c r="J1" s="444"/>
    </row>
    <row r="2" spans="1:10">
      <c r="A2" s="600" t="s">
        <v>511</v>
      </c>
      <c r="B2" s="601"/>
      <c r="C2" s="601"/>
      <c r="D2" s="601"/>
      <c r="E2" s="601"/>
      <c r="F2" s="601"/>
      <c r="G2" s="601"/>
      <c r="H2" s="601"/>
      <c r="I2" s="601"/>
      <c r="J2" s="602"/>
    </row>
    <row r="3" spans="1:10">
      <c r="A3" s="603">
        <f>'[1]Datos Generales'!C5</f>
        <v>0</v>
      </c>
      <c r="B3" s="604"/>
      <c r="C3" s="604"/>
      <c r="D3" s="604"/>
      <c r="E3" s="604"/>
      <c r="F3" s="604"/>
      <c r="G3" s="604"/>
      <c r="H3" s="604"/>
      <c r="I3" s="604"/>
      <c r="J3" s="605"/>
    </row>
    <row r="4" spans="1:10" ht="24.75" customHeight="1" thickBot="1">
      <c r="A4" s="446" t="s">
        <v>512</v>
      </c>
      <c r="B4" s="606"/>
      <c r="C4" s="606"/>
      <c r="D4" s="606"/>
      <c r="E4" s="607"/>
      <c r="F4" s="607"/>
      <c r="G4" s="607"/>
      <c r="H4" s="607"/>
      <c r="I4" s="607"/>
      <c r="J4" s="608"/>
    </row>
    <row r="5" spans="1:10" ht="33" customHeight="1">
      <c r="A5" s="609" t="s">
        <v>247</v>
      </c>
      <c r="B5" s="610" t="s">
        <v>248</v>
      </c>
      <c r="C5" s="611"/>
      <c r="D5" s="612"/>
      <c r="E5" s="610" t="s">
        <v>249</v>
      </c>
      <c r="F5" s="611"/>
      <c r="G5" s="612"/>
      <c r="H5" s="610" t="s">
        <v>250</v>
      </c>
      <c r="I5" s="611"/>
      <c r="J5" s="612"/>
    </row>
    <row r="6" spans="1:10" ht="21.75" customHeight="1" thickBot="1">
      <c r="A6" s="609"/>
      <c r="B6" s="447" t="s">
        <v>513</v>
      </c>
      <c r="C6" s="448" t="s">
        <v>514</v>
      </c>
      <c r="D6" s="449" t="s">
        <v>515</v>
      </c>
      <c r="E6" s="447" t="s">
        <v>513</v>
      </c>
      <c r="F6" s="448" t="s">
        <v>514</v>
      </c>
      <c r="G6" s="449" t="s">
        <v>515</v>
      </c>
      <c r="H6" s="447" t="s">
        <v>513</v>
      </c>
      <c r="I6" s="448" t="s">
        <v>514</v>
      </c>
      <c r="J6" s="449" t="s">
        <v>515</v>
      </c>
    </row>
    <row r="7" spans="1:10" s="418" customFormat="1" ht="13.5" thickBot="1">
      <c r="A7" s="450" t="s">
        <v>253</v>
      </c>
      <c r="B7" s="451">
        <v>2334886895</v>
      </c>
      <c r="C7" s="452">
        <v>2194256120</v>
      </c>
      <c r="D7" s="453">
        <f>1815834143*1.004</f>
        <v>1823097479.572</v>
      </c>
      <c r="E7" s="451">
        <v>1942275458</v>
      </c>
      <c r="F7" s="452">
        <v>1942129273</v>
      </c>
      <c r="G7" s="453">
        <f>+F7</f>
        <v>1942129273</v>
      </c>
      <c r="H7" s="454">
        <f t="shared" ref="H7:J7" si="0">+B7+E7</f>
        <v>4277162353</v>
      </c>
      <c r="I7" s="454">
        <f t="shared" si="0"/>
        <v>4136385393</v>
      </c>
      <c r="J7" s="454">
        <f t="shared" si="0"/>
        <v>3765226752.572</v>
      </c>
    </row>
    <row r="8" spans="1:10" s="418" customFormat="1">
      <c r="A8" s="455" t="s">
        <v>254</v>
      </c>
      <c r="B8" s="456">
        <f t="shared" ref="B8:I8" si="1">SUM(B9:B11)</f>
        <v>1209371531</v>
      </c>
      <c r="C8" s="457">
        <f t="shared" si="1"/>
        <v>1036440588</v>
      </c>
      <c r="D8" s="458">
        <f t="shared" si="1"/>
        <v>811205950.21599996</v>
      </c>
      <c r="E8" s="456">
        <f t="shared" si="1"/>
        <v>25213220</v>
      </c>
      <c r="F8" s="457">
        <f t="shared" si="1"/>
        <v>25213220</v>
      </c>
      <c r="G8" s="458">
        <f t="shared" ref="G8" si="2">SUM(G9:G11)</f>
        <v>25213220</v>
      </c>
      <c r="H8" s="456">
        <f t="shared" si="1"/>
        <v>1234584751</v>
      </c>
      <c r="I8" s="457">
        <f t="shared" si="1"/>
        <v>1061653808</v>
      </c>
      <c r="J8" s="458">
        <f t="shared" ref="J8" si="3">SUM(J9:J11)</f>
        <v>836419170.21599996</v>
      </c>
    </row>
    <row r="9" spans="1:10">
      <c r="A9" s="459" t="s">
        <v>255</v>
      </c>
      <c r="B9" s="454">
        <v>378312500</v>
      </c>
      <c r="C9" s="460">
        <v>231490846</v>
      </c>
      <c r="D9" s="461">
        <f>96957235*1.004</f>
        <v>97345063.939999998</v>
      </c>
      <c r="E9" s="454">
        <v>0</v>
      </c>
      <c r="F9" s="460">
        <v>0</v>
      </c>
      <c r="G9" s="461"/>
      <c r="H9" s="454">
        <f t="shared" ref="H9:J11" si="4">+B9+E9</f>
        <v>378312500</v>
      </c>
      <c r="I9" s="460">
        <f t="shared" si="4"/>
        <v>231490846</v>
      </c>
      <c r="J9" s="461">
        <f t="shared" si="4"/>
        <v>97345063.939999998</v>
      </c>
    </row>
    <row r="10" spans="1:10">
      <c r="A10" s="459" t="s">
        <v>256</v>
      </c>
      <c r="B10" s="454">
        <v>772339281</v>
      </c>
      <c r="C10" s="460">
        <v>747797131</v>
      </c>
      <c r="D10" s="461">
        <f>(807974054-53238067-96957235)*1.004</f>
        <v>660409867.00800002</v>
      </c>
      <c r="E10" s="454">
        <v>23790220</v>
      </c>
      <c r="F10" s="460">
        <f>+E10</f>
        <v>23790220</v>
      </c>
      <c r="G10" s="461">
        <f>+F10</f>
        <v>23790220</v>
      </c>
      <c r="H10" s="454">
        <f t="shared" si="4"/>
        <v>796129501</v>
      </c>
      <c r="I10" s="460">
        <f t="shared" si="4"/>
        <v>771587351</v>
      </c>
      <c r="J10" s="461">
        <f t="shared" si="4"/>
        <v>684200087.00800002</v>
      </c>
    </row>
    <row r="11" spans="1:10" ht="13.5" thickBot="1">
      <c r="A11" s="462" t="s">
        <v>257</v>
      </c>
      <c r="B11" s="463">
        <v>58719750</v>
      </c>
      <c r="C11" s="464">
        <v>57152611</v>
      </c>
      <c r="D11" s="465">
        <f>53238067*1.004</f>
        <v>53451019.267999999</v>
      </c>
      <c r="E11" s="463">
        <v>1423000</v>
      </c>
      <c r="F11" s="464">
        <f>+E11</f>
        <v>1423000</v>
      </c>
      <c r="G11" s="465">
        <f>+F11</f>
        <v>1423000</v>
      </c>
      <c r="H11" s="463">
        <f t="shared" si="4"/>
        <v>60142750</v>
      </c>
      <c r="I11" s="464">
        <f t="shared" si="4"/>
        <v>58575611</v>
      </c>
      <c r="J11" s="465">
        <f t="shared" si="4"/>
        <v>54874019.267999999</v>
      </c>
    </row>
    <row r="12" spans="1:10" s="418" customFormat="1">
      <c r="A12" s="455" t="s">
        <v>258</v>
      </c>
      <c r="B12" s="456">
        <f>+B13+B17+B20</f>
        <v>2331817770</v>
      </c>
      <c r="C12" s="456">
        <f>+C13+C17+C20</f>
        <v>2314453388</v>
      </c>
      <c r="D12" s="456">
        <f>+D13+D17+D20</f>
        <v>2006627644.5120001</v>
      </c>
      <c r="E12" s="456">
        <f t="shared" ref="E12:J12" si="5">+E13+E17</f>
        <v>10231000</v>
      </c>
      <c r="F12" s="457">
        <f t="shared" si="5"/>
        <v>0</v>
      </c>
      <c r="G12" s="458">
        <f t="shared" si="5"/>
        <v>0</v>
      </c>
      <c r="H12" s="456">
        <f t="shared" si="5"/>
        <v>2034048770</v>
      </c>
      <c r="I12" s="457">
        <f t="shared" si="5"/>
        <v>2022962099</v>
      </c>
      <c r="J12" s="458">
        <f t="shared" si="5"/>
        <v>1715136355.5120001</v>
      </c>
    </row>
    <row r="13" spans="1:10" s="470" customFormat="1" ht="12">
      <c r="A13" s="466" t="s">
        <v>259</v>
      </c>
      <c r="B13" s="467">
        <f t="shared" ref="B13:I13" si="6">SUM(B14:B16)</f>
        <v>2023817770</v>
      </c>
      <c r="C13" s="468">
        <f t="shared" si="6"/>
        <v>2022962099</v>
      </c>
      <c r="D13" s="469">
        <f t="shared" ref="D13" si="7">SUM(D14:D16)</f>
        <v>1715136355.5120001</v>
      </c>
      <c r="E13" s="467">
        <f t="shared" si="6"/>
        <v>10231000</v>
      </c>
      <c r="F13" s="468">
        <f t="shared" si="6"/>
        <v>0</v>
      </c>
      <c r="G13" s="469">
        <f t="shared" ref="G13" si="8">SUM(G14:G16)</f>
        <v>0</v>
      </c>
      <c r="H13" s="467">
        <f t="shared" si="6"/>
        <v>2034048770</v>
      </c>
      <c r="I13" s="468">
        <f t="shared" si="6"/>
        <v>2022962099</v>
      </c>
      <c r="J13" s="469">
        <f t="shared" ref="J13" si="9">SUM(J14:J16)</f>
        <v>1715136355.5120001</v>
      </c>
    </row>
    <row r="14" spans="1:10" s="471" customFormat="1" ht="11.25">
      <c r="A14" s="459" t="s">
        <v>260</v>
      </c>
      <c r="B14" s="454">
        <v>34269000</v>
      </c>
      <c r="C14" s="460">
        <v>34253734</v>
      </c>
      <c r="D14" s="461">
        <f>+C14</f>
        <v>34253734</v>
      </c>
      <c r="E14" s="454">
        <v>10231000</v>
      </c>
      <c r="F14" s="460">
        <v>0</v>
      </c>
      <c r="G14" s="461">
        <v>0</v>
      </c>
      <c r="H14" s="454">
        <f t="shared" ref="H14:J16" si="10">+B14+E14</f>
        <v>44500000</v>
      </c>
      <c r="I14" s="460">
        <f t="shared" si="10"/>
        <v>34253734</v>
      </c>
      <c r="J14" s="461">
        <f t="shared" si="10"/>
        <v>34253734</v>
      </c>
    </row>
    <row r="15" spans="1:10" s="471" customFormat="1" ht="11.25">
      <c r="A15" s="459" t="s">
        <v>261</v>
      </c>
      <c r="B15" s="454">
        <v>1966548770</v>
      </c>
      <c r="C15" s="460">
        <v>1965893673</v>
      </c>
      <c r="D15" s="461">
        <f>1651462081*1.004</f>
        <v>1658067929.3240001</v>
      </c>
      <c r="E15" s="454"/>
      <c r="F15" s="460"/>
      <c r="G15" s="461"/>
      <c r="H15" s="454">
        <f t="shared" si="10"/>
        <v>1966548770</v>
      </c>
      <c r="I15" s="460">
        <f t="shared" si="10"/>
        <v>1965893673</v>
      </c>
      <c r="J15" s="461">
        <f t="shared" si="10"/>
        <v>1658067929.3240001</v>
      </c>
    </row>
    <row r="16" spans="1:10" s="471" customFormat="1" ht="11.25">
      <c r="A16" s="459" t="s">
        <v>201</v>
      </c>
      <c r="B16" s="454">
        <v>23000000</v>
      </c>
      <c r="C16" s="460">
        <v>22814692</v>
      </c>
      <c r="D16" s="461">
        <f>22723797*1.004</f>
        <v>22814692.188000001</v>
      </c>
      <c r="E16" s="454"/>
      <c r="F16" s="460"/>
      <c r="G16" s="461"/>
      <c r="H16" s="454">
        <f t="shared" si="10"/>
        <v>23000000</v>
      </c>
      <c r="I16" s="460">
        <f t="shared" si="10"/>
        <v>22814692</v>
      </c>
      <c r="J16" s="461">
        <f t="shared" si="10"/>
        <v>22814692.188000001</v>
      </c>
    </row>
    <row r="17" spans="1:10" s="470" customFormat="1" ht="12">
      <c r="A17" s="466" t="s">
        <v>262</v>
      </c>
      <c r="B17" s="467">
        <f t="shared" ref="B17:J17" si="11">SUM(B18:B19)</f>
        <v>0</v>
      </c>
      <c r="C17" s="468">
        <f t="shared" si="11"/>
        <v>0</v>
      </c>
      <c r="D17" s="469">
        <f t="shared" si="11"/>
        <v>0</v>
      </c>
      <c r="E17" s="467">
        <f t="shared" si="11"/>
        <v>0</v>
      </c>
      <c r="F17" s="468">
        <f t="shared" si="11"/>
        <v>0</v>
      </c>
      <c r="G17" s="469">
        <f t="shared" si="11"/>
        <v>0</v>
      </c>
      <c r="H17" s="467">
        <f t="shared" si="11"/>
        <v>0</v>
      </c>
      <c r="I17" s="468">
        <f t="shared" si="11"/>
        <v>0</v>
      </c>
      <c r="J17" s="469">
        <f t="shared" si="11"/>
        <v>0</v>
      </c>
    </row>
    <row r="18" spans="1:10" s="471" customFormat="1" ht="11.25">
      <c r="A18" s="459" t="s">
        <v>263</v>
      </c>
      <c r="B18" s="454"/>
      <c r="C18" s="460"/>
      <c r="D18" s="461"/>
      <c r="E18" s="454"/>
      <c r="F18" s="460"/>
      <c r="G18" s="461"/>
      <c r="H18" s="454">
        <f t="shared" ref="H18:J19" si="12">+B18+E18</f>
        <v>0</v>
      </c>
      <c r="I18" s="460">
        <f t="shared" si="12"/>
        <v>0</v>
      </c>
      <c r="J18" s="461">
        <f t="shared" si="12"/>
        <v>0</v>
      </c>
    </row>
    <row r="19" spans="1:10" s="471" customFormat="1" ht="11.25">
      <c r="A19" s="459" t="s">
        <v>264</v>
      </c>
      <c r="B19" s="454"/>
      <c r="C19" s="460"/>
      <c r="D19" s="461"/>
      <c r="E19" s="454"/>
      <c r="F19" s="460"/>
      <c r="G19" s="461"/>
      <c r="H19" s="454">
        <f t="shared" si="12"/>
        <v>0</v>
      </c>
      <c r="I19" s="460">
        <f t="shared" si="12"/>
        <v>0</v>
      </c>
      <c r="J19" s="461">
        <f t="shared" si="12"/>
        <v>0</v>
      </c>
    </row>
    <row r="20" spans="1:10" s="418" customFormat="1">
      <c r="A20" s="472" t="s">
        <v>265</v>
      </c>
      <c r="B20" s="473">
        <f t="shared" ref="B20:J20" si="13">+B21+B23</f>
        <v>308000000</v>
      </c>
      <c r="C20" s="474">
        <f t="shared" si="13"/>
        <v>291491289</v>
      </c>
      <c r="D20" s="475">
        <f t="shared" si="13"/>
        <v>291491289</v>
      </c>
      <c r="E20" s="473">
        <f t="shared" si="13"/>
        <v>0</v>
      </c>
      <c r="F20" s="474">
        <f t="shared" si="13"/>
        <v>0</v>
      </c>
      <c r="G20" s="475">
        <f t="shared" si="13"/>
        <v>0</v>
      </c>
      <c r="H20" s="473">
        <f t="shared" si="13"/>
        <v>308000000</v>
      </c>
      <c r="I20" s="474">
        <f t="shared" si="13"/>
        <v>291491289</v>
      </c>
      <c r="J20" s="475">
        <f t="shared" si="13"/>
        <v>291491289</v>
      </c>
    </row>
    <row r="21" spans="1:10" s="470" customFormat="1" ht="12">
      <c r="A21" s="466" t="s">
        <v>266</v>
      </c>
      <c r="B21" s="467">
        <f t="shared" ref="B21:J21" si="14">SUM(B22)</f>
        <v>308000000</v>
      </c>
      <c r="C21" s="468">
        <f t="shared" si="14"/>
        <v>291491289</v>
      </c>
      <c r="D21" s="469">
        <f t="shared" si="14"/>
        <v>291491289</v>
      </c>
      <c r="E21" s="467">
        <f t="shared" si="14"/>
        <v>0</v>
      </c>
      <c r="F21" s="468">
        <f t="shared" si="14"/>
        <v>0</v>
      </c>
      <c r="G21" s="469">
        <f t="shared" si="14"/>
        <v>0</v>
      </c>
      <c r="H21" s="467">
        <f t="shared" si="14"/>
        <v>308000000</v>
      </c>
      <c r="I21" s="468">
        <f t="shared" si="14"/>
        <v>291491289</v>
      </c>
      <c r="J21" s="469">
        <f t="shared" si="14"/>
        <v>291491289</v>
      </c>
    </row>
    <row r="22" spans="1:10">
      <c r="A22" s="459" t="s">
        <v>267</v>
      </c>
      <c r="B22" s="454">
        <v>308000000</v>
      </c>
      <c r="C22" s="460">
        <v>291491289</v>
      </c>
      <c r="D22" s="461">
        <f>+C22</f>
        <v>291491289</v>
      </c>
      <c r="E22" s="454"/>
      <c r="F22" s="460"/>
      <c r="G22" s="461"/>
      <c r="H22" s="454">
        <f t="shared" ref="H22:J23" si="15">+B22+E22</f>
        <v>308000000</v>
      </c>
      <c r="I22" s="460">
        <f t="shared" si="15"/>
        <v>291491289</v>
      </c>
      <c r="J22" s="461">
        <f t="shared" si="15"/>
        <v>291491289</v>
      </c>
    </row>
    <row r="23" spans="1:10" s="470" customFormat="1" thickBot="1">
      <c r="A23" s="476" t="s">
        <v>268</v>
      </c>
      <c r="B23" s="477"/>
      <c r="C23" s="478"/>
      <c r="D23" s="479"/>
      <c r="E23" s="477"/>
      <c r="F23" s="478"/>
      <c r="G23" s="479"/>
      <c r="H23" s="477">
        <f t="shared" si="15"/>
        <v>0</v>
      </c>
      <c r="I23" s="478">
        <f t="shared" si="15"/>
        <v>0</v>
      </c>
      <c r="J23" s="479">
        <f t="shared" si="15"/>
        <v>0</v>
      </c>
    </row>
    <row r="24" spans="1:10" s="418" customFormat="1" ht="13.5" thickBot="1">
      <c r="A24" s="450" t="s">
        <v>269</v>
      </c>
      <c r="B24" s="451">
        <f>+B7+B8+B12</f>
        <v>5876076196</v>
      </c>
      <c r="C24" s="451">
        <f>+C7+C8+C12</f>
        <v>5545150096</v>
      </c>
      <c r="D24" s="451">
        <f>+D7+D8+D12</f>
        <v>4640931074.3000002</v>
      </c>
      <c r="E24" s="451">
        <f t="shared" ref="E24:J24" si="16">+E7+E8+E12+E20</f>
        <v>1977719678</v>
      </c>
      <c r="F24" s="452">
        <f t="shared" si="16"/>
        <v>1967342493</v>
      </c>
      <c r="G24" s="453">
        <f t="shared" si="16"/>
        <v>1967342493</v>
      </c>
      <c r="H24" s="451">
        <f t="shared" si="16"/>
        <v>7853795874</v>
      </c>
      <c r="I24" s="452">
        <f t="shared" si="16"/>
        <v>7512492589</v>
      </c>
      <c r="J24" s="453">
        <f t="shared" si="16"/>
        <v>6608273567.3000002</v>
      </c>
    </row>
    <row r="25" spans="1:10" ht="13.5" thickBot="1">
      <c r="A25" s="480"/>
      <c r="B25" s="481" t="s">
        <v>241</v>
      </c>
      <c r="C25" s="482"/>
      <c r="D25" s="483"/>
      <c r="E25" s="481"/>
      <c r="F25" s="482"/>
      <c r="G25" s="483"/>
      <c r="H25" s="481"/>
      <c r="I25" s="482"/>
      <c r="J25" s="483"/>
    </row>
    <row r="26" spans="1:10" s="418" customFormat="1" ht="13.5" thickBot="1">
      <c r="A26" s="450" t="s">
        <v>270</v>
      </c>
      <c r="B26" s="451">
        <f t="shared" ref="B26:J26" si="17">+B27+B48</f>
        <v>29203600736</v>
      </c>
      <c r="C26" s="451">
        <f t="shared" si="17"/>
        <v>28387906813</v>
      </c>
      <c r="D26" s="451">
        <f t="shared" si="17"/>
        <v>8574041543.0600014</v>
      </c>
      <c r="E26" s="451">
        <f t="shared" si="17"/>
        <v>2680000000</v>
      </c>
      <c r="F26" s="451">
        <f t="shared" si="17"/>
        <v>2635226410</v>
      </c>
      <c r="G26" s="451">
        <f t="shared" si="17"/>
        <v>1769127691</v>
      </c>
      <c r="H26" s="451">
        <f t="shared" si="17"/>
        <v>31883600736</v>
      </c>
      <c r="I26" s="451">
        <f t="shared" si="17"/>
        <v>31023133223</v>
      </c>
      <c r="J26" s="451">
        <f t="shared" si="17"/>
        <v>10343169234.060001</v>
      </c>
    </row>
    <row r="27" spans="1:10" s="470" customFormat="1" ht="13.5" thickBot="1">
      <c r="A27" s="484" t="s">
        <v>516</v>
      </c>
      <c r="B27" s="451">
        <f t="shared" ref="B27:J27" si="18">+B28+B32+B36+B39+B42+B44</f>
        <v>3909205914</v>
      </c>
      <c r="C27" s="451">
        <f t="shared" si="18"/>
        <v>3861791579</v>
      </c>
      <c r="D27" s="451">
        <f t="shared" si="18"/>
        <v>2666840536.6960006</v>
      </c>
      <c r="E27" s="451">
        <f t="shared" si="18"/>
        <v>2680000000</v>
      </c>
      <c r="F27" s="451">
        <f t="shared" si="18"/>
        <v>2635226410</v>
      </c>
      <c r="G27" s="451">
        <f t="shared" si="18"/>
        <v>1769127691</v>
      </c>
      <c r="H27" s="451">
        <f t="shared" si="18"/>
        <v>6589205914</v>
      </c>
      <c r="I27" s="451">
        <f t="shared" si="18"/>
        <v>6497017989</v>
      </c>
      <c r="J27" s="451">
        <f t="shared" si="18"/>
        <v>4435968227.6960001</v>
      </c>
    </row>
    <row r="28" spans="1:10">
      <c r="A28" s="485" t="s">
        <v>517</v>
      </c>
      <c r="B28" s="486">
        <f t="shared" ref="B28:I28" si="19">SUM(B29:B31)</f>
        <v>782504558</v>
      </c>
      <c r="C28" s="487">
        <f t="shared" si="19"/>
        <v>764432558</v>
      </c>
      <c r="D28" s="488">
        <f t="shared" ref="D28" si="20">SUM(D29:D31)</f>
        <v>401946464.33600003</v>
      </c>
      <c r="E28" s="486">
        <f t="shared" si="19"/>
        <v>0</v>
      </c>
      <c r="F28" s="487">
        <f t="shared" si="19"/>
        <v>0</v>
      </c>
      <c r="G28" s="488">
        <f t="shared" ref="G28" si="21">SUM(G29:G31)</f>
        <v>0</v>
      </c>
      <c r="H28" s="486">
        <f t="shared" si="19"/>
        <v>782504558</v>
      </c>
      <c r="I28" s="487">
        <f t="shared" si="19"/>
        <v>764432558</v>
      </c>
      <c r="J28" s="488">
        <f t="shared" ref="J28" si="22">SUM(J29:J31)</f>
        <v>401946464.33600003</v>
      </c>
    </row>
    <row r="29" spans="1:10" ht="21">
      <c r="A29" s="489" t="s">
        <v>518</v>
      </c>
      <c r="B29" s="490">
        <v>427038674</v>
      </c>
      <c r="C29" s="491">
        <v>408966674</v>
      </c>
      <c r="D29" s="492">
        <f>295691705*1.004</f>
        <v>296874471.81999999</v>
      </c>
      <c r="E29" s="490"/>
      <c r="F29" s="491"/>
      <c r="G29" s="492"/>
      <c r="H29" s="490">
        <f t="shared" ref="H29:J31" si="23">+B29+E29</f>
        <v>427038674</v>
      </c>
      <c r="I29" s="491">
        <f t="shared" si="23"/>
        <v>408966674</v>
      </c>
      <c r="J29" s="492">
        <f t="shared" si="23"/>
        <v>296874471.81999999</v>
      </c>
    </row>
    <row r="30" spans="1:10" ht="21">
      <c r="A30" s="489" t="s">
        <v>519</v>
      </c>
      <c r="B30" s="490">
        <v>156891409</v>
      </c>
      <c r="C30" s="491">
        <v>156891409</v>
      </c>
      <c r="D30" s="492">
        <f>70664759*1.004</f>
        <v>70947418.035999998</v>
      </c>
      <c r="E30" s="490"/>
      <c r="F30" s="491"/>
      <c r="G30" s="492"/>
      <c r="H30" s="490">
        <f t="shared" si="23"/>
        <v>156891409</v>
      </c>
      <c r="I30" s="491">
        <f t="shared" si="23"/>
        <v>156891409</v>
      </c>
      <c r="J30" s="492">
        <f t="shared" si="23"/>
        <v>70947418.035999998</v>
      </c>
    </row>
    <row r="31" spans="1:10" s="470" customFormat="1" ht="21">
      <c r="A31" s="489" t="s">
        <v>520</v>
      </c>
      <c r="B31" s="490">
        <v>198574475</v>
      </c>
      <c r="C31" s="491">
        <v>198574475</v>
      </c>
      <c r="D31" s="492">
        <f>33988620*1.004</f>
        <v>34124574.479999997</v>
      </c>
      <c r="E31" s="490"/>
      <c r="F31" s="491"/>
      <c r="G31" s="492"/>
      <c r="H31" s="490">
        <f t="shared" si="23"/>
        <v>198574475</v>
      </c>
      <c r="I31" s="491">
        <f t="shared" si="23"/>
        <v>198574475</v>
      </c>
      <c r="J31" s="492">
        <f t="shared" si="23"/>
        <v>34124574.479999997</v>
      </c>
    </row>
    <row r="32" spans="1:10">
      <c r="A32" s="493" t="s">
        <v>521</v>
      </c>
      <c r="B32" s="494">
        <f>SUM(B33:B34)</f>
        <v>461133354</v>
      </c>
      <c r="C32" s="495">
        <f>SUM(C33:C34)</f>
        <v>461133354</v>
      </c>
      <c r="D32" s="496">
        <f>SUM(D33:D34)</f>
        <v>414593635.472</v>
      </c>
      <c r="E32" s="494">
        <f>+E35</f>
        <v>2680000000</v>
      </c>
      <c r="F32" s="495">
        <f>+F35</f>
        <v>2635226410</v>
      </c>
      <c r="G32" s="496">
        <f>+G35</f>
        <v>1769127691</v>
      </c>
      <c r="H32" s="494">
        <f>SUM(H33:H35)</f>
        <v>3141133354</v>
      </c>
      <c r="I32" s="495">
        <f>SUM(I33:I35)</f>
        <v>3096359764</v>
      </c>
      <c r="J32" s="496">
        <f>SUM(J33:J35)</f>
        <v>2183721326.4720001</v>
      </c>
    </row>
    <row r="33" spans="1:10">
      <c r="A33" s="489" t="s">
        <v>522</v>
      </c>
      <c r="B33" s="490">
        <v>27107074</v>
      </c>
      <c r="C33" s="491">
        <f>+B33</f>
        <v>27107074</v>
      </c>
      <c r="D33" s="492">
        <f>26999078*1.004</f>
        <v>27107074.311999999</v>
      </c>
      <c r="E33" s="490">
        <v>0</v>
      </c>
      <c r="F33" s="491"/>
      <c r="G33" s="492"/>
      <c r="H33" s="490">
        <f t="shared" ref="H33:J46" si="24">+B33+E33</f>
        <v>27107074</v>
      </c>
      <c r="I33" s="491">
        <f t="shared" si="24"/>
        <v>27107074</v>
      </c>
      <c r="J33" s="492">
        <f t="shared" si="24"/>
        <v>27107074.311999999</v>
      </c>
    </row>
    <row r="34" spans="1:10">
      <c r="A34" s="489" t="s">
        <v>523</v>
      </c>
      <c r="B34" s="490">
        <v>434026280</v>
      </c>
      <c r="C34" s="491">
        <f>+B34</f>
        <v>434026280</v>
      </c>
      <c r="D34" s="492">
        <f>385942790*1.004</f>
        <v>387486561.16000003</v>
      </c>
      <c r="E34" s="490"/>
      <c r="F34" s="491"/>
      <c r="G34" s="492"/>
      <c r="H34" s="490">
        <f t="shared" si="24"/>
        <v>434026280</v>
      </c>
      <c r="I34" s="491">
        <f t="shared" si="24"/>
        <v>434026280</v>
      </c>
      <c r="J34" s="492">
        <f t="shared" si="24"/>
        <v>387486561.16000003</v>
      </c>
    </row>
    <row r="35" spans="1:10">
      <c r="A35" s="497" t="s">
        <v>524</v>
      </c>
      <c r="B35" s="491"/>
      <c r="C35" s="491"/>
      <c r="D35" s="491"/>
      <c r="E35" s="491">
        <v>2680000000</v>
      </c>
      <c r="F35" s="491">
        <v>2635226410</v>
      </c>
      <c r="G35" s="491">
        <v>1769127691</v>
      </c>
      <c r="H35" s="490">
        <f t="shared" si="24"/>
        <v>2680000000</v>
      </c>
      <c r="I35" s="491">
        <f t="shared" si="24"/>
        <v>2635226410</v>
      </c>
      <c r="J35" s="492">
        <f t="shared" si="24"/>
        <v>1769127691</v>
      </c>
    </row>
    <row r="36" spans="1:10" s="418" customFormat="1">
      <c r="A36" s="498" t="s">
        <v>525</v>
      </c>
      <c r="B36" s="498">
        <f>SUM(B37:B38)</f>
        <v>112711735</v>
      </c>
      <c r="C36" s="498">
        <f t="shared" ref="C36:D36" si="25">SUM(C37:C38)</f>
        <v>112711735</v>
      </c>
      <c r="D36" s="498">
        <f t="shared" si="25"/>
        <v>87513568.636000007</v>
      </c>
      <c r="E36" s="498"/>
      <c r="F36" s="498"/>
      <c r="G36" s="498"/>
      <c r="H36" s="499">
        <f t="shared" si="24"/>
        <v>112711735</v>
      </c>
      <c r="I36" s="498">
        <f t="shared" si="24"/>
        <v>112711735</v>
      </c>
      <c r="J36" s="500">
        <f t="shared" si="24"/>
        <v>87513568.636000007</v>
      </c>
    </row>
    <row r="37" spans="1:10">
      <c r="A37" s="489" t="s">
        <v>526</v>
      </c>
      <c r="B37" s="491">
        <v>63924612</v>
      </c>
      <c r="C37" s="491">
        <v>63924612</v>
      </c>
      <c r="D37" s="491">
        <f>43693579*1.004</f>
        <v>43868353.316</v>
      </c>
      <c r="E37" s="491"/>
      <c r="F37" s="491"/>
      <c r="G37" s="491"/>
      <c r="H37" s="490">
        <f t="shared" si="24"/>
        <v>63924612</v>
      </c>
      <c r="I37" s="491">
        <f t="shared" si="24"/>
        <v>63924612</v>
      </c>
      <c r="J37" s="492">
        <f t="shared" si="24"/>
        <v>43868353.316</v>
      </c>
    </row>
    <row r="38" spans="1:10" s="418" customFormat="1" ht="27.75" customHeight="1">
      <c r="A38" s="489" t="s">
        <v>527</v>
      </c>
      <c r="B38" s="491">
        <v>48787123</v>
      </c>
      <c r="C38" s="491">
        <v>48787123</v>
      </c>
      <c r="D38" s="491">
        <f>43471330*1.004</f>
        <v>43645215.32</v>
      </c>
      <c r="E38" s="491"/>
      <c r="F38" s="491"/>
      <c r="G38" s="491"/>
      <c r="H38" s="490">
        <f t="shared" si="24"/>
        <v>48787123</v>
      </c>
      <c r="I38" s="491">
        <f t="shared" si="24"/>
        <v>48787123</v>
      </c>
      <c r="J38" s="492">
        <f t="shared" si="24"/>
        <v>43645215.32</v>
      </c>
    </row>
    <row r="39" spans="1:10" ht="18" customHeight="1">
      <c r="A39" s="498" t="s">
        <v>528</v>
      </c>
      <c r="B39" s="498">
        <f>SUM(B40:B41)</f>
        <v>1436913278</v>
      </c>
      <c r="C39" s="498">
        <f t="shared" ref="C39:D39" si="26">SUM(C40:C41)</f>
        <v>1423587008</v>
      </c>
      <c r="D39" s="498">
        <f t="shared" si="26"/>
        <v>1165875555.5320001</v>
      </c>
      <c r="E39" s="498"/>
      <c r="F39" s="498"/>
      <c r="G39" s="498"/>
      <c r="H39" s="499">
        <f t="shared" si="24"/>
        <v>1436913278</v>
      </c>
      <c r="I39" s="498">
        <f t="shared" si="24"/>
        <v>1423587008</v>
      </c>
      <c r="J39" s="500">
        <f t="shared" si="24"/>
        <v>1165875555.5320001</v>
      </c>
    </row>
    <row r="40" spans="1:10">
      <c r="A40" s="489" t="s">
        <v>529</v>
      </c>
      <c r="B40" s="491">
        <v>1116914749</v>
      </c>
      <c r="C40" s="491">
        <v>1103588479</v>
      </c>
      <c r="D40" s="491">
        <f>+(923777390-2300000)*1.004</f>
        <v>925163299.56000006</v>
      </c>
      <c r="E40" s="491"/>
      <c r="F40" s="491"/>
      <c r="G40" s="491"/>
      <c r="H40" s="490">
        <f t="shared" si="24"/>
        <v>1116914749</v>
      </c>
      <c r="I40" s="491">
        <f t="shared" si="24"/>
        <v>1103588479</v>
      </c>
      <c r="J40" s="492">
        <f t="shared" si="24"/>
        <v>925163299.56000006</v>
      </c>
    </row>
    <row r="41" spans="1:10" ht="21">
      <c r="A41" s="489" t="s">
        <v>530</v>
      </c>
      <c r="B41" s="491">
        <v>319998529</v>
      </c>
      <c r="C41" s="491">
        <v>319998529</v>
      </c>
      <c r="D41" s="491">
        <f>239753243*1.004</f>
        <v>240712255.972</v>
      </c>
      <c r="E41" s="491"/>
      <c r="F41" s="491"/>
      <c r="G41" s="491"/>
      <c r="H41" s="490">
        <f t="shared" si="24"/>
        <v>319998529</v>
      </c>
      <c r="I41" s="491">
        <f t="shared" si="24"/>
        <v>319998529</v>
      </c>
      <c r="J41" s="492">
        <f t="shared" si="24"/>
        <v>240712255.972</v>
      </c>
    </row>
    <row r="42" spans="1:10">
      <c r="A42" s="498" t="s">
        <v>531</v>
      </c>
      <c r="B42" s="498">
        <f>+B43</f>
        <v>164418432</v>
      </c>
      <c r="C42" s="498">
        <f t="shared" ref="C42:D42" si="27">+C43</f>
        <v>164418432</v>
      </c>
      <c r="D42" s="498">
        <f t="shared" si="27"/>
        <v>138651045.604</v>
      </c>
      <c r="E42" s="498"/>
      <c r="F42" s="498"/>
      <c r="G42" s="498"/>
      <c r="H42" s="499">
        <f t="shared" si="24"/>
        <v>164418432</v>
      </c>
      <c r="I42" s="498">
        <f t="shared" si="24"/>
        <v>164418432</v>
      </c>
      <c r="J42" s="500">
        <f t="shared" si="24"/>
        <v>138651045.604</v>
      </c>
    </row>
    <row r="43" spans="1:10" ht="21">
      <c r="A43" s="489" t="s">
        <v>330</v>
      </c>
      <c r="B43" s="491">
        <v>164418432</v>
      </c>
      <c r="C43" s="491">
        <f>+B43</f>
        <v>164418432</v>
      </c>
      <c r="D43" s="491">
        <f>138098651*1.004</f>
        <v>138651045.604</v>
      </c>
      <c r="E43" s="491"/>
      <c r="F43" s="491"/>
      <c r="G43" s="491"/>
      <c r="H43" s="490">
        <f t="shared" si="24"/>
        <v>164418432</v>
      </c>
      <c r="I43" s="491">
        <f t="shared" si="24"/>
        <v>164418432</v>
      </c>
      <c r="J43" s="492">
        <f t="shared" si="24"/>
        <v>138651045.604</v>
      </c>
    </row>
    <row r="44" spans="1:10">
      <c r="A44" s="498" t="s">
        <v>532</v>
      </c>
      <c r="B44" s="498">
        <f>+B45+B46</f>
        <v>951524557</v>
      </c>
      <c r="C44" s="498">
        <f t="shared" ref="C44:D44" si="28">+C45+C46</f>
        <v>935508492</v>
      </c>
      <c r="D44" s="498">
        <f t="shared" si="28"/>
        <v>458260267.116</v>
      </c>
      <c r="E44" s="498"/>
      <c r="F44" s="498"/>
      <c r="G44" s="498"/>
      <c r="H44" s="499">
        <f t="shared" si="24"/>
        <v>951524557</v>
      </c>
      <c r="I44" s="498">
        <f t="shared" si="24"/>
        <v>935508492</v>
      </c>
      <c r="J44" s="500">
        <f t="shared" si="24"/>
        <v>458260267.116</v>
      </c>
    </row>
    <row r="45" spans="1:10" ht="21">
      <c r="A45" s="501" t="s">
        <v>533</v>
      </c>
      <c r="B45" s="491">
        <v>108301948</v>
      </c>
      <c r="C45" s="491">
        <v>108301948</v>
      </c>
      <c r="D45" s="491">
        <f>84646146*1.004</f>
        <v>84984730.584000006</v>
      </c>
      <c r="E45" s="491"/>
      <c r="F45" s="491"/>
      <c r="G45" s="491"/>
      <c r="H45" s="490">
        <f t="shared" si="24"/>
        <v>108301948</v>
      </c>
      <c r="I45" s="491">
        <f t="shared" si="24"/>
        <v>108301948</v>
      </c>
      <c r="J45" s="492">
        <f t="shared" si="24"/>
        <v>84984730.584000006</v>
      </c>
    </row>
    <row r="46" spans="1:10">
      <c r="A46" s="501" t="s">
        <v>534</v>
      </c>
      <c r="B46" s="491">
        <v>843222609</v>
      </c>
      <c r="C46" s="491">
        <v>827206544</v>
      </c>
      <c r="D46" s="491">
        <f>371788383*1.004</f>
        <v>373275536.53200001</v>
      </c>
      <c r="E46" s="491"/>
      <c r="F46" s="491"/>
      <c r="G46" s="491"/>
      <c r="H46" s="490">
        <f t="shared" si="24"/>
        <v>843222609</v>
      </c>
      <c r="I46" s="491">
        <f t="shared" si="24"/>
        <v>827206544</v>
      </c>
      <c r="J46" s="492">
        <f t="shared" si="24"/>
        <v>373275536.53200001</v>
      </c>
    </row>
    <row r="47" spans="1:10">
      <c r="A47" s="491"/>
      <c r="B47" s="491"/>
      <c r="C47" s="491"/>
      <c r="D47" s="491"/>
      <c r="E47" s="491"/>
      <c r="F47" s="491"/>
      <c r="G47" s="491"/>
      <c r="H47" s="491"/>
      <c r="I47" s="491"/>
      <c r="J47" s="491"/>
    </row>
    <row r="48" spans="1:10">
      <c r="A48" s="498" t="s">
        <v>535</v>
      </c>
      <c r="B48" s="498">
        <f>+B50+B54+B57+B60+B62+B65</f>
        <v>25294394822</v>
      </c>
      <c r="C48" s="498">
        <f t="shared" ref="C48:D48" si="29">+C50+C54+C57+C60+C62+C65</f>
        <v>24526115234</v>
      </c>
      <c r="D48" s="498">
        <f t="shared" si="29"/>
        <v>5907201006.3640013</v>
      </c>
      <c r="E48" s="498"/>
      <c r="F48" s="498"/>
      <c r="G48" s="498"/>
      <c r="H48" s="498">
        <f t="shared" ref="H48:J48" si="30">+H50+H54+H57+H60+H62+H65</f>
        <v>25294394822</v>
      </c>
      <c r="I48" s="498">
        <f t="shared" si="30"/>
        <v>24526115234</v>
      </c>
      <c r="J48" s="498">
        <f t="shared" si="30"/>
        <v>5907201006.3640013</v>
      </c>
    </row>
    <row r="49" spans="1:11">
      <c r="A49" s="491"/>
      <c r="B49" s="491"/>
      <c r="C49" s="491"/>
      <c r="D49" s="491"/>
      <c r="E49" s="491"/>
      <c r="F49" s="491"/>
      <c r="G49" s="491"/>
      <c r="H49" s="490" t="s">
        <v>241</v>
      </c>
      <c r="I49" s="491" t="s">
        <v>241</v>
      </c>
      <c r="J49" s="492" t="s">
        <v>241</v>
      </c>
    </row>
    <row r="50" spans="1:11">
      <c r="A50" s="498" t="s">
        <v>536</v>
      </c>
      <c r="B50" s="498">
        <f>SUM(B51:B53)</f>
        <v>11623124422</v>
      </c>
      <c r="C50" s="498">
        <f t="shared" ref="C50:D50" si="31">SUM(C51:C53)</f>
        <v>11343970665</v>
      </c>
      <c r="D50" s="498">
        <f t="shared" si="31"/>
        <v>4146079270.1040001</v>
      </c>
      <c r="E50" s="498"/>
      <c r="F50" s="498"/>
      <c r="G50" s="498"/>
      <c r="H50" s="490">
        <f t="shared" ref="H50:J68" si="32">+B50+E50</f>
        <v>11623124422</v>
      </c>
      <c r="I50" s="491">
        <f t="shared" si="32"/>
        <v>11343970665</v>
      </c>
      <c r="J50" s="492">
        <f t="shared" si="32"/>
        <v>4146079270.1040001</v>
      </c>
    </row>
    <row r="51" spans="1:11">
      <c r="A51" s="502" t="s">
        <v>537</v>
      </c>
      <c r="B51" s="491">
        <v>4567906787</v>
      </c>
      <c r="C51" s="491">
        <v>4336277236</v>
      </c>
      <c r="D51" s="491">
        <f>+(783218343-12000000)*1.004</f>
        <v>774303216.37199998</v>
      </c>
      <c r="E51" s="491"/>
      <c r="F51" s="491"/>
      <c r="G51" s="491"/>
      <c r="H51" s="490">
        <f t="shared" si="32"/>
        <v>4567906787</v>
      </c>
      <c r="I51" s="491">
        <f t="shared" si="32"/>
        <v>4336277236</v>
      </c>
      <c r="J51" s="492">
        <f t="shared" si="32"/>
        <v>774303216.37199998</v>
      </c>
    </row>
    <row r="52" spans="1:11">
      <c r="A52" s="502" t="s">
        <v>538</v>
      </c>
      <c r="B52" s="491">
        <v>5177984266</v>
      </c>
      <c r="C52" s="491">
        <v>5130460222</v>
      </c>
      <c r="D52" s="491">
        <f>2211896148*1.004</f>
        <v>2220743732.592</v>
      </c>
      <c r="E52" s="491"/>
      <c r="F52" s="491"/>
      <c r="G52" s="491"/>
      <c r="H52" s="490">
        <f t="shared" si="32"/>
        <v>5177984266</v>
      </c>
      <c r="I52" s="491">
        <f t="shared" si="32"/>
        <v>5130460222</v>
      </c>
      <c r="J52" s="492">
        <f t="shared" si="32"/>
        <v>2220743732.592</v>
      </c>
    </row>
    <row r="53" spans="1:11">
      <c r="A53" s="502" t="s">
        <v>539</v>
      </c>
      <c r="B53" s="491">
        <v>1877233369</v>
      </c>
      <c r="C53" s="491">
        <v>1877233207</v>
      </c>
      <c r="D53" s="491">
        <f>1146446535*1.004</f>
        <v>1151032321.1400001</v>
      </c>
      <c r="E53" s="491"/>
      <c r="F53" s="491"/>
      <c r="G53" s="491"/>
      <c r="H53" s="490">
        <f t="shared" si="32"/>
        <v>1877233369</v>
      </c>
      <c r="I53" s="491">
        <f t="shared" si="32"/>
        <v>1877233207</v>
      </c>
      <c r="J53" s="492">
        <f t="shared" si="32"/>
        <v>1151032321.1400001</v>
      </c>
    </row>
    <row r="54" spans="1:11">
      <c r="A54" s="498" t="s">
        <v>521</v>
      </c>
      <c r="B54" s="498">
        <f>+B55+B56</f>
        <v>1401749473</v>
      </c>
      <c r="C54" s="498">
        <f t="shared" ref="C54:D54" si="33">+C55+C56</f>
        <v>1359480148</v>
      </c>
      <c r="D54" s="498">
        <f t="shared" si="33"/>
        <v>153557330.192</v>
      </c>
      <c r="E54" s="498"/>
      <c r="F54" s="498"/>
      <c r="G54" s="498"/>
      <c r="H54" s="499">
        <f t="shared" si="32"/>
        <v>1401749473</v>
      </c>
      <c r="I54" s="498">
        <f t="shared" si="32"/>
        <v>1359480148</v>
      </c>
      <c r="J54" s="500">
        <f t="shared" si="32"/>
        <v>153557330.192</v>
      </c>
    </row>
    <row r="55" spans="1:11">
      <c r="A55" s="502" t="s">
        <v>540</v>
      </c>
      <c r="B55" s="491">
        <v>228446684</v>
      </c>
      <c r="C55" s="491">
        <v>223543821</v>
      </c>
      <c r="D55" s="491">
        <f>19998352*1.004</f>
        <v>20078345.408</v>
      </c>
      <c r="E55" s="491"/>
      <c r="F55" s="491"/>
      <c r="G55" s="491"/>
      <c r="H55" s="490">
        <f t="shared" si="32"/>
        <v>228446684</v>
      </c>
      <c r="I55" s="491">
        <f t="shared" si="32"/>
        <v>223543821</v>
      </c>
      <c r="J55" s="492">
        <f t="shared" si="32"/>
        <v>20078345.408</v>
      </c>
    </row>
    <row r="56" spans="1:11" ht="22.5">
      <c r="A56" s="502" t="s">
        <v>541</v>
      </c>
      <c r="B56" s="491">
        <v>1173302789</v>
      </c>
      <c r="C56" s="491">
        <v>1135936327</v>
      </c>
      <c r="D56" s="491">
        <f>132947196*1.004</f>
        <v>133478984.78399999</v>
      </c>
      <c r="E56" s="491"/>
      <c r="F56" s="491"/>
      <c r="G56" s="491"/>
      <c r="H56" s="490">
        <f t="shared" si="32"/>
        <v>1173302789</v>
      </c>
      <c r="I56" s="491">
        <f t="shared" si="32"/>
        <v>1135936327</v>
      </c>
      <c r="J56" s="492">
        <f t="shared" si="32"/>
        <v>133478984.78399999</v>
      </c>
    </row>
    <row r="57" spans="1:11">
      <c r="A57" s="498" t="s">
        <v>525</v>
      </c>
      <c r="B57" s="498">
        <f>+B58+B59</f>
        <v>5456664440</v>
      </c>
      <c r="C57" s="498">
        <f t="shared" ref="C57:D57" si="34">+C58+C59</f>
        <v>5204500782</v>
      </c>
      <c r="D57" s="498">
        <f t="shared" si="34"/>
        <v>814200112.148</v>
      </c>
      <c r="E57" s="498"/>
      <c r="F57" s="498"/>
      <c r="G57" s="498"/>
      <c r="H57" s="499">
        <f t="shared" si="32"/>
        <v>5456664440</v>
      </c>
      <c r="I57" s="498">
        <f t="shared" si="32"/>
        <v>5204500782</v>
      </c>
      <c r="J57" s="500">
        <f t="shared" si="32"/>
        <v>814200112.148</v>
      </c>
      <c r="K57" s="507"/>
    </row>
    <row r="58" spans="1:11">
      <c r="A58" s="502" t="s">
        <v>542</v>
      </c>
      <c r="B58" s="491">
        <v>5309870207</v>
      </c>
      <c r="C58" s="491">
        <v>5080894612</v>
      </c>
      <c r="D58" s="491">
        <f>810956287*1.004</f>
        <v>814200112.148</v>
      </c>
      <c r="E58" s="491"/>
      <c r="F58" s="491"/>
      <c r="G58" s="491"/>
      <c r="H58" s="490">
        <f t="shared" si="32"/>
        <v>5309870207</v>
      </c>
      <c r="I58" s="491">
        <f t="shared" si="32"/>
        <v>5080894612</v>
      </c>
      <c r="J58" s="492">
        <f t="shared" si="32"/>
        <v>814200112.148</v>
      </c>
    </row>
    <row r="59" spans="1:11">
      <c r="A59" s="502" t="s">
        <v>543</v>
      </c>
      <c r="B59" s="491">
        <v>146794233</v>
      </c>
      <c r="C59" s="491">
        <v>123606170</v>
      </c>
      <c r="D59" s="491">
        <v>0</v>
      </c>
      <c r="E59" s="491"/>
      <c r="F59" s="491"/>
      <c r="G59" s="491"/>
      <c r="H59" s="490">
        <f t="shared" si="32"/>
        <v>146794233</v>
      </c>
      <c r="I59" s="491">
        <f t="shared" si="32"/>
        <v>123606170</v>
      </c>
      <c r="J59" s="492">
        <f t="shared" si="32"/>
        <v>0</v>
      </c>
    </row>
    <row r="60" spans="1:11">
      <c r="A60" s="498" t="s">
        <v>528</v>
      </c>
      <c r="B60" s="498">
        <f>+B61</f>
        <v>969138112</v>
      </c>
      <c r="C60" s="498">
        <f t="shared" ref="C60:D60" si="35">+C61</f>
        <v>946809218</v>
      </c>
      <c r="D60" s="498">
        <f t="shared" si="35"/>
        <v>289301019.704</v>
      </c>
      <c r="E60" s="498"/>
      <c r="F60" s="498"/>
      <c r="G60" s="498"/>
      <c r="H60" s="499">
        <f t="shared" si="32"/>
        <v>969138112</v>
      </c>
      <c r="I60" s="498">
        <f t="shared" si="32"/>
        <v>946809218</v>
      </c>
      <c r="J60" s="500">
        <f t="shared" si="32"/>
        <v>289301019.704</v>
      </c>
    </row>
    <row r="61" spans="1:11">
      <c r="A61" s="502" t="s">
        <v>544</v>
      </c>
      <c r="B61" s="491">
        <v>969138112</v>
      </c>
      <c r="C61" s="491">
        <v>946809218</v>
      </c>
      <c r="D61" s="491">
        <f>288148426*1.004</f>
        <v>289301019.704</v>
      </c>
      <c r="E61" s="491"/>
      <c r="F61" s="491"/>
      <c r="G61" s="491"/>
      <c r="H61" s="490">
        <f t="shared" si="32"/>
        <v>969138112</v>
      </c>
      <c r="I61" s="491">
        <f t="shared" si="32"/>
        <v>946809218</v>
      </c>
      <c r="J61" s="492">
        <f t="shared" si="32"/>
        <v>289301019.704</v>
      </c>
    </row>
    <row r="62" spans="1:11">
      <c r="A62" s="498" t="s">
        <v>531</v>
      </c>
      <c r="B62" s="498">
        <f>+B63+B64</f>
        <v>2155572599</v>
      </c>
      <c r="C62" s="498">
        <f t="shared" ref="C62:D62" si="36">+C63+C64</f>
        <v>2099832713</v>
      </c>
      <c r="D62" s="498">
        <f t="shared" si="36"/>
        <v>163594367.38800001</v>
      </c>
      <c r="E62" s="498"/>
      <c r="F62" s="498"/>
      <c r="G62" s="498"/>
      <c r="H62" s="499">
        <f t="shared" si="32"/>
        <v>2155572599</v>
      </c>
      <c r="I62" s="498">
        <f t="shared" si="32"/>
        <v>2099832713</v>
      </c>
      <c r="J62" s="500">
        <f t="shared" si="32"/>
        <v>163594367.38800001</v>
      </c>
    </row>
    <row r="63" spans="1:11">
      <c r="A63" s="502" t="s">
        <v>545</v>
      </c>
      <c r="B63" s="491">
        <v>368114522</v>
      </c>
      <c r="C63" s="491">
        <v>321140379</v>
      </c>
      <c r="D63" s="491">
        <f>130437367*1.004</f>
        <v>130959116.46799999</v>
      </c>
      <c r="E63" s="491"/>
      <c r="F63" s="491"/>
      <c r="G63" s="491"/>
      <c r="H63" s="490">
        <f t="shared" si="32"/>
        <v>368114522</v>
      </c>
      <c r="I63" s="491">
        <f t="shared" si="32"/>
        <v>321140379</v>
      </c>
      <c r="J63" s="492">
        <f t="shared" si="32"/>
        <v>130959116.46799999</v>
      </c>
    </row>
    <row r="64" spans="1:11">
      <c r="A64" s="502" t="s">
        <v>546</v>
      </c>
      <c r="B64" s="491">
        <v>1787458077</v>
      </c>
      <c r="C64" s="491">
        <v>1778692334</v>
      </c>
      <c r="D64" s="491">
        <f>32505230*1.004</f>
        <v>32635250.920000002</v>
      </c>
      <c r="E64" s="491"/>
      <c r="F64" s="491"/>
      <c r="G64" s="491"/>
      <c r="H64" s="490">
        <f t="shared" si="32"/>
        <v>1787458077</v>
      </c>
      <c r="I64" s="491">
        <f t="shared" si="32"/>
        <v>1778692334</v>
      </c>
      <c r="J64" s="492">
        <f t="shared" si="32"/>
        <v>32635250.920000002</v>
      </c>
    </row>
    <row r="65" spans="1:11">
      <c r="A65" s="498" t="s">
        <v>532</v>
      </c>
      <c r="B65" s="498">
        <f>+B66+B67</f>
        <v>3688145776</v>
      </c>
      <c r="C65" s="498">
        <f t="shared" ref="C65:D65" si="37">+C66+C67</f>
        <v>3571521708</v>
      </c>
      <c r="D65" s="498">
        <f t="shared" si="37"/>
        <v>340468906.82799995</v>
      </c>
      <c r="E65" s="498"/>
      <c r="F65" s="498"/>
      <c r="G65" s="498"/>
      <c r="H65" s="499">
        <f t="shared" si="32"/>
        <v>3688145776</v>
      </c>
      <c r="I65" s="498">
        <f t="shared" si="32"/>
        <v>3571521708</v>
      </c>
      <c r="J65" s="500">
        <f t="shared" si="32"/>
        <v>340468906.82799995</v>
      </c>
    </row>
    <row r="66" spans="1:11">
      <c r="A66" s="502" t="s">
        <v>547</v>
      </c>
      <c r="B66" s="491">
        <v>2242564208</v>
      </c>
      <c r="C66" s="491">
        <v>2173142971</v>
      </c>
      <c r="D66" s="491">
        <f>198916149*1.004</f>
        <v>199711813.59599999</v>
      </c>
      <c r="E66" s="491"/>
      <c r="F66" s="491"/>
      <c r="G66" s="491"/>
      <c r="H66" s="490">
        <f t="shared" si="32"/>
        <v>2242564208</v>
      </c>
      <c r="I66" s="491">
        <f t="shared" si="32"/>
        <v>2173142971</v>
      </c>
      <c r="J66" s="492">
        <f t="shared" si="32"/>
        <v>199711813.59599999</v>
      </c>
    </row>
    <row r="67" spans="1:11">
      <c r="A67" s="502" t="s">
        <v>548</v>
      </c>
      <c r="B67" s="491">
        <v>1445581568</v>
      </c>
      <c r="C67" s="491">
        <v>1398378737</v>
      </c>
      <c r="D67" s="491">
        <f>140196308*1.004</f>
        <v>140757093.23199999</v>
      </c>
      <c r="E67" s="491"/>
      <c r="F67" s="491"/>
      <c r="G67" s="491"/>
      <c r="H67" s="490">
        <f t="shared" si="32"/>
        <v>1445581568</v>
      </c>
      <c r="I67" s="491">
        <f t="shared" si="32"/>
        <v>1398378737</v>
      </c>
      <c r="J67" s="492">
        <f t="shared" si="32"/>
        <v>140757093.23199999</v>
      </c>
    </row>
    <row r="68" spans="1:11">
      <c r="A68" s="491"/>
      <c r="B68" s="491"/>
      <c r="C68" s="491"/>
      <c r="D68" s="491"/>
      <c r="E68" s="491"/>
      <c r="F68" s="491"/>
      <c r="G68" s="491"/>
      <c r="H68" s="490">
        <f t="shared" si="32"/>
        <v>0</v>
      </c>
      <c r="I68" s="491">
        <f t="shared" si="32"/>
        <v>0</v>
      </c>
      <c r="J68" s="492">
        <f t="shared" si="32"/>
        <v>0</v>
      </c>
      <c r="K68" s="507"/>
    </row>
    <row r="69" spans="1:11" ht="13.5" thickBot="1">
      <c r="A69" s="503"/>
      <c r="B69" s="504"/>
      <c r="C69" s="505"/>
      <c r="D69" s="506"/>
      <c r="E69" s="504"/>
      <c r="F69" s="505"/>
      <c r="G69" s="506"/>
      <c r="H69" s="504">
        <f t="shared" ref="H69:J69" si="38">+B69+E69</f>
        <v>0</v>
      </c>
      <c r="I69" s="505">
        <f t="shared" si="38"/>
        <v>0</v>
      </c>
      <c r="J69" s="506">
        <f t="shared" si="38"/>
        <v>0</v>
      </c>
    </row>
    <row r="70" spans="1:11" ht="13.5" thickBot="1">
      <c r="A70" s="450" t="s">
        <v>549</v>
      </c>
      <c r="B70" s="451">
        <f>+B26</f>
        <v>29203600736</v>
      </c>
      <c r="C70" s="451">
        <f>+C26</f>
        <v>28387906813</v>
      </c>
      <c r="D70" s="451">
        <f t="shared" ref="D70:J70" si="39">+D26</f>
        <v>8574041543.0600014</v>
      </c>
      <c r="E70" s="451">
        <f t="shared" si="39"/>
        <v>2680000000</v>
      </c>
      <c r="F70" s="451">
        <f t="shared" si="39"/>
        <v>2635226410</v>
      </c>
      <c r="G70" s="451">
        <f t="shared" si="39"/>
        <v>1769127691</v>
      </c>
      <c r="H70" s="451">
        <f t="shared" si="39"/>
        <v>31883600736</v>
      </c>
      <c r="I70" s="451">
        <f t="shared" si="39"/>
        <v>31023133223</v>
      </c>
      <c r="J70" s="451">
        <f t="shared" si="39"/>
        <v>10343169234.060001</v>
      </c>
    </row>
  </sheetData>
  <mergeCells count="8">
    <mergeCell ref="A1:I1"/>
    <mergeCell ref="A2:J2"/>
    <mergeCell ref="A3:J3"/>
    <mergeCell ref="B4:J4"/>
    <mergeCell ref="A5:A6"/>
    <mergeCell ref="B5:D5"/>
    <mergeCell ref="E5:G5"/>
    <mergeCell ref="H5:J5"/>
  </mergeCells>
  <printOptions horizontalCentered="1" verticalCentered="1"/>
  <pageMargins left="0.78740157480314965" right="0.78740157480314965" top="0.98425196850393704" bottom="0.98425196850393704" header="0" footer="0"/>
  <pageSetup paperSize="9" scale="8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5" zoomScale="70" zoomScaleNormal="70" workbookViewId="0">
      <selection activeCell="M19" sqref="M19"/>
    </sheetView>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613"/>
      <c r="C1" s="613"/>
      <c r="D1" s="613"/>
      <c r="E1" s="613"/>
      <c r="F1" s="613"/>
      <c r="G1" s="613"/>
      <c r="H1" s="613"/>
      <c r="I1" s="613"/>
      <c r="J1" s="613"/>
      <c r="K1" s="613"/>
      <c r="L1" s="613"/>
      <c r="M1" s="614"/>
    </row>
    <row r="2" spans="1:14" ht="23.25">
      <c r="A2" s="21"/>
      <c r="B2" s="615"/>
      <c r="C2" s="615"/>
      <c r="D2" s="615"/>
      <c r="E2" s="615"/>
      <c r="F2" s="615"/>
      <c r="G2" s="615"/>
      <c r="H2" s="615"/>
      <c r="I2" s="615"/>
      <c r="J2" s="615"/>
      <c r="K2" s="615"/>
      <c r="L2" s="615"/>
      <c r="M2" s="616"/>
    </row>
    <row r="3" spans="1:14" ht="24" thickBot="1">
      <c r="A3" s="21"/>
      <c r="B3" s="615" t="s">
        <v>2</v>
      </c>
      <c r="C3" s="615"/>
      <c r="D3" s="615"/>
      <c r="E3" s="615"/>
      <c r="F3" s="615"/>
      <c r="G3" s="615"/>
      <c r="H3" s="615"/>
      <c r="I3" s="615"/>
      <c r="J3" s="615"/>
      <c r="K3" s="615"/>
      <c r="L3" s="615"/>
      <c r="M3" s="616"/>
    </row>
    <row r="4" spans="1:14" ht="24" hidden="1" thickBot="1">
      <c r="A4" s="21"/>
      <c r="B4" s="617" t="s">
        <v>160</v>
      </c>
      <c r="C4" s="617"/>
      <c r="D4" s="617"/>
      <c r="E4" s="617"/>
      <c r="F4" s="617"/>
      <c r="G4" s="617"/>
      <c r="H4" s="617"/>
      <c r="I4" s="617"/>
      <c r="J4" s="617"/>
      <c r="K4" s="617"/>
      <c r="L4" s="617"/>
      <c r="M4" s="618"/>
    </row>
    <row r="5" spans="1:14" ht="30.75" hidden="1" thickBot="1">
      <c r="A5" s="21"/>
      <c r="B5" s="17"/>
      <c r="C5" s="17"/>
      <c r="D5" s="17"/>
      <c r="E5" s="17"/>
      <c r="F5" s="17"/>
      <c r="G5" s="17"/>
      <c r="H5" s="17"/>
      <c r="I5" s="17"/>
      <c r="J5" s="17"/>
      <c r="K5" s="17"/>
      <c r="L5" s="17"/>
      <c r="M5" s="34"/>
    </row>
    <row r="6" spans="1:14" ht="20.25">
      <c r="A6" s="18"/>
      <c r="B6" s="19" t="s">
        <v>85</v>
      </c>
      <c r="C6" s="19" t="s">
        <v>86</v>
      </c>
      <c r="D6" s="19"/>
      <c r="E6" s="19" t="s">
        <v>85</v>
      </c>
      <c r="F6" s="19" t="s">
        <v>87</v>
      </c>
      <c r="G6" s="19" t="s">
        <v>88</v>
      </c>
      <c r="H6" s="19" t="s">
        <v>89</v>
      </c>
      <c r="I6" s="19" t="s">
        <v>90</v>
      </c>
      <c r="J6" s="19" t="s">
        <v>91</v>
      </c>
      <c r="K6" s="19" t="s">
        <v>92</v>
      </c>
      <c r="L6" s="19" t="s">
        <v>93</v>
      </c>
      <c r="M6" s="37" t="s">
        <v>163</v>
      </c>
    </row>
    <row r="7" spans="1:14" ht="126.75" customHeight="1">
      <c r="A7" s="54" t="s">
        <v>3</v>
      </c>
      <c r="B7" s="44" t="s">
        <v>4</v>
      </c>
      <c r="C7" s="22" t="s">
        <v>172</v>
      </c>
      <c r="D7" s="36" t="s">
        <v>173</v>
      </c>
      <c r="E7" s="36" t="s">
        <v>94</v>
      </c>
      <c r="F7" s="35" t="s">
        <v>152</v>
      </c>
      <c r="G7" s="35" t="s">
        <v>153</v>
      </c>
      <c r="H7" s="35" t="s">
        <v>154</v>
      </c>
      <c r="I7" s="35" t="s">
        <v>188</v>
      </c>
      <c r="J7" s="35" t="s">
        <v>155</v>
      </c>
      <c r="K7" s="35" t="s">
        <v>95</v>
      </c>
      <c r="L7" s="35" t="s">
        <v>96</v>
      </c>
      <c r="M7" s="26" t="s">
        <v>97</v>
      </c>
    </row>
    <row r="8" spans="1:14" ht="21.75" customHeight="1">
      <c r="A8" s="619" t="s">
        <v>17</v>
      </c>
      <c r="B8" s="620"/>
      <c r="C8" s="620"/>
      <c r="D8" s="620"/>
      <c r="E8" s="620"/>
      <c r="F8" s="620"/>
      <c r="G8" s="620"/>
      <c r="H8" s="620"/>
      <c r="I8" s="620"/>
      <c r="J8" s="620"/>
      <c r="K8" s="620"/>
      <c r="L8" s="620"/>
      <c r="M8" s="621"/>
    </row>
    <row r="9" spans="1:14" ht="129" customHeight="1">
      <c r="A9" s="41">
        <v>1</v>
      </c>
      <c r="B9" s="40" t="s">
        <v>98</v>
      </c>
      <c r="C9" s="42" t="s">
        <v>141</v>
      </c>
      <c r="D9" s="43">
        <v>106414</v>
      </c>
      <c r="E9" s="43" t="s">
        <v>124</v>
      </c>
      <c r="F9" s="43">
        <v>0</v>
      </c>
      <c r="G9" s="43">
        <v>56864</v>
      </c>
      <c r="H9" s="43">
        <v>50949</v>
      </c>
      <c r="I9" s="43">
        <v>3000</v>
      </c>
      <c r="J9" s="43">
        <f>AVERAGE(F9:I9)</f>
        <v>27703.25</v>
      </c>
      <c r="K9" s="44"/>
      <c r="L9" s="44"/>
      <c r="M9" s="45" t="s">
        <v>174</v>
      </c>
      <c r="N9" s="59"/>
    </row>
    <row r="10" spans="1:14" ht="51" customHeight="1">
      <c r="A10" s="41">
        <f>A9+1</f>
        <v>2</v>
      </c>
      <c r="B10" s="40" t="s">
        <v>99</v>
      </c>
      <c r="C10" s="42" t="s">
        <v>141</v>
      </c>
      <c r="D10" s="43">
        <f>+'[2]acumulado a dic 2014'!$C$8</f>
        <v>330314</v>
      </c>
      <c r="E10" s="43" t="s">
        <v>124</v>
      </c>
      <c r="F10" s="55">
        <v>330314</v>
      </c>
      <c r="G10" s="55">
        <v>330314</v>
      </c>
      <c r="H10" s="55">
        <v>330314</v>
      </c>
      <c r="I10" s="55">
        <v>300000</v>
      </c>
      <c r="J10" s="55">
        <f>AVERAGE(F10:I10)</f>
        <v>322735.5</v>
      </c>
      <c r="K10" s="46"/>
      <c r="L10" s="44"/>
      <c r="M10" s="47"/>
    </row>
    <row r="11" spans="1:14" ht="24.75" customHeight="1">
      <c r="A11" s="622" t="s">
        <v>142</v>
      </c>
      <c r="B11" s="623"/>
      <c r="C11" s="623"/>
      <c r="D11" s="623"/>
      <c r="E11" s="623"/>
      <c r="F11" s="623"/>
      <c r="G11" s="623"/>
      <c r="H11" s="623"/>
      <c r="I11" s="623"/>
      <c r="J11" s="623"/>
      <c r="K11" s="623"/>
      <c r="L11" s="623"/>
      <c r="M11" s="624"/>
    </row>
    <row r="12" spans="1:14" ht="106.5" customHeight="1">
      <c r="A12" s="41">
        <v>3</v>
      </c>
      <c r="B12" s="40" t="s">
        <v>100</v>
      </c>
      <c r="C12" s="42">
        <v>4.0999999999999996</v>
      </c>
      <c r="D12" s="43">
        <f>+'[2]acumulado a dic 2014'!$C$96</f>
        <v>100</v>
      </c>
      <c r="E12" s="24" t="s">
        <v>175</v>
      </c>
      <c r="F12" s="55">
        <v>0</v>
      </c>
      <c r="G12" s="55">
        <v>0</v>
      </c>
      <c r="H12" s="55">
        <v>20</v>
      </c>
      <c r="I12" s="55">
        <v>25</v>
      </c>
      <c r="J12" s="55">
        <f>AVERAGE(F12:I12)</f>
        <v>11.25</v>
      </c>
      <c r="K12" s="44"/>
      <c r="L12" s="44"/>
      <c r="M12" s="45" t="s">
        <v>186</v>
      </c>
    </row>
    <row r="13" spans="1:14" ht="35.25" customHeight="1">
      <c r="A13" s="41">
        <v>4</v>
      </c>
      <c r="B13" s="40" t="s">
        <v>144</v>
      </c>
      <c r="C13" s="42">
        <v>1.1000000000000001</v>
      </c>
      <c r="D13" s="43">
        <f>+'[2]acumulado a dic 2014'!$C$9</f>
        <v>120000</v>
      </c>
      <c r="E13" s="43" t="s">
        <v>124</v>
      </c>
      <c r="F13" s="55">
        <v>20000</v>
      </c>
      <c r="G13" s="55">
        <v>40000</v>
      </c>
      <c r="H13" s="55">
        <v>30000</v>
      </c>
      <c r="I13" s="55">
        <v>15000</v>
      </c>
      <c r="J13" s="55">
        <f>AVERAGE(F13:I13)</f>
        <v>26250</v>
      </c>
      <c r="K13" s="44"/>
      <c r="L13" s="44"/>
      <c r="M13" s="47"/>
    </row>
    <row r="14" spans="1:14" ht="54.75" customHeight="1">
      <c r="A14" s="41">
        <v>4</v>
      </c>
      <c r="B14" s="40" t="s">
        <v>145</v>
      </c>
      <c r="C14" s="42">
        <v>1.1000000000000001</v>
      </c>
      <c r="D14" s="43">
        <f>+'[2]acumulado a dic 2014'!$C$10</f>
        <v>4145</v>
      </c>
      <c r="E14" s="43" t="s">
        <v>124</v>
      </c>
      <c r="F14" s="55">
        <v>4145</v>
      </c>
      <c r="G14" s="55">
        <v>4145</v>
      </c>
      <c r="H14" s="55">
        <v>4145</v>
      </c>
      <c r="I14" s="55">
        <v>2000</v>
      </c>
      <c r="J14" s="55">
        <f>AVERAGE(F14:I14)</f>
        <v>3608.75</v>
      </c>
      <c r="K14" s="43"/>
      <c r="L14" s="44"/>
      <c r="M14" s="47"/>
    </row>
    <row r="15" spans="1:14" ht="60.75" customHeight="1">
      <c r="A15" s="41">
        <v>4</v>
      </c>
      <c r="B15" s="40" t="s">
        <v>146</v>
      </c>
      <c r="C15" s="42">
        <v>1.2</v>
      </c>
      <c r="D15" s="43">
        <f>+'[2]acumulado a dic 2014'!$C$20</f>
        <v>35356</v>
      </c>
      <c r="E15" s="43" t="s">
        <v>124</v>
      </c>
      <c r="F15" s="55">
        <v>35356</v>
      </c>
      <c r="G15" s="55">
        <v>35356</v>
      </c>
      <c r="H15" s="55">
        <v>35356</v>
      </c>
      <c r="I15" s="55">
        <v>35356</v>
      </c>
      <c r="J15" s="55">
        <f>AVERAGE(F15:I15)</f>
        <v>35356</v>
      </c>
      <c r="K15" s="44"/>
      <c r="L15" s="44"/>
      <c r="M15" s="45"/>
    </row>
    <row r="16" spans="1:14" ht="25.5" customHeight="1">
      <c r="A16" s="622" t="s">
        <v>18</v>
      </c>
      <c r="B16" s="623"/>
      <c r="C16" s="623"/>
      <c r="D16" s="623"/>
      <c r="E16" s="623"/>
      <c r="F16" s="623"/>
      <c r="G16" s="623"/>
      <c r="H16" s="623"/>
      <c r="I16" s="623"/>
      <c r="J16" s="623"/>
      <c r="K16" s="623"/>
      <c r="L16" s="623"/>
      <c r="M16" s="624"/>
    </row>
    <row r="17" spans="1:14" ht="54.75" customHeight="1">
      <c r="A17" s="41">
        <v>5</v>
      </c>
      <c r="B17" s="40" t="s">
        <v>101</v>
      </c>
      <c r="C17" s="42" t="s">
        <v>141</v>
      </c>
      <c r="D17" s="42">
        <v>3</v>
      </c>
      <c r="E17" s="43" t="s">
        <v>131</v>
      </c>
      <c r="F17" s="55">
        <v>3</v>
      </c>
      <c r="G17" s="55">
        <v>3</v>
      </c>
      <c r="H17" s="55">
        <v>3</v>
      </c>
      <c r="I17" s="55">
        <v>3</v>
      </c>
      <c r="J17" s="55">
        <f>AVERAGE(F17:I17)</f>
        <v>3</v>
      </c>
      <c r="K17" s="44"/>
      <c r="L17" s="44"/>
      <c r="M17" s="47"/>
    </row>
    <row r="18" spans="1:14" ht="25.5" customHeight="1">
      <c r="A18" s="622" t="s">
        <v>19</v>
      </c>
      <c r="B18" s="623"/>
      <c r="C18" s="623"/>
      <c r="D18" s="623"/>
      <c r="E18" s="623"/>
      <c r="F18" s="623"/>
      <c r="G18" s="623"/>
      <c r="H18" s="623"/>
      <c r="I18" s="623"/>
      <c r="J18" s="623"/>
      <c r="K18" s="623"/>
      <c r="L18" s="623"/>
      <c r="M18" s="624"/>
    </row>
    <row r="19" spans="1:14" ht="217.5" customHeight="1">
      <c r="A19" s="41">
        <v>6</v>
      </c>
      <c r="B19" s="40" t="s">
        <v>102</v>
      </c>
      <c r="C19" s="42" t="s">
        <v>156</v>
      </c>
      <c r="D19" s="43">
        <f>+'[2]acumulado a dic 2014'!$C$34</f>
        <v>2</v>
      </c>
      <c r="E19" s="43" t="s">
        <v>125</v>
      </c>
      <c r="F19" s="55">
        <v>0</v>
      </c>
      <c r="G19" s="55">
        <v>1</v>
      </c>
      <c r="H19" s="55">
        <v>1</v>
      </c>
      <c r="I19" s="55">
        <v>0</v>
      </c>
      <c r="J19" s="55">
        <f t="shared" ref="J19:J24" si="0">AVERAGE(F19:I19)</f>
        <v>0.5</v>
      </c>
      <c r="K19" s="44"/>
      <c r="L19" s="44"/>
      <c r="M19" s="45" t="s">
        <v>187</v>
      </c>
      <c r="N19" s="63"/>
    </row>
    <row r="20" spans="1:14" ht="51.75" customHeight="1">
      <c r="A20" s="41">
        <f>A19+1</f>
        <v>7</v>
      </c>
      <c r="B20" s="40" t="s">
        <v>103</v>
      </c>
      <c r="C20" s="42" t="s">
        <v>156</v>
      </c>
      <c r="D20" s="42">
        <v>6</v>
      </c>
      <c r="E20" s="43" t="s">
        <v>125</v>
      </c>
      <c r="F20" s="55">
        <v>6</v>
      </c>
      <c r="G20" s="55">
        <v>6</v>
      </c>
      <c r="H20" s="55">
        <v>6</v>
      </c>
      <c r="I20" s="55">
        <v>6</v>
      </c>
      <c r="J20" s="55">
        <f t="shared" si="0"/>
        <v>6</v>
      </c>
      <c r="K20" s="44"/>
      <c r="L20" s="44"/>
      <c r="M20" s="62"/>
    </row>
    <row r="21" spans="1:14" ht="51.75" customHeight="1">
      <c r="A21" s="41">
        <f>A20+1</f>
        <v>8</v>
      </c>
      <c r="B21" s="40" t="s">
        <v>157</v>
      </c>
      <c r="C21" s="42" t="s">
        <v>147</v>
      </c>
      <c r="D21" s="43">
        <f>+'[2]acumulado a dic 2014'!$C$38</f>
        <v>392</v>
      </c>
      <c r="E21" s="43" t="s">
        <v>124</v>
      </c>
      <c r="F21" s="55">
        <v>45</v>
      </c>
      <c r="G21" s="55">
        <v>160</v>
      </c>
      <c r="H21" s="55">
        <v>80</v>
      </c>
      <c r="I21" s="55">
        <v>0</v>
      </c>
      <c r="J21" s="55">
        <f t="shared" si="0"/>
        <v>71.25</v>
      </c>
      <c r="K21" s="44"/>
      <c r="L21" s="44"/>
      <c r="M21" s="47"/>
    </row>
    <row r="22" spans="1:14" ht="148.5" customHeight="1">
      <c r="A22" s="41"/>
      <c r="B22" s="40" t="s">
        <v>165</v>
      </c>
      <c r="C22" s="42" t="s">
        <v>147</v>
      </c>
      <c r="D22" s="43">
        <f>+'[2]acumulado a dic 2014'!$C$40</f>
        <v>2981</v>
      </c>
      <c r="E22" s="43" t="s">
        <v>124</v>
      </c>
      <c r="F22" s="55">
        <v>276</v>
      </c>
      <c r="G22" s="55">
        <v>1681</v>
      </c>
      <c r="H22" s="55">
        <v>6345</v>
      </c>
      <c r="I22" s="55">
        <v>0</v>
      </c>
      <c r="J22" s="55">
        <f t="shared" si="0"/>
        <v>2075.5</v>
      </c>
      <c r="K22" s="44"/>
      <c r="L22" s="44"/>
      <c r="M22" s="45" t="s">
        <v>176</v>
      </c>
    </row>
    <row r="23" spans="1:14" ht="59.25" customHeight="1">
      <c r="A23" s="41">
        <f>A21+1</f>
        <v>9</v>
      </c>
      <c r="B23" s="40" t="s">
        <v>158</v>
      </c>
      <c r="C23" s="42" t="s">
        <v>147</v>
      </c>
      <c r="D23" s="43">
        <f>+'[2]acumulado a dic 2014'!$C$39</f>
        <v>970</v>
      </c>
      <c r="E23" s="43" t="s">
        <v>124</v>
      </c>
      <c r="F23" s="55">
        <v>0</v>
      </c>
      <c r="G23" s="55">
        <v>147</v>
      </c>
      <c r="H23" s="55">
        <v>225</v>
      </c>
      <c r="I23" s="55">
        <v>0</v>
      </c>
      <c r="J23" s="55">
        <f t="shared" si="0"/>
        <v>93</v>
      </c>
      <c r="K23" s="44"/>
      <c r="L23" s="44"/>
      <c r="M23" s="47"/>
    </row>
    <row r="24" spans="1:14" ht="49.5" customHeight="1">
      <c r="A24" s="41"/>
      <c r="B24" s="40" t="s">
        <v>159</v>
      </c>
      <c r="C24" s="42" t="s">
        <v>147</v>
      </c>
      <c r="D24" s="43">
        <f>+'[2]acumulado a dic 2014'!$C$41</f>
        <v>3438</v>
      </c>
      <c r="E24" s="43" t="s">
        <v>124</v>
      </c>
      <c r="F24" s="55">
        <v>0</v>
      </c>
      <c r="G24" s="55">
        <v>1271</v>
      </c>
      <c r="H24" s="55">
        <v>829</v>
      </c>
      <c r="I24" s="55">
        <v>0</v>
      </c>
      <c r="J24" s="55">
        <f t="shared" si="0"/>
        <v>525</v>
      </c>
      <c r="K24" s="44"/>
      <c r="L24" s="44"/>
      <c r="M24" s="47"/>
    </row>
    <row r="25" spans="1:14" ht="200.25" customHeight="1">
      <c r="A25" s="41">
        <f>A23+1</f>
        <v>10</v>
      </c>
      <c r="B25" s="40" t="s">
        <v>104</v>
      </c>
      <c r="C25" s="42" t="s">
        <v>143</v>
      </c>
      <c r="D25" s="42"/>
      <c r="E25" s="43" t="s">
        <v>126</v>
      </c>
      <c r="F25" s="55">
        <v>0</v>
      </c>
      <c r="G25" s="55">
        <v>0</v>
      </c>
      <c r="H25" s="55">
        <v>0</v>
      </c>
      <c r="I25" s="55">
        <v>0</v>
      </c>
      <c r="J25" s="55">
        <f>+F25</f>
        <v>0</v>
      </c>
      <c r="K25" s="44"/>
      <c r="L25" s="44"/>
      <c r="M25" s="45" t="s">
        <v>177</v>
      </c>
    </row>
    <row r="26" spans="1:14" ht="21" customHeight="1">
      <c r="A26" s="622" t="s">
        <v>20</v>
      </c>
      <c r="B26" s="623"/>
      <c r="C26" s="623"/>
      <c r="D26" s="623"/>
      <c r="E26" s="623"/>
      <c r="F26" s="623"/>
      <c r="G26" s="623"/>
      <c r="H26" s="623"/>
      <c r="I26" s="623"/>
      <c r="J26" s="623"/>
      <c r="K26" s="623"/>
      <c r="L26" s="623"/>
      <c r="M26" s="624"/>
    </row>
    <row r="27" spans="1:14" ht="96.75" customHeight="1">
      <c r="A27" s="41">
        <v>11</v>
      </c>
      <c r="B27" s="40" t="s">
        <v>105</v>
      </c>
      <c r="C27" s="23" t="s">
        <v>143</v>
      </c>
      <c r="D27" s="23">
        <v>37</v>
      </c>
      <c r="E27" s="58" t="s">
        <v>166</v>
      </c>
      <c r="F27" s="56">
        <v>37</v>
      </c>
      <c r="G27" s="55">
        <v>37</v>
      </c>
      <c r="H27" s="55">
        <v>37</v>
      </c>
      <c r="I27" s="55">
        <v>0</v>
      </c>
      <c r="J27" s="55">
        <f>AVERAGE(F27:I27)</f>
        <v>27.75</v>
      </c>
      <c r="K27" s="44"/>
      <c r="L27" s="44"/>
      <c r="M27" s="45" t="s">
        <v>133</v>
      </c>
    </row>
    <row r="28" spans="1:14" ht="104.25" customHeight="1">
      <c r="A28" s="41">
        <v>12</v>
      </c>
      <c r="B28" s="40" t="s">
        <v>148</v>
      </c>
      <c r="C28" s="23" t="s">
        <v>149</v>
      </c>
      <c r="D28" s="24">
        <f>+'[2]acumulado a dic 2014'!$C$58</f>
        <v>13.75</v>
      </c>
      <c r="E28" s="24" t="s">
        <v>127</v>
      </c>
      <c r="F28" s="56">
        <v>13</v>
      </c>
      <c r="G28" s="55">
        <v>14</v>
      </c>
      <c r="H28" s="55">
        <v>14</v>
      </c>
      <c r="I28" s="55">
        <v>0</v>
      </c>
      <c r="J28" s="55">
        <f>AVERAGE(F28:I28)</f>
        <v>10.25</v>
      </c>
      <c r="K28" s="44"/>
      <c r="L28" s="44"/>
      <c r="M28" s="45" t="s">
        <v>171</v>
      </c>
    </row>
    <row r="29" spans="1:14" ht="102" customHeight="1">
      <c r="A29" s="41">
        <f>A27+1</f>
        <v>12</v>
      </c>
      <c r="B29" s="40" t="s">
        <v>132</v>
      </c>
      <c r="C29" s="23" t="s">
        <v>149</v>
      </c>
      <c r="D29" s="24">
        <f>+'[2]acumulado a dic 2014'!$C$59</f>
        <v>12.75</v>
      </c>
      <c r="E29" s="24" t="s">
        <v>127</v>
      </c>
      <c r="F29" s="56">
        <v>12</v>
      </c>
      <c r="G29" s="55">
        <v>13</v>
      </c>
      <c r="H29" s="55">
        <v>13</v>
      </c>
      <c r="I29" s="55">
        <v>0</v>
      </c>
      <c r="J29" s="55">
        <f>AVERAGE(F29:I29)</f>
        <v>9.5</v>
      </c>
      <c r="K29" s="44"/>
      <c r="L29" s="44"/>
      <c r="M29" s="45" t="s">
        <v>171</v>
      </c>
    </row>
    <row r="30" spans="1:14" ht="21.75" customHeight="1">
      <c r="A30" s="622" t="s">
        <v>23</v>
      </c>
      <c r="B30" s="623"/>
      <c r="C30" s="623"/>
      <c r="D30" s="623"/>
      <c r="E30" s="623"/>
      <c r="F30" s="623"/>
      <c r="G30" s="623"/>
      <c r="H30" s="623"/>
      <c r="I30" s="623"/>
      <c r="J30" s="623"/>
      <c r="K30" s="623"/>
      <c r="L30" s="623"/>
      <c r="M30" s="624"/>
    </row>
    <row r="31" spans="1:14" ht="111" customHeight="1">
      <c r="A31" s="41">
        <f>A29+1</f>
        <v>13</v>
      </c>
      <c r="B31" s="40" t="s">
        <v>106</v>
      </c>
      <c r="C31" s="23" t="s">
        <v>149</v>
      </c>
      <c r="D31" s="24">
        <f>+'[2]acumulado a dic 2014'!$C$60</f>
        <v>87</v>
      </c>
      <c r="E31" s="24" t="s">
        <v>127</v>
      </c>
      <c r="F31" s="56">
        <v>50</v>
      </c>
      <c r="G31" s="55">
        <v>71</v>
      </c>
      <c r="H31" s="55">
        <v>87</v>
      </c>
      <c r="I31" s="55">
        <v>45</v>
      </c>
      <c r="J31" s="55">
        <f>AVERAGE(F31:I31)</f>
        <v>63.25</v>
      </c>
      <c r="K31" s="48"/>
      <c r="L31" s="48"/>
      <c r="M31" s="45" t="s">
        <v>133</v>
      </c>
    </row>
    <row r="32" spans="1:14" ht="104.25" customHeight="1">
      <c r="A32" s="41">
        <f>A31+1</f>
        <v>14</v>
      </c>
      <c r="B32" s="40" t="s">
        <v>107</v>
      </c>
      <c r="C32" s="23" t="s">
        <v>143</v>
      </c>
      <c r="D32" s="24">
        <f>+'[2]acumulado a dic 2014'!$C$47</f>
        <v>68</v>
      </c>
      <c r="E32" s="24" t="s">
        <v>127</v>
      </c>
      <c r="F32" s="56">
        <v>44</v>
      </c>
      <c r="G32" s="55">
        <v>62</v>
      </c>
      <c r="H32" s="55">
        <v>62</v>
      </c>
      <c r="I32" s="55">
        <v>37</v>
      </c>
      <c r="J32" s="55">
        <f>AVERAGE(F32:I32)</f>
        <v>51.25</v>
      </c>
      <c r="K32" s="48"/>
      <c r="L32" s="48"/>
      <c r="M32" s="45" t="s">
        <v>133</v>
      </c>
    </row>
    <row r="33" spans="1:13" ht="21" customHeight="1">
      <c r="A33" s="622" t="s">
        <v>5</v>
      </c>
      <c r="B33" s="623"/>
      <c r="C33" s="623"/>
      <c r="D33" s="623"/>
      <c r="E33" s="623"/>
      <c r="F33" s="623"/>
      <c r="G33" s="623"/>
      <c r="H33" s="623"/>
      <c r="I33" s="623"/>
      <c r="J33" s="623"/>
      <c r="K33" s="623"/>
      <c r="L33" s="623"/>
      <c r="M33" s="624"/>
    </row>
    <row r="34" spans="1:13" ht="93" customHeight="1">
      <c r="A34" s="41">
        <f>A32+1</f>
        <v>15</v>
      </c>
      <c r="B34" s="40" t="s">
        <v>108</v>
      </c>
      <c r="C34" s="42" t="s">
        <v>151</v>
      </c>
      <c r="D34" s="43">
        <f>+'[2]acumulado a dic 2014'!$C$86</f>
        <v>1</v>
      </c>
      <c r="E34" s="42" t="s">
        <v>140</v>
      </c>
      <c r="F34" s="57">
        <v>1</v>
      </c>
      <c r="G34" s="55">
        <v>1</v>
      </c>
      <c r="H34" s="55">
        <v>1</v>
      </c>
      <c r="I34" s="55">
        <v>1</v>
      </c>
      <c r="J34" s="55">
        <f>AVERAGE(F34:I34)</f>
        <v>1</v>
      </c>
      <c r="K34" s="49"/>
      <c r="L34" s="49"/>
      <c r="M34" s="45"/>
    </row>
    <row r="35" spans="1:13" ht="108.75" customHeight="1">
      <c r="A35" s="41">
        <f>A34+1</f>
        <v>16</v>
      </c>
      <c r="B35" s="40" t="s">
        <v>109</v>
      </c>
      <c r="C35" s="42" t="s">
        <v>151</v>
      </c>
      <c r="D35" s="43">
        <f>+'[2]acumulado a dic 2014'!$C$82</f>
        <v>37</v>
      </c>
      <c r="E35" s="42" t="s">
        <v>129</v>
      </c>
      <c r="F35" s="57">
        <v>37</v>
      </c>
      <c r="G35" s="55">
        <v>37</v>
      </c>
      <c r="H35" s="55">
        <v>37</v>
      </c>
      <c r="I35" s="55">
        <v>37</v>
      </c>
      <c r="J35" s="55">
        <f>AVERAGE(F35:I35)</f>
        <v>37</v>
      </c>
      <c r="K35" s="49"/>
      <c r="L35" s="49"/>
      <c r="M35" s="45" t="s">
        <v>133</v>
      </c>
    </row>
    <row r="36" spans="1:13" ht="117" customHeight="1">
      <c r="A36" s="41">
        <f>A35+1</f>
        <v>17</v>
      </c>
      <c r="B36" s="40" t="s">
        <v>110</v>
      </c>
      <c r="C36" s="42" t="s">
        <v>151</v>
      </c>
      <c r="D36" s="43">
        <v>63</v>
      </c>
      <c r="E36" s="42" t="s">
        <v>127</v>
      </c>
      <c r="F36" s="57">
        <v>64</v>
      </c>
      <c r="G36" s="55">
        <v>72</v>
      </c>
      <c r="H36" s="55">
        <v>73</v>
      </c>
      <c r="I36" s="55">
        <v>0</v>
      </c>
      <c r="J36" s="55">
        <f>AVERAGE(F36:I36)</f>
        <v>52.25</v>
      </c>
      <c r="K36" s="49"/>
      <c r="L36" s="49"/>
      <c r="M36" s="45" t="s">
        <v>133</v>
      </c>
    </row>
    <row r="37" spans="1:13" ht="53.25" customHeight="1">
      <c r="A37" s="41">
        <f>A36+1</f>
        <v>18</v>
      </c>
      <c r="B37" s="40" t="s">
        <v>111</v>
      </c>
      <c r="C37" s="42" t="s">
        <v>151</v>
      </c>
      <c r="D37" s="43">
        <v>73</v>
      </c>
      <c r="E37" s="42" t="s">
        <v>1</v>
      </c>
      <c r="F37" s="57">
        <v>94</v>
      </c>
      <c r="G37" s="55">
        <v>120</v>
      </c>
      <c r="H37" s="55">
        <v>70</v>
      </c>
      <c r="I37" s="55">
        <v>20</v>
      </c>
      <c r="J37" s="55">
        <f>AVERAGE(F37:I37)</f>
        <v>76</v>
      </c>
      <c r="K37" s="49"/>
      <c r="L37" s="49"/>
      <c r="M37" s="50"/>
    </row>
    <row r="38" spans="1:13" ht="23.25" customHeight="1">
      <c r="A38" s="622" t="s">
        <v>21</v>
      </c>
      <c r="B38" s="623"/>
      <c r="C38" s="623"/>
      <c r="D38" s="623"/>
      <c r="E38" s="623"/>
      <c r="F38" s="623"/>
      <c r="G38" s="623"/>
      <c r="H38" s="623"/>
      <c r="I38" s="623"/>
      <c r="J38" s="623"/>
      <c r="K38" s="623"/>
      <c r="L38" s="623"/>
      <c r="M38" s="624"/>
    </row>
    <row r="39" spans="1:13" ht="72.75" customHeight="1">
      <c r="A39" s="41">
        <f>A37+1</f>
        <v>19</v>
      </c>
      <c r="B39" s="40" t="s">
        <v>112</v>
      </c>
      <c r="C39" s="42" t="s">
        <v>136</v>
      </c>
      <c r="D39" s="43">
        <f>+'[2]acumulado a dic 2014'!$C$25</f>
        <v>7</v>
      </c>
      <c r="E39" s="42" t="s">
        <v>135</v>
      </c>
      <c r="F39" s="57">
        <v>1</v>
      </c>
      <c r="G39" s="55">
        <v>2</v>
      </c>
      <c r="H39" s="55">
        <v>2</v>
      </c>
      <c r="I39" s="55">
        <v>2</v>
      </c>
      <c r="J39" s="55">
        <f>+F39+G39+H39+I39</f>
        <v>7</v>
      </c>
      <c r="K39" s="49"/>
      <c r="L39" s="49"/>
      <c r="M39" s="50"/>
    </row>
    <row r="40" spans="1:13" ht="55.5" customHeight="1">
      <c r="A40" s="41">
        <f>A39+1</f>
        <v>20</v>
      </c>
      <c r="B40" s="40" t="s">
        <v>113</v>
      </c>
      <c r="C40" s="42" t="s">
        <v>137</v>
      </c>
      <c r="D40" s="43">
        <f>+'[2]acumulado a dic 2014'!$C$136</f>
        <v>1.75</v>
      </c>
      <c r="E40" s="42" t="s">
        <v>128</v>
      </c>
      <c r="F40" s="57">
        <v>1</v>
      </c>
      <c r="G40" s="55">
        <v>2</v>
      </c>
      <c r="H40" s="55">
        <v>2</v>
      </c>
      <c r="I40" s="55">
        <v>2</v>
      </c>
      <c r="J40" s="55">
        <f>AVERAGE(F40:I40)</f>
        <v>1.75</v>
      </c>
      <c r="K40" s="49"/>
      <c r="L40" s="49"/>
      <c r="M40" s="50"/>
    </row>
    <row r="41" spans="1:13" ht="105.75" customHeight="1">
      <c r="A41" s="41">
        <f>A40+1</f>
        <v>21</v>
      </c>
      <c r="B41" s="40" t="s">
        <v>114</v>
      </c>
      <c r="C41" s="42" t="s">
        <v>137</v>
      </c>
      <c r="D41" s="43">
        <v>55</v>
      </c>
      <c r="E41" s="42" t="s">
        <v>127</v>
      </c>
      <c r="F41" s="57">
        <v>20</v>
      </c>
      <c r="G41" s="55">
        <v>40</v>
      </c>
      <c r="H41" s="55">
        <v>60</v>
      </c>
      <c r="I41" s="55">
        <v>30</v>
      </c>
      <c r="J41" s="55">
        <f>AVERAGE(F41:I41)</f>
        <v>37.5</v>
      </c>
      <c r="K41" s="49"/>
      <c r="L41" s="49"/>
      <c r="M41" s="45" t="s">
        <v>133</v>
      </c>
    </row>
    <row r="42" spans="1:13" ht="21.75" customHeight="1">
      <c r="A42" s="622" t="s">
        <v>22</v>
      </c>
      <c r="B42" s="623"/>
      <c r="C42" s="623"/>
      <c r="D42" s="623"/>
      <c r="E42" s="623"/>
      <c r="F42" s="623"/>
      <c r="G42" s="623"/>
      <c r="H42" s="623"/>
      <c r="I42" s="623"/>
      <c r="J42" s="623"/>
      <c r="K42" s="623"/>
      <c r="L42" s="623"/>
      <c r="M42" s="624"/>
    </row>
    <row r="43" spans="1:13" ht="54.75" customHeight="1">
      <c r="A43" s="41">
        <f>A41+1</f>
        <v>22</v>
      </c>
      <c r="B43" s="40" t="s">
        <v>115</v>
      </c>
      <c r="C43" s="42" t="s">
        <v>150</v>
      </c>
      <c r="D43" s="43">
        <f>+'[2]acumulado a dic 2014'!$C$66</f>
        <v>37</v>
      </c>
      <c r="E43" s="42" t="s">
        <v>129</v>
      </c>
      <c r="F43" s="57">
        <v>37</v>
      </c>
      <c r="G43" s="55">
        <v>37</v>
      </c>
      <c r="H43" s="55">
        <v>37</v>
      </c>
      <c r="I43" s="55">
        <v>17</v>
      </c>
      <c r="J43" s="55">
        <f>AVERAGE(F43:I43)</f>
        <v>32</v>
      </c>
      <c r="K43" s="49"/>
      <c r="L43" s="49"/>
      <c r="M43" s="50"/>
    </row>
    <row r="44" spans="1:13" ht="69.75" customHeight="1">
      <c r="A44" s="41">
        <f>A43+1</f>
        <v>23</v>
      </c>
      <c r="B44" s="40" t="s">
        <v>116</v>
      </c>
      <c r="C44" s="42" t="s">
        <v>138</v>
      </c>
      <c r="D44" s="43">
        <f>+'[2]acumulado a dic 2014'!$C$74</f>
        <v>37</v>
      </c>
      <c r="E44" s="42" t="s">
        <v>129</v>
      </c>
      <c r="F44" s="57">
        <v>37</v>
      </c>
      <c r="G44" s="55">
        <v>37</v>
      </c>
      <c r="H44" s="55">
        <v>37</v>
      </c>
      <c r="I44" s="55">
        <v>16</v>
      </c>
      <c r="J44" s="55">
        <f>AVERAGE(F44:I44)</f>
        <v>31.75</v>
      </c>
      <c r="K44" s="49"/>
      <c r="L44" s="49"/>
      <c r="M44" s="50"/>
    </row>
    <row r="45" spans="1:13" ht="21.75" customHeight="1">
      <c r="A45" s="622">
        <v>38</v>
      </c>
      <c r="B45" s="623"/>
      <c r="C45" s="623"/>
      <c r="D45" s="623"/>
      <c r="E45" s="623"/>
      <c r="F45" s="623"/>
      <c r="G45" s="623"/>
      <c r="H45" s="623"/>
      <c r="I45" s="623"/>
      <c r="J45" s="623"/>
      <c r="K45" s="623"/>
      <c r="L45" s="623"/>
      <c r="M45" s="624"/>
    </row>
    <row r="46" spans="1:13" ht="108.75" customHeight="1">
      <c r="A46" s="41">
        <f>A44+1</f>
        <v>24</v>
      </c>
      <c r="B46" s="40" t="s">
        <v>117</v>
      </c>
      <c r="C46" s="42" t="s">
        <v>151</v>
      </c>
      <c r="D46" s="43">
        <v>38</v>
      </c>
      <c r="E46" s="42" t="s">
        <v>127</v>
      </c>
      <c r="F46" s="57">
        <v>100</v>
      </c>
      <c r="G46" s="55">
        <v>100</v>
      </c>
      <c r="H46" s="55">
        <v>75</v>
      </c>
      <c r="I46" s="55">
        <v>32</v>
      </c>
      <c r="J46" s="55">
        <f>AVERAGE(F46:I46)</f>
        <v>76.75</v>
      </c>
      <c r="K46" s="49"/>
      <c r="L46" s="49"/>
      <c r="M46" s="45" t="s">
        <v>133</v>
      </c>
    </row>
    <row r="47" spans="1:13" ht="69" customHeight="1" thickBot="1">
      <c r="A47" s="51">
        <f>A46+1</f>
        <v>25</v>
      </c>
      <c r="B47" s="52" t="s">
        <v>118</v>
      </c>
      <c r="C47" s="53" t="s">
        <v>139</v>
      </c>
      <c r="D47" s="43">
        <v>60</v>
      </c>
      <c r="E47" s="42" t="s">
        <v>130</v>
      </c>
      <c r="F47" s="57">
        <v>35</v>
      </c>
      <c r="G47" s="55">
        <v>60</v>
      </c>
      <c r="H47" s="55">
        <v>60</v>
      </c>
      <c r="I47" s="55">
        <v>60</v>
      </c>
      <c r="J47" s="55">
        <f>AVERAGE(F47:I47)</f>
        <v>53.75</v>
      </c>
      <c r="K47" s="49"/>
      <c r="L47" s="49"/>
      <c r="M47" s="49"/>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A42:M42"/>
    <mergeCell ref="A45:M45"/>
    <mergeCell ref="A16:M16"/>
    <mergeCell ref="A18:M18"/>
    <mergeCell ref="A26:M26"/>
    <mergeCell ref="A30:M30"/>
    <mergeCell ref="A33:M33"/>
    <mergeCell ref="A38:M38"/>
    <mergeCell ref="B1:M1"/>
    <mergeCell ref="B2:M2"/>
    <mergeCell ref="B3:M3"/>
    <mergeCell ref="B4:M4"/>
    <mergeCell ref="A8:M8"/>
  </mergeCells>
  <pageMargins left="0.19685039370078741" right="0.19685039370078741" top="0.39370078740157483" bottom="0.19685039370078741" header="0" footer="0"/>
  <pageSetup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workbookViewId="0">
      <selection activeCell="B28" sqref="B28"/>
    </sheetView>
  </sheetViews>
  <sheetFormatPr baseColWidth="10" defaultRowHeight="12.75"/>
  <cols>
    <col min="1" max="1" width="11.5703125" customWidth="1"/>
    <col min="2" max="2" width="39.140625" customWidth="1"/>
    <col min="3" max="3" width="21" customWidth="1"/>
    <col min="4" max="4" width="24.28515625" customWidth="1"/>
  </cols>
  <sheetData>
    <row r="2" spans="1:7">
      <c r="A2" s="72"/>
      <c r="B2" s="625" t="s">
        <v>189</v>
      </c>
      <c r="C2" s="625"/>
      <c r="D2" s="625"/>
      <c r="E2" s="93"/>
      <c r="F2" s="93"/>
      <c r="G2" s="93"/>
    </row>
    <row r="3" spans="1:7">
      <c r="A3" s="72"/>
      <c r="B3" s="625" t="s">
        <v>190</v>
      </c>
      <c r="C3" s="625"/>
      <c r="D3" s="625"/>
      <c r="E3" s="93"/>
      <c r="F3" s="93"/>
      <c r="G3" s="93"/>
    </row>
    <row r="4" spans="1:7">
      <c r="A4" s="72"/>
      <c r="B4" s="625" t="s">
        <v>191</v>
      </c>
      <c r="C4" s="625"/>
      <c r="D4" s="625"/>
      <c r="E4" s="93"/>
      <c r="F4" s="93"/>
      <c r="G4" s="93"/>
    </row>
    <row r="5" spans="1:7">
      <c r="A5" s="72"/>
      <c r="B5" s="626" t="s">
        <v>192</v>
      </c>
      <c r="C5" s="626"/>
      <c r="D5" s="626"/>
      <c r="E5" s="89"/>
      <c r="F5" s="89"/>
      <c r="G5" s="89"/>
    </row>
    <row r="6" spans="1:7">
      <c r="A6" s="73"/>
      <c r="B6" s="74" t="s">
        <v>193</v>
      </c>
      <c r="C6" s="74" t="s">
        <v>194</v>
      </c>
      <c r="D6" s="74" t="s">
        <v>195</v>
      </c>
    </row>
    <row r="7" spans="1:7">
      <c r="A7" s="75">
        <v>3000</v>
      </c>
      <c r="B7" s="76" t="s">
        <v>196</v>
      </c>
      <c r="C7" s="94">
        <f>SUM(C8+C34)</f>
        <v>27753409871</v>
      </c>
      <c r="D7" s="94">
        <f>SUM(D8+D34)</f>
        <v>19966603344.200001</v>
      </c>
    </row>
    <row r="8" spans="1:7">
      <c r="A8" s="77">
        <v>3100</v>
      </c>
      <c r="B8" s="78" t="s">
        <v>197</v>
      </c>
      <c r="C8" s="95">
        <f>SUM(C9+C13)</f>
        <v>18275427451</v>
      </c>
      <c r="D8" s="95">
        <f>SUM(D9+D13)</f>
        <v>9714095075</v>
      </c>
    </row>
    <row r="9" spans="1:7">
      <c r="A9" s="79">
        <v>3110</v>
      </c>
      <c r="B9" s="80" t="s">
        <v>198</v>
      </c>
      <c r="C9" s="96">
        <f>SUM(C10:C12)</f>
        <v>7504817620</v>
      </c>
      <c r="D9" s="96">
        <f>SUM(D10:D12)</f>
        <v>3796736345</v>
      </c>
    </row>
    <row r="10" spans="1:7">
      <c r="A10" s="81"/>
      <c r="B10" s="82" t="s">
        <v>199</v>
      </c>
      <c r="C10" s="97"/>
      <c r="D10" s="97"/>
    </row>
    <row r="11" spans="1:7">
      <c r="A11" s="81"/>
      <c r="B11" s="82" t="s">
        <v>200</v>
      </c>
      <c r="C11" s="97">
        <v>7504817620</v>
      </c>
      <c r="D11" s="97">
        <v>3796736345</v>
      </c>
    </row>
    <row r="12" spans="1:7">
      <c r="A12" s="81"/>
      <c r="B12" s="82" t="s">
        <v>201</v>
      </c>
      <c r="C12" s="97"/>
      <c r="D12" s="97"/>
    </row>
    <row r="13" spans="1:7">
      <c r="A13" s="79">
        <v>3120</v>
      </c>
      <c r="B13" s="80" t="s">
        <v>202</v>
      </c>
      <c r="C13" s="96">
        <f>SUM(C14+C18+C19+C20+C21+C26)</f>
        <v>10770609831</v>
      </c>
      <c r="D13" s="96">
        <f>SUM(D14+D18+D19+D20+D21+D26)</f>
        <v>5917358730</v>
      </c>
    </row>
    <row r="14" spans="1:7">
      <c r="A14" s="81">
        <v>3121</v>
      </c>
      <c r="B14" s="83" t="s">
        <v>203</v>
      </c>
      <c r="C14" s="98">
        <f>SUM(C15:C17)</f>
        <v>388224373</v>
      </c>
      <c r="D14" s="98">
        <f>SUM(D15:D17)</f>
        <v>219297776</v>
      </c>
    </row>
    <row r="15" spans="1:7">
      <c r="A15" s="81"/>
      <c r="B15" s="82" t="s">
        <v>203</v>
      </c>
      <c r="C15" s="97">
        <v>0</v>
      </c>
      <c r="D15" s="97">
        <v>0</v>
      </c>
    </row>
    <row r="16" spans="1:7">
      <c r="A16" s="81"/>
      <c r="B16" s="82" t="s">
        <v>204</v>
      </c>
      <c r="C16" s="97">
        <v>388224373</v>
      </c>
      <c r="D16" s="97">
        <v>219297776</v>
      </c>
    </row>
    <row r="17" spans="1:4">
      <c r="A17" s="81"/>
      <c r="B17" s="82" t="s">
        <v>205</v>
      </c>
      <c r="C17" s="97">
        <v>0</v>
      </c>
      <c r="D17" s="97">
        <v>0</v>
      </c>
    </row>
    <row r="18" spans="1:4">
      <c r="A18" s="81">
        <v>3123</v>
      </c>
      <c r="B18" s="83" t="s">
        <v>206</v>
      </c>
      <c r="C18" s="98">
        <v>0</v>
      </c>
      <c r="D18" s="98">
        <v>0</v>
      </c>
    </row>
    <row r="19" spans="1:4">
      <c r="A19" s="81">
        <v>3124</v>
      </c>
      <c r="B19" s="83" t="s">
        <v>207</v>
      </c>
      <c r="C19" s="98">
        <v>0</v>
      </c>
      <c r="D19" s="98">
        <v>0</v>
      </c>
    </row>
    <row r="20" spans="1:4">
      <c r="A20" s="81">
        <v>3125</v>
      </c>
      <c r="B20" s="83" t="s">
        <v>208</v>
      </c>
      <c r="C20" s="98">
        <v>0</v>
      </c>
      <c r="D20" s="98">
        <v>0</v>
      </c>
    </row>
    <row r="21" spans="1:4">
      <c r="A21" s="81">
        <v>3126</v>
      </c>
      <c r="B21" s="83" t="s">
        <v>209</v>
      </c>
      <c r="C21" s="98">
        <f>SUM(C22:C25)</f>
        <v>8083120139</v>
      </c>
      <c r="D21" s="98">
        <f>SUM(D22:D25)</f>
        <v>3445509308</v>
      </c>
    </row>
    <row r="22" spans="1:4">
      <c r="A22" s="81"/>
      <c r="B22" s="82" t="s">
        <v>210</v>
      </c>
      <c r="C22" s="97">
        <f>+[3]Hoja1!$F$19</f>
        <v>3461573029</v>
      </c>
      <c r="D22" s="97">
        <f>+[3]Hoja1!$G$19</f>
        <v>852889658</v>
      </c>
    </row>
    <row r="23" spans="1:4">
      <c r="A23" s="81"/>
      <c r="B23" s="82" t="s">
        <v>211</v>
      </c>
      <c r="C23" s="97"/>
      <c r="D23" s="97"/>
    </row>
    <row r="24" spans="1:4">
      <c r="A24" s="81"/>
      <c r="B24" s="82" t="s">
        <v>212</v>
      </c>
      <c r="C24" s="97">
        <v>0</v>
      </c>
      <c r="D24" s="97">
        <v>0</v>
      </c>
    </row>
    <row r="25" spans="1:4">
      <c r="A25" s="81"/>
      <c r="B25" s="82" t="s">
        <v>213</v>
      </c>
      <c r="C25" s="97">
        <f>+[3]Hoja1!$F$21</f>
        <v>4621547110</v>
      </c>
      <c r="D25" s="97">
        <f>+[3]Hoja1!$G$21</f>
        <v>2592619650</v>
      </c>
    </row>
    <row r="26" spans="1:4">
      <c r="A26" s="81">
        <v>3128</v>
      </c>
      <c r="B26" s="83" t="s">
        <v>214</v>
      </c>
      <c r="C26" s="98">
        <f>SUM(C27:C33)</f>
        <v>2299265319</v>
      </c>
      <c r="D26" s="98">
        <f>SUM(D27:D33)</f>
        <v>2252551646</v>
      </c>
    </row>
    <row r="27" spans="1:4">
      <c r="A27" s="81"/>
      <c r="B27" s="82" t="s">
        <v>215</v>
      </c>
      <c r="C27" s="97">
        <f>+[3]Hoja1!$F$15</f>
        <v>919346208</v>
      </c>
      <c r="D27" s="97">
        <f>+[3]Hoja1!$G$15</f>
        <v>248908320</v>
      </c>
    </row>
    <row r="28" spans="1:4">
      <c r="A28" s="81"/>
      <c r="B28" s="82" t="s">
        <v>216</v>
      </c>
      <c r="C28" s="97"/>
      <c r="D28" s="97"/>
    </row>
    <row r="29" spans="1:4">
      <c r="A29" s="81"/>
      <c r="B29" s="82" t="s">
        <v>217</v>
      </c>
      <c r="C29" s="97">
        <f>+[3]Hoja1!$F$14</f>
        <v>949981524</v>
      </c>
      <c r="D29" s="97">
        <f>+[3]Hoja1!$G$14</f>
        <v>212882801</v>
      </c>
    </row>
    <row r="30" spans="1:4">
      <c r="A30" s="81"/>
      <c r="B30" s="82" t="s">
        <v>218</v>
      </c>
      <c r="C30" s="97">
        <f>+[3]Hoja1!$F$17</f>
        <v>46305000</v>
      </c>
      <c r="D30" s="97">
        <f>+[3]Hoja1!$G$17</f>
        <v>1678499994</v>
      </c>
    </row>
    <row r="31" spans="1:4">
      <c r="A31" s="81"/>
      <c r="B31" s="82" t="s">
        <v>219</v>
      </c>
      <c r="C31" s="97"/>
      <c r="D31" s="97"/>
    </row>
    <row r="32" spans="1:4">
      <c r="A32" s="81"/>
      <c r="B32" s="82" t="s">
        <v>220</v>
      </c>
      <c r="C32" s="97">
        <f>+[3]Hoja1!$F$16</f>
        <v>321630192</v>
      </c>
      <c r="D32" s="97">
        <f>+[3]Hoja1!$G$16</f>
        <v>79974650</v>
      </c>
    </row>
    <row r="33" spans="1:4">
      <c r="A33" s="81"/>
      <c r="B33" s="82" t="s">
        <v>214</v>
      </c>
      <c r="C33" s="97">
        <f>+[3]Hoja1!$F$20</f>
        <v>62002395</v>
      </c>
      <c r="D33" s="97">
        <f>+[3]Hoja1!$G$20</f>
        <v>32285881</v>
      </c>
    </row>
    <row r="34" spans="1:4">
      <c r="A34" s="77">
        <v>3200</v>
      </c>
      <c r="B34" s="78" t="s">
        <v>221</v>
      </c>
      <c r="C34" s="95">
        <f>SUM(C35+C38+C41+C42+C48+C49)</f>
        <v>9477982420</v>
      </c>
      <c r="D34" s="95">
        <f>+[3]Hoja1!$G$27</f>
        <v>10252508269.200001</v>
      </c>
    </row>
    <row r="35" spans="1:4">
      <c r="A35" s="81">
        <v>3210</v>
      </c>
      <c r="B35" s="84" t="s">
        <v>222</v>
      </c>
      <c r="C35" s="99">
        <v>0</v>
      </c>
      <c r="D35" s="99">
        <v>0</v>
      </c>
    </row>
    <row r="36" spans="1:4">
      <c r="A36" s="85">
        <v>3211</v>
      </c>
      <c r="B36" s="82" t="s">
        <v>223</v>
      </c>
      <c r="C36" s="97">
        <v>0</v>
      </c>
      <c r="D36" s="97">
        <v>0</v>
      </c>
    </row>
    <row r="37" spans="1:4">
      <c r="A37" s="85">
        <v>3212</v>
      </c>
      <c r="B37" s="82" t="s">
        <v>224</v>
      </c>
      <c r="C37" s="97">
        <v>0</v>
      </c>
      <c r="D37" s="97">
        <v>0</v>
      </c>
    </row>
    <row r="38" spans="1:4">
      <c r="A38" s="81">
        <v>3220</v>
      </c>
      <c r="B38" s="84" t="s">
        <v>225</v>
      </c>
      <c r="C38" s="99">
        <v>0</v>
      </c>
      <c r="D38" s="99">
        <v>0</v>
      </c>
    </row>
    <row r="39" spans="1:4">
      <c r="A39" s="85">
        <v>3221</v>
      </c>
      <c r="B39" s="82" t="s">
        <v>223</v>
      </c>
      <c r="C39" s="97">
        <v>0</v>
      </c>
      <c r="D39" s="97">
        <v>0</v>
      </c>
    </row>
    <row r="40" spans="1:4">
      <c r="A40" s="85">
        <v>3222</v>
      </c>
      <c r="B40" s="82" t="s">
        <v>224</v>
      </c>
      <c r="C40" s="97">
        <v>0</v>
      </c>
      <c r="D40" s="97">
        <v>0</v>
      </c>
    </row>
    <row r="41" spans="1:4">
      <c r="A41" s="81">
        <v>3230</v>
      </c>
      <c r="B41" s="84" t="s">
        <v>226</v>
      </c>
      <c r="C41" s="100">
        <f>+[3]Hoja1!$F$28</f>
        <v>333711102</v>
      </c>
      <c r="D41" s="100">
        <f>+[3]Hoja1!$G$28</f>
        <v>194092408.19999999</v>
      </c>
    </row>
    <row r="42" spans="1:4">
      <c r="A42" s="81">
        <v>3250</v>
      </c>
      <c r="B42" s="84" t="s">
        <v>227</v>
      </c>
      <c r="C42" s="100">
        <f>SUM(C43:C47)</f>
        <v>9144271318</v>
      </c>
      <c r="D42" s="100">
        <f>SUM(D43:D47)</f>
        <v>10058415861</v>
      </c>
    </row>
    <row r="43" spans="1:4">
      <c r="A43" s="85">
        <v>3251</v>
      </c>
      <c r="B43" s="82" t="s">
        <v>228</v>
      </c>
      <c r="C43" s="97">
        <v>0</v>
      </c>
      <c r="D43" s="97">
        <v>0</v>
      </c>
    </row>
    <row r="44" spans="1:4">
      <c r="A44" s="85">
        <v>3252</v>
      </c>
      <c r="B44" s="82" t="s">
        <v>229</v>
      </c>
      <c r="C44" s="97">
        <f>+[3]Hoja1!$F$29</f>
        <v>6488128161</v>
      </c>
      <c r="D44" s="97">
        <f>+[3]Hoja1!$G$29</f>
        <v>6488128161</v>
      </c>
    </row>
    <row r="45" spans="1:4">
      <c r="A45" s="85">
        <v>3253</v>
      </c>
      <c r="B45" s="82" t="s">
        <v>230</v>
      </c>
      <c r="C45" s="97">
        <v>0</v>
      </c>
      <c r="D45" s="97">
        <v>0</v>
      </c>
    </row>
    <row r="46" spans="1:4">
      <c r="A46" s="85">
        <v>3254</v>
      </c>
      <c r="B46" s="82" t="s">
        <v>231</v>
      </c>
      <c r="C46" s="97">
        <f>+[3]Hoja1!$F$30</f>
        <v>2656143157</v>
      </c>
      <c r="D46" s="97">
        <f>+[3]Hoja1!$G$30</f>
        <v>3570287700</v>
      </c>
    </row>
    <row r="47" spans="1:4">
      <c r="A47" s="85">
        <v>3255</v>
      </c>
      <c r="B47" s="82" t="s">
        <v>232</v>
      </c>
      <c r="C47" s="97">
        <v>0</v>
      </c>
      <c r="D47" s="97">
        <v>0</v>
      </c>
    </row>
    <row r="48" spans="1:4">
      <c r="A48" s="81">
        <v>3260</v>
      </c>
      <c r="B48" s="84" t="s">
        <v>233</v>
      </c>
      <c r="C48" s="99">
        <v>0</v>
      </c>
      <c r="D48" s="99">
        <v>0</v>
      </c>
    </row>
    <row r="49" spans="1:4">
      <c r="A49" s="77">
        <v>3500</v>
      </c>
      <c r="B49" s="78" t="s">
        <v>234</v>
      </c>
      <c r="C49" s="95">
        <v>0</v>
      </c>
      <c r="D49" s="95">
        <v>0</v>
      </c>
    </row>
    <row r="50" spans="1:4">
      <c r="A50" s="75">
        <v>4000</v>
      </c>
      <c r="B50" s="86" t="s">
        <v>235</v>
      </c>
      <c r="C50" s="94">
        <f>SUM(C51:C54)</f>
        <v>3280302000</v>
      </c>
      <c r="D50" s="94">
        <f>SUM(D51:D54)</f>
        <v>682759171</v>
      </c>
    </row>
    <row r="51" spans="1:4">
      <c r="A51" s="87">
        <v>4100</v>
      </c>
      <c r="B51" s="88" t="s">
        <v>236</v>
      </c>
      <c r="C51" s="101">
        <f>+'[4]FUNCIONAMIENTO '!$I$49</f>
        <v>1740302000</v>
      </c>
      <c r="D51" s="101">
        <f>+[3]Hoja1!$G$36</f>
        <v>682759171</v>
      </c>
    </row>
    <row r="52" spans="1:4">
      <c r="A52" s="87">
        <v>4200</v>
      </c>
      <c r="B52" s="88" t="s">
        <v>237</v>
      </c>
      <c r="C52" s="102">
        <v>0</v>
      </c>
      <c r="D52" s="102">
        <v>0</v>
      </c>
    </row>
    <row r="53" spans="1:4">
      <c r="A53" s="87">
        <v>4300</v>
      </c>
      <c r="B53" s="88" t="s">
        <v>238</v>
      </c>
      <c r="C53" s="102">
        <f>+[4]INVERSION!$H$39</f>
        <v>1540000000</v>
      </c>
      <c r="D53" s="102">
        <v>0</v>
      </c>
    </row>
    <row r="54" spans="1:4">
      <c r="A54" s="87">
        <v>41001</v>
      </c>
      <c r="B54" s="88" t="s">
        <v>239</v>
      </c>
      <c r="C54" s="102">
        <v>0</v>
      </c>
      <c r="D54" s="102">
        <v>0</v>
      </c>
    </row>
    <row r="55" spans="1:4">
      <c r="A55" s="75"/>
      <c r="B55" s="75" t="s">
        <v>240</v>
      </c>
      <c r="C55" s="94">
        <f>SUM(C7+C50)</f>
        <v>31033711871</v>
      </c>
      <c r="D55" s="94">
        <f>SUM(D7+D50)</f>
        <v>20649362515.200001</v>
      </c>
    </row>
    <row r="56" spans="1:4">
      <c r="A56" s="89"/>
      <c r="B56" s="89"/>
      <c r="C56" s="90" t="s">
        <v>241</v>
      </c>
      <c r="D56" s="89"/>
    </row>
    <row r="57" spans="1:4">
      <c r="A57" s="89"/>
      <c r="B57" s="91" t="s">
        <v>242</v>
      </c>
      <c r="C57" s="89"/>
      <c r="D57" s="89"/>
    </row>
    <row r="58" spans="1:4">
      <c r="A58" s="89"/>
      <c r="B58" s="89"/>
      <c r="C58" s="92" t="s">
        <v>241</v>
      </c>
      <c r="D58" s="89"/>
    </row>
    <row r="59" spans="1:4">
      <c r="A59" s="89"/>
      <c r="B59" s="89"/>
      <c r="C59" s="103" t="s">
        <v>241</v>
      </c>
      <c r="D59" s="89"/>
    </row>
    <row r="60" spans="1:4">
      <c r="A60" s="89"/>
      <c r="B60" s="89"/>
      <c r="C60" s="89"/>
      <c r="D60" s="89"/>
    </row>
    <row r="61" spans="1:4">
      <c r="A61" s="89"/>
      <c r="B61" s="89"/>
      <c r="C61" s="89"/>
      <c r="D61" s="89"/>
    </row>
    <row r="62" spans="1:4">
      <c r="A62" s="89"/>
      <c r="B62" s="89"/>
      <c r="C62" s="89"/>
      <c r="D62" s="89"/>
    </row>
    <row r="63" spans="1:4">
      <c r="A63" s="89"/>
      <c r="B63" s="89"/>
      <c r="C63" s="89"/>
      <c r="D63" s="89"/>
    </row>
  </sheetData>
  <mergeCells count="4">
    <mergeCell ref="B2:D2"/>
    <mergeCell ref="B3:D3"/>
    <mergeCell ref="B4:D4"/>
    <mergeCell ref="B5:D5"/>
  </mergeCells>
  <pageMargins left="0.78740157480314965" right="0.74803149606299213" top="0.39370078740157483" bottom="0.39370078740157483"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75" workbookViewId="0">
      <selection activeCell="H33" sqref="H32:H33"/>
    </sheetView>
  </sheetViews>
  <sheetFormatPr baseColWidth="10" defaultRowHeight="12.75"/>
  <cols>
    <col min="1" max="1" width="41.42578125" style="105" customWidth="1"/>
    <col min="2" max="2" width="21.140625" style="105" customWidth="1"/>
    <col min="3" max="3" width="17.85546875" style="105" customWidth="1"/>
    <col min="4" max="4" width="16.7109375" style="105" customWidth="1"/>
    <col min="5" max="6" width="18.5703125" style="105" customWidth="1"/>
    <col min="7" max="7" width="18.140625" style="105" customWidth="1"/>
    <col min="8" max="8" width="16.85546875" style="105" bestFit="1" customWidth="1"/>
    <col min="9" max="16384" width="11.42578125" style="105"/>
  </cols>
  <sheetData>
    <row r="1" spans="1:8" ht="16.5" customHeight="1">
      <c r="A1" s="104"/>
      <c r="B1" s="104"/>
      <c r="C1" s="104"/>
      <c r="D1" s="104"/>
      <c r="E1" s="104"/>
      <c r="F1" s="104"/>
      <c r="G1" s="104"/>
    </row>
    <row r="2" spans="1:8">
      <c r="A2" s="104"/>
      <c r="B2" s="104"/>
      <c r="C2" s="104"/>
      <c r="D2" s="104"/>
      <c r="E2" s="104"/>
      <c r="F2" s="104"/>
      <c r="G2" s="104"/>
    </row>
    <row r="3" spans="1:8">
      <c r="A3" s="106" t="s">
        <v>243</v>
      </c>
      <c r="B3" s="106"/>
      <c r="C3" s="106"/>
      <c r="D3" s="106"/>
      <c r="E3" s="106"/>
      <c r="F3" s="106"/>
      <c r="G3" s="106"/>
    </row>
    <row r="4" spans="1:8">
      <c r="A4" s="107" t="s">
        <v>244</v>
      </c>
      <c r="B4" s="107"/>
      <c r="C4" s="107"/>
      <c r="D4" s="107"/>
      <c r="E4" s="107"/>
      <c r="F4" s="107"/>
      <c r="G4" s="107"/>
    </row>
    <row r="5" spans="1:8">
      <c r="A5" s="107" t="s">
        <v>245</v>
      </c>
      <c r="B5" s="107"/>
      <c r="C5" s="107"/>
      <c r="D5" s="107"/>
      <c r="E5" s="107"/>
      <c r="F5" s="107"/>
      <c r="G5" s="107"/>
    </row>
    <row r="6" spans="1:8" ht="17.25" customHeight="1" thickBot="1">
      <c r="A6" s="108" t="s">
        <v>246</v>
      </c>
      <c r="B6" s="109"/>
      <c r="C6" s="109"/>
      <c r="D6" s="109"/>
      <c r="E6" s="109"/>
      <c r="F6" s="109"/>
      <c r="G6" s="109"/>
    </row>
    <row r="7" spans="1:8" ht="33" customHeight="1">
      <c r="A7" s="627" t="s">
        <v>247</v>
      </c>
      <c r="B7" s="629" t="s">
        <v>248</v>
      </c>
      <c r="C7" s="630"/>
      <c r="D7" s="629" t="s">
        <v>249</v>
      </c>
      <c r="E7" s="630"/>
      <c r="F7" s="629" t="s">
        <v>250</v>
      </c>
      <c r="G7" s="631"/>
    </row>
    <row r="8" spans="1:8" ht="21.75" customHeight="1">
      <c r="A8" s="628"/>
      <c r="B8" s="110" t="s">
        <v>251</v>
      </c>
      <c r="C8" s="110" t="s">
        <v>252</v>
      </c>
      <c r="D8" s="110" t="s">
        <v>251</v>
      </c>
      <c r="E8" s="110" t="s">
        <v>252</v>
      </c>
      <c r="F8" s="110" t="s">
        <v>251</v>
      </c>
      <c r="G8" s="111" t="s">
        <v>252</v>
      </c>
    </row>
    <row r="9" spans="1:8">
      <c r="A9" s="112" t="s">
        <v>253</v>
      </c>
      <c r="B9" s="113">
        <v>2005872393</v>
      </c>
      <c r="C9" s="113">
        <v>844359454</v>
      </c>
      <c r="D9" s="113">
        <v>1708062000</v>
      </c>
      <c r="E9" s="113">
        <v>957550419</v>
      </c>
      <c r="F9" s="113">
        <f>+B9+D9</f>
        <v>3713934393</v>
      </c>
      <c r="G9" s="114">
        <f>+C9+E9</f>
        <v>1801909873</v>
      </c>
      <c r="H9" s="115" t="s">
        <v>241</v>
      </c>
    </row>
    <row r="10" spans="1:8">
      <c r="A10" s="112" t="s">
        <v>254</v>
      </c>
      <c r="B10" s="113">
        <f t="shared" ref="B10:G10" si="0">+B11+B12+B13</f>
        <v>1757668695</v>
      </c>
      <c r="C10" s="113">
        <f t="shared" si="0"/>
        <v>656590451</v>
      </c>
      <c r="D10" s="113">
        <f t="shared" si="0"/>
        <v>22374000</v>
      </c>
      <c r="E10" s="113">
        <f t="shared" si="0"/>
        <v>21140000</v>
      </c>
      <c r="F10" s="113">
        <f t="shared" si="0"/>
        <v>1780042695</v>
      </c>
      <c r="G10" s="114">
        <f t="shared" si="0"/>
        <v>677730451</v>
      </c>
    </row>
    <row r="11" spans="1:8">
      <c r="A11" s="116" t="s">
        <v>255</v>
      </c>
      <c r="B11" s="117">
        <v>535384974</v>
      </c>
      <c r="C11" s="117">
        <v>192326440</v>
      </c>
      <c r="D11" s="117">
        <v>0</v>
      </c>
      <c r="E11" s="117"/>
      <c r="F11" s="117">
        <f t="shared" ref="F11:G13" si="1">+B11+D11</f>
        <v>535384974</v>
      </c>
      <c r="G11" s="118">
        <f t="shared" si="1"/>
        <v>192326440</v>
      </c>
    </row>
    <row r="12" spans="1:8">
      <c r="A12" s="116" t="s">
        <v>256</v>
      </c>
      <c r="B12" s="117">
        <v>1175742721</v>
      </c>
      <c r="C12" s="117">
        <v>424028731</v>
      </c>
      <c r="D12" s="117">
        <v>21140000</v>
      </c>
      <c r="E12" s="117">
        <v>21140000</v>
      </c>
      <c r="F12" s="117">
        <f t="shared" si="1"/>
        <v>1196882721</v>
      </c>
      <c r="G12" s="118">
        <f t="shared" si="1"/>
        <v>445168731</v>
      </c>
    </row>
    <row r="13" spans="1:8">
      <c r="A13" s="116" t="s">
        <v>257</v>
      </c>
      <c r="B13" s="117">
        <v>46541000</v>
      </c>
      <c r="C13" s="117">
        <v>40235280</v>
      </c>
      <c r="D13" s="117">
        <v>1234000</v>
      </c>
      <c r="E13" s="117">
        <v>0</v>
      </c>
      <c r="F13" s="117">
        <f t="shared" si="1"/>
        <v>47775000</v>
      </c>
      <c r="G13" s="118">
        <f t="shared" si="1"/>
        <v>40235280</v>
      </c>
    </row>
    <row r="14" spans="1:8">
      <c r="A14" s="112" t="s">
        <v>258</v>
      </c>
      <c r="B14" s="113">
        <f t="shared" ref="B14:G14" si="2">+B15</f>
        <v>1333533655</v>
      </c>
      <c r="C14" s="113">
        <f t="shared" si="2"/>
        <v>484265261</v>
      </c>
      <c r="D14" s="113">
        <f t="shared" si="2"/>
        <v>9866000</v>
      </c>
      <c r="E14" s="113">
        <f t="shared" si="2"/>
        <v>0</v>
      </c>
      <c r="F14" s="113">
        <f t="shared" si="2"/>
        <v>1343399655</v>
      </c>
      <c r="G14" s="114">
        <f t="shared" si="2"/>
        <v>484265261</v>
      </c>
    </row>
    <row r="15" spans="1:8">
      <c r="A15" s="112" t="s">
        <v>259</v>
      </c>
      <c r="B15" s="113">
        <f t="shared" ref="B15:G15" si="3">+B16+B17+B18</f>
        <v>1333533655</v>
      </c>
      <c r="C15" s="113">
        <f t="shared" si="3"/>
        <v>484265261</v>
      </c>
      <c r="D15" s="113">
        <f t="shared" si="3"/>
        <v>9866000</v>
      </c>
      <c r="E15" s="113">
        <f t="shared" si="3"/>
        <v>0</v>
      </c>
      <c r="F15" s="113">
        <f t="shared" si="3"/>
        <v>1343399655</v>
      </c>
      <c r="G15" s="114">
        <f t="shared" si="3"/>
        <v>484265261</v>
      </c>
    </row>
    <row r="16" spans="1:8">
      <c r="A16" s="116" t="s">
        <v>260</v>
      </c>
      <c r="B16" s="117">
        <v>20134000</v>
      </c>
      <c r="C16" s="117">
        <v>0</v>
      </c>
      <c r="D16" s="117">
        <v>9866000</v>
      </c>
      <c r="E16" s="117">
        <f>+[5]FUNCIONAMIENTO!$T$64</f>
        <v>0</v>
      </c>
      <c r="F16" s="117">
        <f t="shared" ref="F16:G18" si="4">+B16+D16</f>
        <v>30000000</v>
      </c>
      <c r="G16" s="118">
        <f t="shared" si="4"/>
        <v>0</v>
      </c>
    </row>
    <row r="17" spans="1:8">
      <c r="A17" s="116" t="s">
        <v>261</v>
      </c>
      <c r="B17" s="117">
        <v>1290399655</v>
      </c>
      <c r="C17" s="117">
        <v>462256104</v>
      </c>
      <c r="D17" s="117"/>
      <c r="E17" s="117"/>
      <c r="F17" s="117">
        <f t="shared" si="4"/>
        <v>1290399655</v>
      </c>
      <c r="G17" s="118">
        <f t="shared" si="4"/>
        <v>462256104</v>
      </c>
    </row>
    <row r="18" spans="1:8">
      <c r="A18" s="116" t="s">
        <v>201</v>
      </c>
      <c r="B18" s="117">
        <f>+[5]FUNCIONAMIENTO!$I$30</f>
        <v>23000000</v>
      </c>
      <c r="C18" s="117">
        <v>22009157</v>
      </c>
      <c r="D18" s="117"/>
      <c r="E18" s="117"/>
      <c r="F18" s="117">
        <f t="shared" si="4"/>
        <v>23000000</v>
      </c>
      <c r="G18" s="118">
        <f t="shared" si="4"/>
        <v>22009157</v>
      </c>
    </row>
    <row r="19" spans="1:8">
      <c r="A19" s="112" t="s">
        <v>262</v>
      </c>
      <c r="B19" s="113">
        <f t="shared" ref="B19:G19" si="5">+B20+B21</f>
        <v>0</v>
      </c>
      <c r="C19" s="113">
        <f t="shared" si="5"/>
        <v>0</v>
      </c>
      <c r="D19" s="113">
        <f t="shared" si="5"/>
        <v>0</v>
      </c>
      <c r="E19" s="113">
        <f t="shared" si="5"/>
        <v>0</v>
      </c>
      <c r="F19" s="113">
        <f t="shared" si="5"/>
        <v>0</v>
      </c>
      <c r="G19" s="114">
        <f t="shared" si="5"/>
        <v>0</v>
      </c>
    </row>
    <row r="20" spans="1:8">
      <c r="A20" s="116" t="s">
        <v>263</v>
      </c>
      <c r="B20" s="117"/>
      <c r="C20" s="117"/>
      <c r="D20" s="117"/>
      <c r="E20" s="117"/>
      <c r="F20" s="117">
        <f>+B20+D20</f>
        <v>0</v>
      </c>
      <c r="G20" s="118">
        <f>+C20+E20</f>
        <v>0</v>
      </c>
    </row>
    <row r="21" spans="1:8">
      <c r="A21" s="116" t="s">
        <v>264</v>
      </c>
      <c r="B21" s="117"/>
      <c r="C21" s="117"/>
      <c r="D21" s="117"/>
      <c r="E21" s="117"/>
      <c r="F21" s="117">
        <f>+B21+D21</f>
        <v>0</v>
      </c>
      <c r="G21" s="118">
        <f>+C21+E21</f>
        <v>0</v>
      </c>
    </row>
    <row r="22" spans="1:8">
      <c r="A22" s="112" t="s">
        <v>265</v>
      </c>
      <c r="B22" s="113">
        <v>0</v>
      </c>
      <c r="C22" s="113">
        <v>0</v>
      </c>
      <c r="D22" s="113">
        <v>0</v>
      </c>
      <c r="E22" s="113">
        <v>0</v>
      </c>
      <c r="F22" s="113">
        <v>0</v>
      </c>
      <c r="G22" s="114">
        <v>0</v>
      </c>
    </row>
    <row r="23" spans="1:8">
      <c r="A23" s="112" t="s">
        <v>266</v>
      </c>
      <c r="B23" s="113">
        <f t="shared" ref="B23:G23" si="6">+B24</f>
        <v>310000000</v>
      </c>
      <c r="C23" s="113">
        <f t="shared" si="6"/>
        <v>58580659</v>
      </c>
      <c r="D23" s="113">
        <f t="shared" si="6"/>
        <v>0</v>
      </c>
      <c r="E23" s="113">
        <f t="shared" si="6"/>
        <v>0</v>
      </c>
      <c r="F23" s="113">
        <f t="shared" si="6"/>
        <v>310000000</v>
      </c>
      <c r="G23" s="114">
        <f t="shared" si="6"/>
        <v>58580659</v>
      </c>
    </row>
    <row r="24" spans="1:8">
      <c r="A24" s="116" t="s">
        <v>267</v>
      </c>
      <c r="B24" s="117">
        <v>310000000</v>
      </c>
      <c r="C24" s="117">
        <v>58580659</v>
      </c>
      <c r="D24" s="117"/>
      <c r="E24" s="117"/>
      <c r="F24" s="117">
        <f>+B24+D24</f>
        <v>310000000</v>
      </c>
      <c r="G24" s="118">
        <f>+C24+E24</f>
        <v>58580659</v>
      </c>
    </row>
    <row r="25" spans="1:8">
      <c r="A25" s="112" t="s">
        <v>268</v>
      </c>
      <c r="B25" s="113">
        <v>0</v>
      </c>
      <c r="C25" s="113">
        <v>0</v>
      </c>
      <c r="D25" s="113">
        <v>0</v>
      </c>
      <c r="E25" s="113">
        <v>0</v>
      </c>
      <c r="F25" s="113">
        <v>0</v>
      </c>
      <c r="G25" s="114">
        <v>0</v>
      </c>
    </row>
    <row r="26" spans="1:8">
      <c r="A26" s="112" t="s">
        <v>269</v>
      </c>
      <c r="B26" s="113">
        <f>+B9+B10+B14+B19+B22+B23+B25</f>
        <v>5407074743</v>
      </c>
      <c r="C26" s="113">
        <f>+C9+C10+C14+C19+C22+C23+C25</f>
        <v>2043795825</v>
      </c>
      <c r="D26" s="113">
        <f>+D9+D10+D14+D19+D22+D23+D25</f>
        <v>1740302000</v>
      </c>
      <c r="E26" s="113">
        <f>+E9+E10+E14+E19+E22+E23+E25</f>
        <v>978690419</v>
      </c>
      <c r="F26" s="113">
        <f>+F9+F10+F14+F19+F22+F23+F25</f>
        <v>7147376743</v>
      </c>
      <c r="G26" s="118">
        <f t="shared" ref="G26:G53" si="7">+C26+E26</f>
        <v>3022486244</v>
      </c>
      <c r="H26" s="119" t="s">
        <v>241</v>
      </c>
    </row>
    <row r="27" spans="1:8" ht="13.5" thickBot="1">
      <c r="A27" s="120" t="s">
        <v>241</v>
      </c>
      <c r="B27" s="121" t="s">
        <v>241</v>
      </c>
      <c r="C27" s="121" t="s">
        <v>241</v>
      </c>
      <c r="D27" s="121" t="s">
        <v>241</v>
      </c>
      <c r="E27" s="121"/>
      <c r="F27" s="122"/>
      <c r="G27" s="123" t="s">
        <v>241</v>
      </c>
    </row>
    <row r="28" spans="1:8">
      <c r="A28" s="124" t="s">
        <v>270</v>
      </c>
      <c r="B28" s="125">
        <f>+B29+B34+B40+B44+B47+B49</f>
        <v>22346335128</v>
      </c>
      <c r="C28" s="125">
        <f>+C29+C34+C40+C44+C47+C49</f>
        <v>9448616230</v>
      </c>
      <c r="D28" s="125">
        <f>+D29+D34+D40+D44+D47+D49</f>
        <v>1540000000</v>
      </c>
      <c r="E28" s="125">
        <f>+E29+E34+E40+E44+E47+E49</f>
        <v>786270865</v>
      </c>
      <c r="F28" s="125">
        <f t="shared" ref="F28:F53" si="8">+B28+D28</f>
        <v>23886335128</v>
      </c>
      <c r="G28" s="126">
        <f t="shared" si="7"/>
        <v>10234887095</v>
      </c>
      <c r="H28" s="105" t="s">
        <v>241</v>
      </c>
    </row>
    <row r="29" spans="1:8">
      <c r="A29" s="127" t="s">
        <v>271</v>
      </c>
      <c r="B29" s="128">
        <f>+B31+B32+B33</f>
        <v>2439541574</v>
      </c>
      <c r="C29" s="128">
        <f>+C31+C32+C33</f>
        <v>1241009471</v>
      </c>
      <c r="D29" s="128">
        <f>+D31+D32+D33</f>
        <v>0</v>
      </c>
      <c r="E29" s="128">
        <f>+E31+E32+E33</f>
        <v>0</v>
      </c>
      <c r="F29" s="128">
        <f>+F31+F32+F33</f>
        <v>2439541574</v>
      </c>
      <c r="G29" s="114">
        <f t="shared" si="7"/>
        <v>1241009471</v>
      </c>
    </row>
    <row r="30" spans="1:8" ht="39" customHeight="1" thickBot="1">
      <c r="A30" s="129" t="s">
        <v>272</v>
      </c>
      <c r="B30" s="128"/>
      <c r="C30" s="128"/>
      <c r="D30" s="128"/>
      <c r="E30" s="128"/>
      <c r="F30" s="113">
        <f t="shared" si="8"/>
        <v>0</v>
      </c>
      <c r="G30" s="114">
        <f t="shared" si="7"/>
        <v>0</v>
      </c>
    </row>
    <row r="31" spans="1:8" ht="24.75" customHeight="1">
      <c r="A31" s="130" t="s">
        <v>273</v>
      </c>
      <c r="B31" s="131">
        <v>1864541574</v>
      </c>
      <c r="C31" s="131">
        <v>1113376773</v>
      </c>
      <c r="D31" s="131"/>
      <c r="E31" s="131"/>
      <c r="F31" s="117">
        <f t="shared" si="8"/>
        <v>1864541574</v>
      </c>
      <c r="G31" s="118">
        <f t="shared" si="7"/>
        <v>1113376773</v>
      </c>
    </row>
    <row r="32" spans="1:8" ht="21">
      <c r="A32" s="130" t="s">
        <v>274</v>
      </c>
      <c r="B32" s="131">
        <v>350000000</v>
      </c>
      <c r="C32" s="131">
        <v>95715832</v>
      </c>
      <c r="D32" s="131"/>
      <c r="E32" s="131"/>
      <c r="F32" s="117">
        <f t="shared" si="8"/>
        <v>350000000</v>
      </c>
      <c r="G32" s="118">
        <f t="shared" si="7"/>
        <v>95715832</v>
      </c>
    </row>
    <row r="33" spans="1:8">
      <c r="A33" s="130" t="s">
        <v>275</v>
      </c>
      <c r="B33" s="131">
        <v>225000000</v>
      </c>
      <c r="C33" s="132">
        <v>31916866</v>
      </c>
      <c r="D33" s="131"/>
      <c r="E33" s="131"/>
      <c r="F33" s="117">
        <f t="shared" si="8"/>
        <v>225000000</v>
      </c>
      <c r="G33" s="118">
        <f t="shared" si="7"/>
        <v>31916866</v>
      </c>
    </row>
    <row r="34" spans="1:8">
      <c r="A34" s="127" t="s">
        <v>276</v>
      </c>
      <c r="B34" s="128">
        <f t="shared" ref="B34:G34" si="9">+B36+B37+B38+B39</f>
        <v>8072344572</v>
      </c>
      <c r="C34" s="128">
        <f t="shared" si="9"/>
        <v>3760932435</v>
      </c>
      <c r="D34" s="128">
        <f t="shared" si="9"/>
        <v>1540000000</v>
      </c>
      <c r="E34" s="128">
        <f t="shared" si="9"/>
        <v>786270865</v>
      </c>
      <c r="F34" s="128">
        <f t="shared" si="9"/>
        <v>9612344572</v>
      </c>
      <c r="G34" s="133">
        <f t="shared" si="9"/>
        <v>4547203300</v>
      </c>
    </row>
    <row r="35" spans="1:8" ht="24.75" thickBot="1">
      <c r="A35" s="129" t="s">
        <v>277</v>
      </c>
      <c r="B35" s="128"/>
      <c r="C35" s="128"/>
      <c r="D35" s="128"/>
      <c r="E35" s="128"/>
      <c r="F35" s="117">
        <f t="shared" si="8"/>
        <v>0</v>
      </c>
      <c r="G35" s="118">
        <f t="shared" si="7"/>
        <v>0</v>
      </c>
    </row>
    <row r="36" spans="1:8" ht="21">
      <c r="A36" s="130" t="s">
        <v>278</v>
      </c>
      <c r="B36" s="131">
        <v>2713871379</v>
      </c>
      <c r="C36" s="131">
        <v>2134860420</v>
      </c>
      <c r="D36" s="131">
        <v>0</v>
      </c>
      <c r="E36" s="131">
        <v>0</v>
      </c>
      <c r="F36" s="117">
        <f t="shared" si="8"/>
        <v>2713871379</v>
      </c>
      <c r="G36" s="118">
        <f t="shared" si="7"/>
        <v>2134860420</v>
      </c>
    </row>
    <row r="37" spans="1:8" ht="27" customHeight="1">
      <c r="A37" s="130" t="s">
        <v>279</v>
      </c>
      <c r="B37" s="131">
        <v>2103012723</v>
      </c>
      <c r="C37" s="131">
        <v>643283684</v>
      </c>
      <c r="D37" s="131">
        <v>1540000000</v>
      </c>
      <c r="E37" s="131">
        <v>786270865</v>
      </c>
      <c r="F37" s="117">
        <f t="shared" si="8"/>
        <v>3643012723</v>
      </c>
      <c r="G37" s="118">
        <f t="shared" si="7"/>
        <v>1429554549</v>
      </c>
      <c r="H37" s="105" t="s">
        <v>241</v>
      </c>
    </row>
    <row r="38" spans="1:8" ht="21">
      <c r="A38" s="130" t="s">
        <v>280</v>
      </c>
      <c r="B38" s="131">
        <v>2211505468</v>
      </c>
      <c r="C38" s="131">
        <v>373546701</v>
      </c>
      <c r="D38" s="131"/>
      <c r="E38" s="131"/>
      <c r="F38" s="117">
        <f t="shared" si="8"/>
        <v>2211505468</v>
      </c>
      <c r="G38" s="118">
        <f t="shared" si="7"/>
        <v>373546701</v>
      </c>
    </row>
    <row r="39" spans="1:8" ht="21">
      <c r="A39" s="130" t="s">
        <v>281</v>
      </c>
      <c r="B39" s="131">
        <v>1043955002</v>
      </c>
      <c r="C39" s="131">
        <v>609241630</v>
      </c>
      <c r="D39" s="131"/>
      <c r="E39" s="131"/>
      <c r="F39" s="117">
        <f t="shared" si="8"/>
        <v>1043955002</v>
      </c>
      <c r="G39" s="118">
        <f t="shared" si="7"/>
        <v>609241630</v>
      </c>
    </row>
    <row r="40" spans="1:8">
      <c r="A40" s="127" t="s">
        <v>282</v>
      </c>
      <c r="B40" s="128">
        <f t="shared" ref="B40:G40" si="10">+B42+B43</f>
        <v>2015527581</v>
      </c>
      <c r="C40" s="128">
        <f t="shared" si="10"/>
        <v>1256815079</v>
      </c>
      <c r="D40" s="128">
        <f t="shared" si="10"/>
        <v>0</v>
      </c>
      <c r="E40" s="128">
        <f t="shared" si="10"/>
        <v>0</v>
      </c>
      <c r="F40" s="128">
        <f t="shared" si="10"/>
        <v>2015527581</v>
      </c>
      <c r="G40" s="133">
        <f t="shared" si="10"/>
        <v>1256815079</v>
      </c>
    </row>
    <row r="41" spans="1:8" ht="54" customHeight="1" thickBot="1">
      <c r="A41" s="129" t="s">
        <v>283</v>
      </c>
      <c r="B41" s="128"/>
      <c r="C41" s="128"/>
      <c r="D41" s="128"/>
      <c r="E41" s="128"/>
      <c r="F41" s="117">
        <f t="shared" si="8"/>
        <v>0</v>
      </c>
      <c r="G41" s="118">
        <f t="shared" si="7"/>
        <v>0</v>
      </c>
    </row>
    <row r="42" spans="1:8">
      <c r="A42" s="130" t="s">
        <v>284</v>
      </c>
      <c r="B42" s="131">
        <v>320000000</v>
      </c>
      <c r="C42" s="131">
        <v>221420184</v>
      </c>
      <c r="D42" s="131"/>
      <c r="E42" s="131"/>
      <c r="F42" s="117">
        <f t="shared" si="8"/>
        <v>320000000</v>
      </c>
      <c r="G42" s="118">
        <f t="shared" si="7"/>
        <v>221420184</v>
      </c>
    </row>
    <row r="43" spans="1:8">
      <c r="A43" s="130" t="s">
        <v>285</v>
      </c>
      <c r="B43" s="131">
        <v>1695527581</v>
      </c>
      <c r="C43" s="131">
        <v>1035394895</v>
      </c>
      <c r="D43" s="131"/>
      <c r="E43" s="131"/>
      <c r="F43" s="117">
        <f t="shared" si="8"/>
        <v>1695527581</v>
      </c>
      <c r="G43" s="118">
        <f t="shared" si="7"/>
        <v>1035394895</v>
      </c>
    </row>
    <row r="44" spans="1:8" ht="36" customHeight="1" thickBot="1">
      <c r="A44" s="129" t="s">
        <v>286</v>
      </c>
      <c r="B44" s="134">
        <f t="shared" ref="B44:G44" si="11">+B45+B46</f>
        <v>5266813192</v>
      </c>
      <c r="C44" s="134">
        <f t="shared" si="11"/>
        <v>1652307925</v>
      </c>
      <c r="D44" s="134">
        <f t="shared" si="11"/>
        <v>0</v>
      </c>
      <c r="E44" s="134">
        <f t="shared" si="11"/>
        <v>0</v>
      </c>
      <c r="F44" s="134">
        <f t="shared" si="11"/>
        <v>5266813192</v>
      </c>
      <c r="G44" s="135">
        <f t="shared" si="11"/>
        <v>1652307925</v>
      </c>
    </row>
    <row r="45" spans="1:8" ht="23.25" customHeight="1">
      <c r="A45" s="130" t="s">
        <v>287</v>
      </c>
      <c r="B45" s="131">
        <v>3711050806</v>
      </c>
      <c r="C45" s="131">
        <v>1403140857</v>
      </c>
      <c r="D45" s="131"/>
      <c r="E45" s="131"/>
      <c r="F45" s="117">
        <f t="shared" si="8"/>
        <v>3711050806</v>
      </c>
      <c r="G45" s="118">
        <f t="shared" si="7"/>
        <v>1403140857</v>
      </c>
    </row>
    <row r="46" spans="1:8" ht="30" customHeight="1">
      <c r="A46" s="130" t="s">
        <v>288</v>
      </c>
      <c r="B46" s="131">
        <v>1555762386</v>
      </c>
      <c r="C46" s="131">
        <v>249167068</v>
      </c>
      <c r="D46" s="131"/>
      <c r="E46" s="131"/>
      <c r="F46" s="117">
        <f t="shared" si="8"/>
        <v>1555762386</v>
      </c>
      <c r="G46" s="118">
        <f t="shared" si="7"/>
        <v>249167068</v>
      </c>
    </row>
    <row r="47" spans="1:8" ht="36.75" customHeight="1" thickBot="1">
      <c r="A47" s="129" t="s">
        <v>289</v>
      </c>
      <c r="B47" s="134">
        <f t="shared" ref="B47:G47" si="12">+B48</f>
        <v>410231113</v>
      </c>
      <c r="C47" s="134">
        <f t="shared" si="12"/>
        <v>38867961</v>
      </c>
      <c r="D47" s="134">
        <f t="shared" si="12"/>
        <v>0</v>
      </c>
      <c r="E47" s="134">
        <f t="shared" si="12"/>
        <v>0</v>
      </c>
      <c r="F47" s="134">
        <f t="shared" si="12"/>
        <v>410231113</v>
      </c>
      <c r="G47" s="135">
        <f t="shared" si="12"/>
        <v>38867961</v>
      </c>
    </row>
    <row r="48" spans="1:8" ht="21">
      <c r="A48" s="136" t="s">
        <v>290</v>
      </c>
      <c r="B48" s="131">
        <v>410231113</v>
      </c>
      <c r="C48" s="131">
        <v>38867961</v>
      </c>
      <c r="D48" s="131"/>
      <c r="E48" s="131"/>
      <c r="F48" s="117">
        <f t="shared" si="8"/>
        <v>410231113</v>
      </c>
      <c r="G48" s="118">
        <f t="shared" si="7"/>
        <v>38867961</v>
      </c>
    </row>
    <row r="49" spans="1:7" ht="27" customHeight="1" thickBot="1">
      <c r="A49" s="129" t="s">
        <v>291</v>
      </c>
      <c r="B49" s="128">
        <f t="shared" ref="B49:G49" si="13">+B50+B51</f>
        <v>4141877096</v>
      </c>
      <c r="C49" s="128">
        <f t="shared" si="13"/>
        <v>1498683359</v>
      </c>
      <c r="D49" s="128">
        <f t="shared" si="13"/>
        <v>0</v>
      </c>
      <c r="E49" s="128">
        <f t="shared" si="13"/>
        <v>0</v>
      </c>
      <c r="F49" s="128">
        <f t="shared" si="13"/>
        <v>4141877096</v>
      </c>
      <c r="G49" s="133">
        <f t="shared" si="13"/>
        <v>1498683359</v>
      </c>
    </row>
    <row r="50" spans="1:7" ht="21">
      <c r="A50" s="137" t="s">
        <v>292</v>
      </c>
      <c r="B50" s="131">
        <v>1266511705</v>
      </c>
      <c r="C50" s="131">
        <v>173510984</v>
      </c>
      <c r="D50" s="131"/>
      <c r="E50" s="131"/>
      <c r="F50" s="117">
        <f t="shared" si="8"/>
        <v>1266511705</v>
      </c>
      <c r="G50" s="118">
        <f t="shared" si="7"/>
        <v>173510984</v>
      </c>
    </row>
    <row r="51" spans="1:7">
      <c r="A51" s="137" t="s">
        <v>293</v>
      </c>
      <c r="B51" s="131">
        <v>2875365391</v>
      </c>
      <c r="C51" s="131">
        <v>1325172375</v>
      </c>
      <c r="D51" s="131"/>
      <c r="E51" s="131"/>
      <c r="F51" s="117">
        <f t="shared" si="8"/>
        <v>2875365391</v>
      </c>
      <c r="G51" s="118">
        <f t="shared" si="7"/>
        <v>1325172375</v>
      </c>
    </row>
    <row r="52" spans="1:7">
      <c r="A52" s="127" t="s">
        <v>241</v>
      </c>
      <c r="B52" s="128">
        <v>0</v>
      </c>
      <c r="C52" s="128">
        <v>0</v>
      </c>
      <c r="D52" s="128">
        <v>0</v>
      </c>
      <c r="E52" s="128">
        <v>0</v>
      </c>
      <c r="F52" s="117">
        <f t="shared" si="8"/>
        <v>0</v>
      </c>
      <c r="G52" s="118">
        <f t="shared" si="7"/>
        <v>0</v>
      </c>
    </row>
    <row r="53" spans="1:7">
      <c r="A53" s="138" t="s">
        <v>294</v>
      </c>
      <c r="B53" s="113">
        <v>0</v>
      </c>
      <c r="C53" s="113">
        <v>0</v>
      </c>
      <c r="D53" s="113">
        <v>0</v>
      </c>
      <c r="E53" s="113">
        <v>0</v>
      </c>
      <c r="F53" s="117">
        <f t="shared" si="8"/>
        <v>0</v>
      </c>
      <c r="G53" s="118">
        <f t="shared" si="7"/>
        <v>0</v>
      </c>
    </row>
    <row r="54" spans="1:7">
      <c r="A54" s="139">
        <v>0</v>
      </c>
      <c r="B54" s="140">
        <v>0</v>
      </c>
      <c r="C54" s="140"/>
      <c r="D54" s="140"/>
      <c r="E54" s="140"/>
      <c r="F54" s="113"/>
      <c r="G54" s="114"/>
    </row>
    <row r="55" spans="1:7" ht="13.5" thickBot="1">
      <c r="A55" s="141" t="s">
        <v>295</v>
      </c>
      <c r="B55" s="142">
        <f t="shared" ref="B55:G55" si="14">+B26+B28+B53</f>
        <v>27753409871</v>
      </c>
      <c r="C55" s="142">
        <f t="shared" si="14"/>
        <v>11492412055</v>
      </c>
      <c r="D55" s="142">
        <f t="shared" si="14"/>
        <v>3280302000</v>
      </c>
      <c r="E55" s="142">
        <f t="shared" si="14"/>
        <v>1764961284</v>
      </c>
      <c r="F55" s="142">
        <f t="shared" si="14"/>
        <v>31033711871</v>
      </c>
      <c r="G55" s="143">
        <f t="shared" si="14"/>
        <v>13257373339</v>
      </c>
    </row>
    <row r="56" spans="1:7" ht="27.75" customHeight="1">
      <c r="A56" s="144"/>
      <c r="B56" s="145" t="s">
        <v>241</v>
      </c>
      <c r="C56" s="146" t="s">
        <v>241</v>
      </c>
      <c r="D56" s="145"/>
      <c r="E56" s="145" t="s">
        <v>241</v>
      </c>
      <c r="F56" s="145"/>
      <c r="G56" s="145" t="s">
        <v>241</v>
      </c>
    </row>
    <row r="57" spans="1:7" ht="32.25" customHeight="1">
      <c r="A57" s="147"/>
      <c r="B57" s="147" t="s">
        <v>241</v>
      </c>
      <c r="C57" s="147"/>
      <c r="D57" s="147" t="s">
        <v>241</v>
      </c>
      <c r="E57" s="147"/>
      <c r="F57" s="147"/>
      <c r="G57" s="147"/>
    </row>
    <row r="58" spans="1:7">
      <c r="A58" s="148"/>
      <c r="B58" s="149" t="s">
        <v>241</v>
      </c>
      <c r="C58" s="150"/>
      <c r="D58" s="150"/>
      <c r="E58" s="149" t="s">
        <v>241</v>
      </c>
      <c r="F58" s="149">
        <f>+F55-[3]Hoja1!$F$37</f>
        <v>0</v>
      </c>
      <c r="G58" s="149" t="s">
        <v>241</v>
      </c>
    </row>
    <row r="59" spans="1:7">
      <c r="A59" s="148"/>
      <c r="B59" s="151" t="s">
        <v>241</v>
      </c>
      <c r="C59" s="150"/>
      <c r="D59" s="150"/>
      <c r="E59" s="150"/>
      <c r="F59" s="149" t="e">
        <f>+[3]Hoja1!$J$207</f>
        <v>#REF!</v>
      </c>
      <c r="G59" s="149" t="s">
        <v>241</v>
      </c>
    </row>
    <row r="60" spans="1:7">
      <c r="A60" s="148"/>
      <c r="B60" s="150"/>
      <c r="C60" s="150"/>
      <c r="D60" s="150"/>
      <c r="E60" s="150"/>
      <c r="F60" s="149" t="e">
        <f>+F58-F59</f>
        <v>#REF!</v>
      </c>
      <c r="G60" s="150"/>
    </row>
    <row r="61" spans="1:7">
      <c r="A61" s="152"/>
    </row>
    <row r="62" spans="1:7">
      <c r="A62" s="153"/>
    </row>
    <row r="63" spans="1:7">
      <c r="A63" s="153"/>
    </row>
    <row r="64" spans="1:7">
      <c r="A64" s="153"/>
    </row>
    <row r="65" spans="1:1">
      <c r="A65" s="154"/>
    </row>
    <row r="66" spans="1:1" ht="15.75" customHeight="1">
      <c r="A66" s="154"/>
    </row>
    <row r="67" spans="1:1">
      <c r="A67" s="154"/>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Normal="100" zoomScaleSheetLayoutView="75" workbookViewId="0">
      <selection activeCell="D9" sqref="D9"/>
    </sheetView>
  </sheetViews>
  <sheetFormatPr baseColWidth="10" defaultRowHeight="12.75"/>
  <cols>
    <col min="1" max="1" width="47.42578125" customWidth="1"/>
    <col min="2" max="2" width="84.140625" customWidth="1"/>
  </cols>
  <sheetData>
    <row r="1" spans="1:2" ht="14.25" thickBot="1">
      <c r="A1" s="636" t="s">
        <v>29</v>
      </c>
      <c r="B1" s="636"/>
    </row>
    <row r="2" spans="1:2" ht="27" customHeight="1">
      <c r="A2" s="632" t="s">
        <v>30</v>
      </c>
      <c r="B2" s="633"/>
    </row>
    <row r="3" spans="1:2" ht="24.75" customHeight="1" thickBot="1">
      <c r="A3" s="634" t="s">
        <v>31</v>
      </c>
      <c r="B3" s="635"/>
    </row>
    <row r="4" spans="1:2">
      <c r="A4" s="8" t="s">
        <v>32</v>
      </c>
      <c r="B4" s="8" t="s">
        <v>33</v>
      </c>
    </row>
    <row r="5" spans="1:2" ht="36.75">
      <c r="A5" s="9" t="s">
        <v>119</v>
      </c>
      <c r="B5" s="10" t="s">
        <v>73</v>
      </c>
    </row>
    <row r="6" spans="1:2" ht="27.75">
      <c r="A6" s="9" t="s">
        <v>34</v>
      </c>
      <c r="B6" s="10" t="s">
        <v>74</v>
      </c>
    </row>
    <row r="7" spans="1:2" ht="21" customHeight="1">
      <c r="A7" s="9" t="s">
        <v>35</v>
      </c>
      <c r="B7" s="10" t="s">
        <v>75</v>
      </c>
    </row>
    <row r="8" spans="1:2" ht="45" customHeight="1">
      <c r="A8" s="9" t="s">
        <v>78</v>
      </c>
      <c r="B8" s="191" t="s">
        <v>62</v>
      </c>
    </row>
    <row r="9" spans="1:2" ht="54" customHeight="1">
      <c r="A9" s="195" t="s">
        <v>63</v>
      </c>
      <c r="B9" s="10" t="s">
        <v>76</v>
      </c>
    </row>
    <row r="10" spans="1:2" ht="21" customHeight="1">
      <c r="A10" s="192" t="s">
        <v>339</v>
      </c>
      <c r="B10" s="193" t="s">
        <v>340</v>
      </c>
    </row>
    <row r="11" spans="1:2" ht="40.5" customHeight="1">
      <c r="A11" s="9" t="s">
        <v>77</v>
      </c>
      <c r="B11" s="10" t="s">
        <v>343</v>
      </c>
    </row>
    <row r="12" spans="1:2" ht="36.75" customHeight="1">
      <c r="A12" s="195" t="s">
        <v>36</v>
      </c>
      <c r="B12" s="194" t="s">
        <v>79</v>
      </c>
    </row>
    <row r="13" spans="1:2" ht="21.75" customHeight="1">
      <c r="A13" s="195" t="s">
        <v>57</v>
      </c>
      <c r="B13" s="10" t="s">
        <v>80</v>
      </c>
    </row>
    <row r="14" spans="1:2" ht="18.75">
      <c r="A14" s="9" t="s">
        <v>37</v>
      </c>
      <c r="B14" s="10" t="s">
        <v>61</v>
      </c>
    </row>
    <row r="15" spans="1:2" ht="18.75">
      <c r="A15" s="9" t="s">
        <v>38</v>
      </c>
      <c r="B15" s="10" t="s">
        <v>64</v>
      </c>
    </row>
    <row r="16" spans="1:2" ht="18.75">
      <c r="A16" s="9" t="s">
        <v>39</v>
      </c>
      <c r="B16" s="10" t="s">
        <v>81</v>
      </c>
    </row>
    <row r="17" spans="1:2" ht="36.75">
      <c r="A17" s="9" t="s">
        <v>40</v>
      </c>
      <c r="B17" s="10" t="s">
        <v>12</v>
      </c>
    </row>
    <row r="18" spans="1:2" ht="18.75">
      <c r="A18" s="9" t="s">
        <v>41</v>
      </c>
      <c r="B18" s="10" t="s">
        <v>42</v>
      </c>
    </row>
    <row r="19" spans="1:2" ht="18.75">
      <c r="A19" s="9" t="s">
        <v>43</v>
      </c>
      <c r="B19" s="10" t="s">
        <v>82</v>
      </c>
    </row>
    <row r="20" spans="1:2" ht="25.5" customHeight="1">
      <c r="A20" s="9" t="s">
        <v>44</v>
      </c>
      <c r="B20" s="10" t="s">
        <v>65</v>
      </c>
    </row>
    <row r="21" spans="1:2" ht="25.5" customHeight="1">
      <c r="A21" s="9" t="s">
        <v>45</v>
      </c>
      <c r="B21" s="10" t="s">
        <v>66</v>
      </c>
    </row>
    <row r="22" spans="1:2" ht="21" customHeight="1">
      <c r="A22" s="9" t="s">
        <v>46</v>
      </c>
      <c r="B22" s="10" t="s">
        <v>67</v>
      </c>
    </row>
    <row r="23" spans="1:2" ht="84" customHeight="1" thickBot="1">
      <c r="A23" s="196" t="s">
        <v>84</v>
      </c>
      <c r="B23" s="11" t="s">
        <v>6</v>
      </c>
    </row>
  </sheetData>
  <mergeCells count="3">
    <mergeCell ref="A2:B2"/>
    <mergeCell ref="A3:B3"/>
    <mergeCell ref="A1:B1"/>
  </mergeCells>
  <phoneticPr fontId="17"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Anexo 1 Matriz SINA Inf Gestión</vt:lpstr>
      <vt:lpstr>Anexo 2 Matriz Inf. Ejecución</vt:lpstr>
      <vt:lpstr>Anexo 3</vt:lpstr>
      <vt:lpstr>Anexo 5-1 Ingresos</vt:lpstr>
      <vt:lpstr>Anexo 5-2 Gastos (2)</vt:lpstr>
      <vt:lpstr>Anexo 3 Matriz Ind Min Jun</vt:lpstr>
      <vt:lpstr>Anexos 5-1 Ingresos </vt:lpstr>
      <vt:lpstr>Anexo 5-2 Gastos</vt:lpstr>
      <vt:lpstr>Anexo 2 Protocolo Inf Gestión</vt:lpstr>
      <vt:lpstr>Anexo 4 ProtocoloMatrizINdica</vt:lpstr>
      <vt:lpstr>Hoja1</vt:lpstr>
      <vt:lpstr>Hoja2</vt:lpstr>
      <vt:lpstr>'Anexo 1 Matriz SINA Inf Gestión'!Área_de_impresión</vt:lpstr>
      <vt:lpstr>'Anexo 2 Protocolo Inf Gestión'!Área_de_impresión</vt:lpstr>
      <vt:lpstr>'Anexo 4 ProtocoloMatrizINdica'!Área_de_impresión</vt:lpstr>
      <vt:lpstr>'Anexo 5-1 Ingresos'!Área_de_impresión</vt:lpstr>
      <vt:lpstr>'Anexo 5-2 Gastos'!Área_de_impresión</vt:lpstr>
      <vt:lpstr>'Anexo 5-2 Gastos (2)'!Área_de_impresión</vt:lpstr>
      <vt:lpstr>'Anexos 5-1 Ingresos '!Área_de_impresión</vt:lpstr>
      <vt:lpstr>'Anexo 1 Matriz SINA Inf Gestión'!Títulos_a_imprimir</vt:lpstr>
      <vt:lpstr>'Anexo 2 Matriz Inf. Ejecución'!Títulos_a_imprimir</vt:lpstr>
      <vt:lpstr>'Anexo 3 Matriz Ind Min Jun'!Títulos_a_imprimir</vt:lpstr>
      <vt:lpstr>'Anexo 5-2 Gastos'!Títulos_a_imprimir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Edisney Silva Argote</cp:lastModifiedBy>
  <cp:lastPrinted>2017-02-08T14:08:43Z</cp:lastPrinted>
  <dcterms:created xsi:type="dcterms:W3CDTF">2004-01-28T22:51:19Z</dcterms:created>
  <dcterms:modified xsi:type="dcterms:W3CDTF">2017-03-06T15:51:41Z</dcterms:modified>
</cp:coreProperties>
</file>