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3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</externalReferences>
  <definedNames>
    <definedName name="_xlnm.Print_Area" localSheetId="3">'INVERSION'!$A$1:$J$22</definedName>
  </definedNames>
  <calcPr fullCalcOnLoad="1"/>
</workbook>
</file>

<file path=xl/sharedStrings.xml><?xml version="1.0" encoding="utf-8"?>
<sst xmlns="http://schemas.openxmlformats.org/spreadsheetml/2006/main" count="428" uniqueCount="166">
  <si>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</si>
  <si>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</si>
  <si>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</si>
  <si>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</si>
  <si>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</si>
  <si>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</si>
  <si>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</si>
  <si>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</si>
  <si>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</si>
  <si>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</si>
  <si>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</si>
  <si>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</si>
  <si>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</si>
  <si>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</si>
  <si>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</si>
  <si>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</si>
  <si>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</si>
  <si>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</si>
  <si>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</si>
  <si>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</si>
  <si>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</si>
  <si>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</si>
  <si>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</si>
  <si>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</si>
  <si>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</si>
  <si>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</si>
  <si>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</si>
  <si>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</si>
  <si>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</si>
  <si>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</si>
  <si>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</si>
  <si>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</si>
  <si>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</si>
  <si>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</si>
  <si>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</si>
  <si>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</si>
  <si>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</si>
  <si>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</si>
  <si>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</si>
  <si>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</si>
  <si>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</si>
  <si>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</si>
  <si>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</si>
  <si>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</si>
  <si>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</si>
  <si>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</si>
  <si>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</si>
  <si>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</si>
  <si>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</si>
  <si>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</si>
  <si>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</si>
  <si>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</si>
  <si>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</si>
  <si>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</si>
  <si>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</si>
  <si>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</si>
  <si>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</si>
  <si>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</si>
  <si>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</si>
  <si>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</si>
  <si>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</si>
  <si>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</si>
  <si>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</si>
  <si>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</si>
  <si>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</si>
  <si>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</si>
  <si>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</si>
  <si>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</si>
  <si>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</si>
  <si>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</si>
  <si>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</si>
  <si>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</si>
  <si>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</si>
  <si>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</si>
  <si>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</si>
  <si>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</si>
  <si>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</si>
  <si>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</si>
  <si>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</si>
  <si>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</si>
  <si>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</si>
  <si>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</si>
  <si>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</si>
  <si>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</si>
  <si>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</si>
  <si>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</si>
  <si>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</si>
  <si>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</si>
  <si>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</si>
  <si>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</si>
  <si>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</si>
  <si>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</si>
  <si>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</si>
  <si>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</si>
  <si>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</si>
  <si>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</si>
  <si>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</si>
  <si>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</si>
  <si>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</si>
  <si>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</si>
  <si>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</si>
  <si>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</si>
  <si>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</si>
  <si>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</si>
  <si>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</si>
  <si>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</si>
  <si>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</si>
  <si>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</si>
  <si>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</si>
  <si>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</si>
  <si>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</si>
  <si>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</si>
  <si>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</si>
  <si>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</si>
  <si>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</si>
  <si>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</si>
  <si>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</si>
  <si>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</si>
  <si>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</si>
  <si>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</si>
  <si>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</si>
  <si>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</si>
  <si>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</si>
  <si>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</si>
  <si>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</si>
  <si>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</si>
  <si>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</si>
  <si>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</si>
  <si>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</si>
  <si>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</si>
  <si>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</si>
  <si>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</si>
  <si>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</si>
  <si>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</si>
  <si>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</si>
  <si>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</si>
  <si>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</si>
  <si>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</si>
  <si>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</si>
  <si>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</si>
  <si>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</si>
  <si>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</si>
  <si>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</si>
  <si>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</si>
  <si>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</si>
  <si>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</si>
  <si>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</si>
  <si>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</si>
  <si>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</si>
  <si>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</si>
  <si>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</si>
  <si>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</si>
  <si>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</si>
  <si>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</si>
  <si>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</si>
  <si>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</si>
  <si>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</si>
  <si>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</si>
  <si>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</si>
  <si>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</si>
  <si>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</si>
  <si>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SALDO POR EJECUTAR</t>
  </si>
  <si>
    <t>SALDO POR</t>
  </si>
  <si>
    <t>EJECUCION PRESUPUESTAL A JUNIO 30 DE 2020</t>
  </si>
  <si>
    <t>EJECUCION PRESUPUESTAL GASTOS DE INVERSION RECURSOS PROPIOS A JUNIO 30 DE 2020</t>
  </si>
  <si>
    <t>PLAN DE ACCION 2016-2019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</si>
</sst>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8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202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wrapText="1"/>
      <protection locked="0"/>
    </xf>
    <xf numFmtId="3" fontId="29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202" fontId="7" fillId="0" borderId="10" xfId="49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/>
    </xf>
    <xf numFmtId="3" fontId="49" fillId="0" borderId="10" xfId="49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29" fillId="0" borderId="10" xfId="49" applyNumberFormat="1" applyFont="1" applyFill="1" applyBorder="1" applyAlignment="1" quotePrefix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6"/>
  <sheetViews>
    <sheetView zoomScalePageLayoutView="0" workbookViewId="0" topLeftCell="A1">
      <selection activeCell="Y10" sqref="Y10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37.7109375" style="0" customWidth="1"/>
    <col min="7" max="7" width="16.28125" style="0" customWidth="1"/>
    <col min="8" max="8" width="20.57421875" style="54" customWidth="1"/>
    <col min="9" max="9" width="19.421875" style="12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2.8515625" style="0" hidden="1" customWidth="1"/>
    <col min="20" max="20" width="16.00390625" style="54" customWidth="1"/>
    <col min="21" max="21" width="16.00390625" style="0" hidden="1" customWidth="1"/>
    <col min="22" max="22" width="18.8515625" style="0" customWidth="1"/>
    <col min="23" max="23" width="0" style="0" hidden="1" customWidth="1"/>
    <col min="24" max="24" width="18.57421875" style="0" customWidth="1"/>
    <col min="25" max="25" width="13.7109375" style="0" bestFit="1" customWidth="1"/>
    <col min="26" max="26" width="13.7109375" style="0" customWidth="1"/>
    <col min="27" max="28" width="12.7109375" style="0" bestFit="1" customWidth="1"/>
  </cols>
  <sheetData>
    <row r="1" spans="1:44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2.75">
      <c r="A2" s="148" t="s">
        <v>163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12.75">
      <c r="A3" s="148" t="s">
        <v>77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12.75">
      <c r="A4" s="2"/>
      <c r="B4" s="2"/>
      <c r="C4" s="2"/>
      <c r="D4" s="2"/>
      <c r="E4" s="2"/>
      <c r="F4" s="2"/>
      <c r="G4" s="2"/>
      <c r="H4" s="12"/>
      <c r="I4" s="114"/>
      <c r="J4" s="2"/>
      <c r="K4" s="2"/>
      <c r="L4" s="2"/>
      <c r="M4" s="26"/>
      <c r="N4" s="26"/>
      <c r="O4" s="2"/>
      <c r="P4" s="2"/>
      <c r="Q4" s="2"/>
      <c r="R4" s="2"/>
      <c r="S4" s="2"/>
      <c r="T4" s="12"/>
      <c r="U4" s="2"/>
      <c r="V4" s="2"/>
      <c r="W4" s="2"/>
      <c r="X4" s="2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15" t="s">
        <v>3</v>
      </c>
      <c r="J5" s="70" t="s">
        <v>75</v>
      </c>
      <c r="K5" s="70" t="s">
        <v>35</v>
      </c>
      <c r="L5" s="14" t="s">
        <v>36</v>
      </c>
      <c r="M5" s="25" t="s">
        <v>47</v>
      </c>
      <c r="N5" s="62" t="s">
        <v>76</v>
      </c>
      <c r="O5" s="2"/>
      <c r="P5" s="2"/>
      <c r="Q5" s="2"/>
      <c r="R5" s="2"/>
      <c r="S5" s="18" t="s">
        <v>75</v>
      </c>
      <c r="T5" s="10" t="s">
        <v>35</v>
      </c>
      <c r="U5" s="18" t="s">
        <v>82</v>
      </c>
      <c r="V5" s="18" t="s">
        <v>78</v>
      </c>
      <c r="W5" s="18"/>
      <c r="X5" s="18" t="s">
        <v>74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15" t="s">
        <v>5</v>
      </c>
      <c r="J6" s="10" t="s">
        <v>1</v>
      </c>
      <c r="K6" s="24"/>
      <c r="L6" s="14" t="s">
        <v>40</v>
      </c>
      <c r="M6" s="63" t="s">
        <v>75</v>
      </c>
      <c r="N6" s="62" t="s">
        <v>35</v>
      </c>
      <c r="O6" s="2"/>
      <c r="P6" s="2"/>
      <c r="Q6" s="2"/>
      <c r="R6" s="2"/>
      <c r="S6" s="2"/>
      <c r="T6" s="10"/>
      <c r="U6" s="18"/>
      <c r="V6" s="18" t="s">
        <v>79</v>
      </c>
      <c r="W6" s="18"/>
      <c r="X6" s="18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12.75">
      <c r="A7" s="3"/>
      <c r="B7" s="3"/>
      <c r="C7" s="3"/>
      <c r="D7" s="3" t="s">
        <v>11</v>
      </c>
      <c r="E7" s="3"/>
      <c r="F7" s="8"/>
      <c r="G7" s="144" t="s">
        <v>1</v>
      </c>
      <c r="H7" s="14" t="s">
        <v>26</v>
      </c>
      <c r="I7" s="116" t="s">
        <v>1</v>
      </c>
      <c r="J7" s="25" t="s">
        <v>1</v>
      </c>
      <c r="K7" s="25"/>
      <c r="L7" s="15"/>
      <c r="M7" s="26"/>
      <c r="N7" s="26"/>
      <c r="O7" s="2"/>
      <c r="P7" s="2"/>
      <c r="Q7" s="2"/>
      <c r="R7" s="2"/>
      <c r="S7" s="2"/>
      <c r="T7" s="13" t="s">
        <v>1</v>
      </c>
      <c r="U7" s="2"/>
      <c r="V7" s="2"/>
      <c r="W7" s="2"/>
      <c r="X7" s="2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17" t="s">
        <v>1</v>
      </c>
      <c r="J8" s="19" t="s">
        <v>1</v>
      </c>
      <c r="K8" s="19" t="s">
        <v>1</v>
      </c>
      <c r="L8" s="71"/>
      <c r="M8" s="26"/>
      <c r="N8" s="26"/>
      <c r="O8" s="2"/>
      <c r="P8" s="2"/>
      <c r="Q8" s="2"/>
      <c r="R8" s="2"/>
      <c r="S8" s="2"/>
      <c r="T8" s="117" t="s">
        <v>1</v>
      </c>
      <c r="U8" s="117">
        <f>+U9+U46</f>
        <v>2193661664</v>
      </c>
      <c r="V8" s="26" t="s">
        <v>1</v>
      </c>
      <c r="W8" s="2"/>
      <c r="X8" s="26" t="s">
        <v>1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8267824252</v>
      </c>
      <c r="H9" s="13">
        <f>SUM(H10+H23+H27)</f>
        <v>325602722</v>
      </c>
      <c r="I9" s="142">
        <f>+G9+H9</f>
        <v>8593426974</v>
      </c>
      <c r="J9" s="20">
        <f>SUM(J10+J23+J27)</f>
        <v>2514035997</v>
      </c>
      <c r="K9" s="20">
        <f>SUM(K10+K23+K27)</f>
        <v>2514035997</v>
      </c>
      <c r="L9" s="143">
        <f aca="true" t="shared" si="0" ref="L9:L31">+I9-J9</f>
        <v>6079390977</v>
      </c>
      <c r="M9" s="30">
        <f aca="true" t="shared" si="1" ref="M9:M31">+J9/I9*100</f>
        <v>29.255336719639182</v>
      </c>
      <c r="N9" s="30">
        <f>+K9/I9*100</f>
        <v>29.255336719639182</v>
      </c>
      <c r="O9" s="30"/>
      <c r="P9" s="30"/>
      <c r="Q9" s="30"/>
      <c r="R9" s="30"/>
      <c r="S9" s="4">
        <f>SUM(S10+S23+S27)</f>
        <v>3228996405</v>
      </c>
      <c r="T9" s="13">
        <f>SUM(T10+T23+T27)</f>
        <v>2040371600</v>
      </c>
      <c r="U9" s="4">
        <f>SUM(U10+U23+U27)</f>
        <v>1366238559</v>
      </c>
      <c r="V9" s="30">
        <f aca="true" t="shared" si="2" ref="V9:V31">+I9-T9</f>
        <v>6553055374</v>
      </c>
      <c r="W9" s="2"/>
      <c r="X9" s="26">
        <f aca="true" t="shared" si="3" ref="X9:X14">+T9/I9*100</f>
        <v>23.743398369163824</v>
      </c>
      <c r="Y9" s="23" t="s">
        <v>1</v>
      </c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2996528471</v>
      </c>
      <c r="H10" s="13">
        <f>SUM(H11+H18+H19+H20+H21+H22)</f>
        <v>106493116</v>
      </c>
      <c r="I10" s="4">
        <f>SUM(I11+I18+I19+I20+I21+I22)</f>
        <v>3103021587</v>
      </c>
      <c r="J10" s="20">
        <f>SUM(J11+J18+J19+J20+J21+J22)</f>
        <v>874418338</v>
      </c>
      <c r="K10" s="20">
        <f>SUM(K11+K18+K19+K20+K21+K22)</f>
        <v>874418338</v>
      </c>
      <c r="L10" s="143">
        <f t="shared" si="0"/>
        <v>2228603249</v>
      </c>
      <c r="M10" s="30">
        <f t="shared" si="1"/>
        <v>28.17957637366575</v>
      </c>
      <c r="N10" s="30">
        <f aca="true" t="shared" si="4" ref="N10:N31">+K10/I10*100</f>
        <v>28.17957637366575</v>
      </c>
      <c r="O10" s="30"/>
      <c r="P10" s="30"/>
      <c r="Q10" s="30"/>
      <c r="R10" s="30"/>
      <c r="S10" s="4">
        <f>SUM(S11+S18+S19+S20+S21+S22)</f>
        <v>1282797323</v>
      </c>
      <c r="T10" s="13">
        <f>SUM(T11+T18+T19+T20+T21+T22)</f>
        <v>730518920</v>
      </c>
      <c r="U10" s="4">
        <f>SUM(U11+U18+U19+U20+U21+U22)</f>
        <v>361953101</v>
      </c>
      <c r="V10" s="30">
        <f t="shared" si="2"/>
        <v>2372502667</v>
      </c>
      <c r="W10" s="2"/>
      <c r="X10" s="26">
        <f t="shared" si="3"/>
        <v>23.542179759898655</v>
      </c>
      <c r="Y10" s="23" t="s">
        <v>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1418546730</v>
      </c>
      <c r="H11" s="4">
        <f>SUM(H12:H17)</f>
        <v>0</v>
      </c>
      <c r="I11" s="118">
        <f>SUM(I12:I17)</f>
        <v>1418546730</v>
      </c>
      <c r="J11" s="20">
        <f>SUM(J12:J17)</f>
        <v>463627287</v>
      </c>
      <c r="K11" s="20">
        <f>SUM(K12:K17)</f>
        <v>463627287</v>
      </c>
      <c r="L11" s="143">
        <f t="shared" si="0"/>
        <v>954919443</v>
      </c>
      <c r="M11" s="30">
        <f t="shared" si="1"/>
        <v>32.68325795654261</v>
      </c>
      <c r="N11" s="30">
        <f t="shared" si="4"/>
        <v>32.68325795654261</v>
      </c>
      <c r="O11" s="30"/>
      <c r="P11" s="30"/>
      <c r="Q11" s="30"/>
      <c r="R11" s="30"/>
      <c r="S11" s="4">
        <f>SUM(S12:S17)</f>
        <v>462143059</v>
      </c>
      <c r="T11" s="13">
        <f>SUM(T12:T17)</f>
        <v>103926749</v>
      </c>
      <c r="U11" s="4">
        <f>SUM(U12:U17)</f>
        <v>156635323</v>
      </c>
      <c r="V11" s="30">
        <f t="shared" si="2"/>
        <v>1314619981</v>
      </c>
      <c r="W11" s="2"/>
      <c r="X11" s="26">
        <f t="shared" si="3"/>
        <v>7.326283075637558</v>
      </c>
      <c r="Y11" s="23" t="s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798808427</v>
      </c>
      <c r="H12" s="13">
        <v>0</v>
      </c>
      <c r="I12" s="142">
        <f aca="true" t="shared" si="5" ref="I12:I31">+G12+H12</f>
        <v>798808427</v>
      </c>
      <c r="J12" s="20">
        <v>280609080</v>
      </c>
      <c r="K12" s="20">
        <v>280609080</v>
      </c>
      <c r="L12" s="143">
        <f t="shared" si="0"/>
        <v>518199347</v>
      </c>
      <c r="M12" s="30">
        <f t="shared" si="1"/>
        <v>35.128457652087334</v>
      </c>
      <c r="N12" s="30">
        <f t="shared" si="4"/>
        <v>35.128457652087334</v>
      </c>
      <c r="O12" s="30"/>
      <c r="P12" s="30"/>
      <c r="Q12" s="30"/>
      <c r="R12" s="30"/>
      <c r="S12" s="4">
        <v>177733386</v>
      </c>
      <c r="T12" s="13">
        <v>0</v>
      </c>
      <c r="U12" s="4">
        <f>+T12</f>
        <v>0</v>
      </c>
      <c r="V12" s="30">
        <f t="shared" si="2"/>
        <v>798808427</v>
      </c>
      <c r="W12" s="2"/>
      <c r="X12" s="26">
        <f t="shared" si="3"/>
        <v>0</v>
      </c>
      <c r="Y12" s="23" t="s">
        <v>1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164893988</v>
      </c>
      <c r="H13" s="13">
        <v>0</v>
      </c>
      <c r="I13" s="142">
        <f t="shared" si="5"/>
        <v>164893988</v>
      </c>
      <c r="J13" s="20">
        <v>41107639</v>
      </c>
      <c r="K13" s="20">
        <v>41107639</v>
      </c>
      <c r="L13" s="143">
        <f t="shared" si="0"/>
        <v>123786349</v>
      </c>
      <c r="M13" s="30">
        <f t="shared" si="1"/>
        <v>24.929737887108413</v>
      </c>
      <c r="N13" s="30">
        <f t="shared" si="4"/>
        <v>24.929737887108413</v>
      </c>
      <c r="O13" s="30"/>
      <c r="P13" s="30"/>
      <c r="Q13" s="30"/>
      <c r="R13" s="30"/>
      <c r="S13" s="4">
        <v>78846525</v>
      </c>
      <c r="T13" s="13">
        <v>15138155</v>
      </c>
      <c r="U13" s="4">
        <f>+T13</f>
        <v>15138155</v>
      </c>
      <c r="V13" s="30">
        <f t="shared" si="2"/>
        <v>149755833</v>
      </c>
      <c r="W13" s="2"/>
      <c r="X13" s="26">
        <f t="shared" si="3"/>
        <v>9.180537861695722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70240480</v>
      </c>
      <c r="H14" s="13">
        <v>0</v>
      </c>
      <c r="I14" s="142">
        <f t="shared" si="5"/>
        <v>70240480</v>
      </c>
      <c r="J14" s="20">
        <v>27219355</v>
      </c>
      <c r="K14" s="20">
        <v>27219355</v>
      </c>
      <c r="L14" s="143">
        <f t="shared" si="0"/>
        <v>43021125</v>
      </c>
      <c r="M14" s="30">
        <f t="shared" si="1"/>
        <v>38.751664282476426</v>
      </c>
      <c r="N14" s="30">
        <f t="shared" si="4"/>
        <v>38.751664282476426</v>
      </c>
      <c r="O14" s="30"/>
      <c r="P14" s="30"/>
      <c r="Q14" s="30"/>
      <c r="R14" s="30"/>
      <c r="S14" s="4">
        <v>31783291</v>
      </c>
      <c r="T14" s="13">
        <v>66124304</v>
      </c>
      <c r="U14" s="4">
        <f>+T14</f>
        <v>66124304</v>
      </c>
      <c r="V14" s="30">
        <f t="shared" si="2"/>
        <v>4116176</v>
      </c>
      <c r="W14" s="2"/>
      <c r="X14" s="26">
        <f t="shared" si="3"/>
        <v>94.13988059307111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81</v>
      </c>
      <c r="G15" s="4">
        <v>0</v>
      </c>
      <c r="H15" s="13">
        <v>0</v>
      </c>
      <c r="I15" s="142">
        <f t="shared" si="5"/>
        <v>0</v>
      </c>
      <c r="J15" s="20"/>
      <c r="K15" s="20"/>
      <c r="L15" s="143"/>
      <c r="M15" s="30"/>
      <c r="N15" s="30"/>
      <c r="O15" s="30"/>
      <c r="P15" s="30"/>
      <c r="Q15" s="30"/>
      <c r="R15" s="30"/>
      <c r="S15" s="4">
        <v>0</v>
      </c>
      <c r="T15" s="13">
        <v>0</v>
      </c>
      <c r="U15" s="4">
        <v>0</v>
      </c>
      <c r="V15" s="30">
        <f t="shared" si="2"/>
        <v>0</v>
      </c>
      <c r="W15" s="2"/>
      <c r="X15" s="26">
        <v>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83521769</v>
      </c>
      <c r="H16" s="13">
        <v>0</v>
      </c>
      <c r="I16" s="142">
        <f t="shared" si="5"/>
        <v>83521769</v>
      </c>
      <c r="J16" s="20">
        <v>27788267</v>
      </c>
      <c r="K16" s="20">
        <v>27788267</v>
      </c>
      <c r="L16" s="143">
        <f t="shared" si="0"/>
        <v>55733502</v>
      </c>
      <c r="M16" s="30">
        <f t="shared" si="1"/>
        <v>33.270687789191825</v>
      </c>
      <c r="N16" s="30">
        <f t="shared" si="4"/>
        <v>33.270687789191825</v>
      </c>
      <c r="O16" s="30"/>
      <c r="P16" s="30"/>
      <c r="Q16" s="30"/>
      <c r="R16" s="30"/>
      <c r="S16" s="4">
        <v>22501709</v>
      </c>
      <c r="T16" s="13">
        <v>0</v>
      </c>
      <c r="U16" s="4">
        <f>+T16</f>
        <v>0</v>
      </c>
      <c r="V16" s="30">
        <f t="shared" si="2"/>
        <v>83521769</v>
      </c>
      <c r="W16" s="2"/>
      <c r="X16" s="26">
        <f aca="true" t="shared" si="6" ref="X16:X31">+T16/I16*100</f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67473664+8749764+8592489+32890514+57088749+84491171+13269286+28526429</f>
        <v>301082066</v>
      </c>
      <c r="H17" s="13">
        <v>0</v>
      </c>
      <c r="I17" s="142">
        <f t="shared" si="5"/>
        <v>301082066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143">
        <f t="shared" si="0"/>
        <v>214179120</v>
      </c>
      <c r="M17" s="30">
        <f t="shared" si="1"/>
        <v>28.863541144958134</v>
      </c>
      <c r="N17" s="30">
        <f t="shared" si="4"/>
        <v>28.863541144958134</v>
      </c>
      <c r="O17" s="30"/>
      <c r="P17" s="30"/>
      <c r="Q17" s="30"/>
      <c r="R17" s="30"/>
      <c r="S17" s="4">
        <f>40740946+9020349+4795124+4354946+19078981+56559356+7733197+8995249</f>
        <v>151278148</v>
      </c>
      <c r="T17" s="13">
        <f>2084726+3243005+11420706+3545415+2370438</f>
        <v>22664290</v>
      </c>
      <c r="U17" s="4">
        <f>25111629+5550438+3050430+2763525+3442123+27188939+3132962+5132818</f>
        <v>75372864</v>
      </c>
      <c r="V17" s="30">
        <f t="shared" si="2"/>
        <v>278417776</v>
      </c>
      <c r="W17" s="2"/>
      <c r="X17" s="26">
        <f t="shared" si="6"/>
        <v>7.5276120896553165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30240480+24555270+895910259</f>
        <v>950706009</v>
      </c>
      <c r="H18" s="13">
        <v>106493116</v>
      </c>
      <c r="I18" s="142">
        <f>+G18+H18</f>
        <v>1057199125</v>
      </c>
      <c r="J18" s="20">
        <f>1057231+8089692+296851321</f>
        <v>305998244</v>
      </c>
      <c r="K18" s="20">
        <f>1057231+8089692+296851321</f>
        <v>305998244</v>
      </c>
      <c r="L18" s="143">
        <f t="shared" si="0"/>
        <v>751200881</v>
      </c>
      <c r="M18" s="30">
        <f t="shared" si="1"/>
        <v>28.94423924159037</v>
      </c>
      <c r="N18" s="30">
        <f t="shared" si="4"/>
        <v>28.94423924159037</v>
      </c>
      <c r="O18" s="4" t="s">
        <v>1</v>
      </c>
      <c r="P18" s="30"/>
      <c r="Q18" s="30"/>
      <c r="R18" s="30"/>
      <c r="S18" s="4">
        <f>543331358+11874352+54257070</f>
        <v>609462780</v>
      </c>
      <c r="T18" s="13">
        <v>606532821</v>
      </c>
      <c r="U18" s="4">
        <f>139038852-12099496+11827031+46492041</f>
        <v>185258428</v>
      </c>
      <c r="V18" s="30">
        <f t="shared" si="2"/>
        <v>450666304</v>
      </c>
      <c r="W18" s="2"/>
      <c r="X18" s="26">
        <f t="shared" si="6"/>
        <v>57.37167262600601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f>66598793+89913211+99168808</f>
        <v>255680812</v>
      </c>
      <c r="H19" s="13">
        <v>0</v>
      </c>
      <c r="I19" s="142">
        <f t="shared" si="5"/>
        <v>255680812</v>
      </c>
      <c r="J19" s="20">
        <v>14234485</v>
      </c>
      <c r="K19" s="20">
        <v>14234485</v>
      </c>
      <c r="L19" s="143">
        <f t="shared" si="0"/>
        <v>241446327</v>
      </c>
      <c r="M19" s="30">
        <f t="shared" si="1"/>
        <v>5.56728715332772</v>
      </c>
      <c r="N19" s="30">
        <f t="shared" si="4"/>
        <v>5.56728715332772</v>
      </c>
      <c r="O19" s="30"/>
      <c r="P19" s="30"/>
      <c r="Q19" s="30"/>
      <c r="R19" s="30"/>
      <c r="S19" s="4">
        <v>139595008</v>
      </c>
      <c r="T19" s="13">
        <v>16674450</v>
      </c>
      <c r="U19" s="4">
        <f>+T19</f>
        <v>16674450</v>
      </c>
      <c r="V19" s="30">
        <f t="shared" si="2"/>
        <v>239006362</v>
      </c>
      <c r="W19" s="2"/>
      <c r="X19" s="26">
        <f t="shared" si="6"/>
        <v>6.521588331000763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125117862+109840189+33246983+16946688</f>
        <v>285151722</v>
      </c>
      <c r="H20" s="13">
        <v>0</v>
      </c>
      <c r="I20" s="142">
        <f t="shared" si="5"/>
        <v>285151722</v>
      </c>
      <c r="J20" s="20">
        <v>58847998</v>
      </c>
      <c r="K20" s="20">
        <v>58847998</v>
      </c>
      <c r="L20" s="143">
        <f t="shared" si="0"/>
        <v>226303724</v>
      </c>
      <c r="M20" s="30">
        <f t="shared" si="1"/>
        <v>20.637433850040015</v>
      </c>
      <c r="N20" s="30">
        <f t="shared" si="4"/>
        <v>20.637433850040015</v>
      </c>
      <c r="O20" s="30"/>
      <c r="P20" s="30"/>
      <c r="Q20" s="30"/>
      <c r="R20" s="30"/>
      <c r="S20" s="4">
        <v>48681682</v>
      </c>
      <c r="T20" s="13">
        <v>3384900</v>
      </c>
      <c r="U20" s="4">
        <f>+T20</f>
        <v>3384900</v>
      </c>
      <c r="V20" s="30">
        <f t="shared" si="2"/>
        <v>281766822</v>
      </c>
      <c r="W20" s="2"/>
      <c r="X20" s="26">
        <f t="shared" si="6"/>
        <v>1.187052273876852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57741285</v>
      </c>
      <c r="H21" s="13">
        <v>0</v>
      </c>
      <c r="I21" s="142">
        <f t="shared" si="5"/>
        <v>57741285</v>
      </c>
      <c r="J21" s="20">
        <v>15733377</v>
      </c>
      <c r="K21" s="20">
        <v>15733377</v>
      </c>
      <c r="L21" s="143">
        <f t="shared" si="0"/>
        <v>42007908</v>
      </c>
      <c r="M21" s="30">
        <f t="shared" si="1"/>
        <v>27.248054836327245</v>
      </c>
      <c r="N21" s="30">
        <f t="shared" si="4"/>
        <v>27.248054836327245</v>
      </c>
      <c r="O21" s="30"/>
      <c r="P21" s="30"/>
      <c r="Q21" s="30"/>
      <c r="R21" s="30"/>
      <c r="S21" s="4">
        <v>18954215</v>
      </c>
      <c r="T21" s="13">
        <v>0</v>
      </c>
      <c r="U21" s="4">
        <f>+T21</f>
        <v>0</v>
      </c>
      <c r="V21" s="30">
        <f t="shared" si="2"/>
        <v>57741285</v>
      </c>
      <c r="W21" s="2"/>
      <c r="X21" s="26">
        <f t="shared" si="6"/>
        <v>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28701913</v>
      </c>
      <c r="H22" s="13">
        <v>0</v>
      </c>
      <c r="I22" s="142">
        <f t="shared" si="5"/>
        <v>28701913</v>
      </c>
      <c r="J22" s="20">
        <v>15976947</v>
      </c>
      <c r="K22" s="20">
        <v>15976947</v>
      </c>
      <c r="L22" s="143">
        <f t="shared" si="0"/>
        <v>12724966</v>
      </c>
      <c r="M22" s="30">
        <f t="shared" si="1"/>
        <v>55.66509451826433</v>
      </c>
      <c r="N22" s="30">
        <f t="shared" si="4"/>
        <v>55.66509451826433</v>
      </c>
      <c r="O22" s="30"/>
      <c r="P22" s="30"/>
      <c r="Q22" s="30"/>
      <c r="R22" s="30"/>
      <c r="S22" s="4">
        <v>3960579</v>
      </c>
      <c r="T22" s="13">
        <v>0</v>
      </c>
      <c r="U22" s="4">
        <f>+T22</f>
        <v>0</v>
      </c>
      <c r="V22" s="30">
        <f t="shared" si="2"/>
        <v>28701913</v>
      </c>
      <c r="W22" s="2"/>
      <c r="X22" s="26">
        <f t="shared" si="6"/>
        <v>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1558455797</v>
      </c>
      <c r="H23" s="13">
        <f>+H24+H25+H26</f>
        <v>105123879</v>
      </c>
      <c r="I23" s="142">
        <f>+G23+H23</f>
        <v>1663579676</v>
      </c>
      <c r="J23" s="20">
        <f>SUM(J24:J26)</f>
        <v>837471929</v>
      </c>
      <c r="K23" s="20">
        <f>SUM(K24:K26)</f>
        <v>837471929</v>
      </c>
      <c r="L23" s="143">
        <f t="shared" si="0"/>
        <v>826107747</v>
      </c>
      <c r="M23" s="30">
        <f t="shared" si="1"/>
        <v>50.34155809198525</v>
      </c>
      <c r="N23" s="30">
        <f t="shared" si="4"/>
        <v>50.34155809198525</v>
      </c>
      <c r="O23" s="30"/>
      <c r="P23" s="30"/>
      <c r="Q23" s="30"/>
      <c r="R23" s="30"/>
      <c r="S23" s="4">
        <f>SUM(S24:S26)</f>
        <v>680793888</v>
      </c>
      <c r="T23" s="13">
        <f>SUM(T24:T26)</f>
        <v>828359711</v>
      </c>
      <c r="U23" s="4">
        <f>SUM(U24:U26)</f>
        <v>522792489</v>
      </c>
      <c r="V23" s="30">
        <f t="shared" si="2"/>
        <v>835219965</v>
      </c>
      <c r="W23" s="2"/>
      <c r="X23" s="26">
        <f t="shared" si="6"/>
        <v>49.793810476920015</v>
      </c>
      <c r="Y23" s="23" t="s">
        <v>1</v>
      </c>
      <c r="Z23" s="32" t="s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5522000+305530925</f>
        <v>311052925</v>
      </c>
      <c r="H24" s="13">
        <v>40000000</v>
      </c>
      <c r="I24" s="142">
        <f t="shared" si="5"/>
        <v>351052925</v>
      </c>
      <c r="J24" s="20">
        <f>134064120+89932764</f>
        <v>223996884</v>
      </c>
      <c r="K24" s="20">
        <f>134064120+89932764</f>
        <v>223996884</v>
      </c>
      <c r="L24" s="143">
        <f t="shared" si="0"/>
        <v>127056041</v>
      </c>
      <c r="M24" s="30">
        <f t="shared" si="1"/>
        <v>63.80715500376475</v>
      </c>
      <c r="N24" s="30">
        <f t="shared" si="4"/>
        <v>63.80715500376475</v>
      </c>
      <c r="O24" s="30"/>
      <c r="P24" s="30"/>
      <c r="Q24" s="30"/>
      <c r="R24" s="30"/>
      <c r="S24" s="4">
        <v>90516630</v>
      </c>
      <c r="T24" s="13">
        <f>3814734+128338823</f>
        <v>132153557</v>
      </c>
      <c r="U24" s="4">
        <v>71539421</v>
      </c>
      <c r="V24" s="30">
        <f t="shared" si="2"/>
        <v>218899368</v>
      </c>
      <c r="W24" s="2"/>
      <c r="X24" s="26">
        <f t="shared" si="6"/>
        <v>37.6449098095394</v>
      </c>
      <c r="Y24" s="23"/>
      <c r="Z24" s="32" t="s">
        <v>1</v>
      </c>
      <c r="AA24" s="23"/>
      <c r="AB24" s="23"/>
      <c r="AC24" s="32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4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80721600+131792068+5020000+68427397+328588035+141992144+45029399+241754229+168672000-23279000</f>
        <v>1188717872</v>
      </c>
      <c r="H25" s="13">
        <v>65123879</v>
      </c>
      <c r="I25" s="142">
        <f t="shared" si="5"/>
        <v>1253841751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43">
        <f t="shared" si="0"/>
        <v>683177840</v>
      </c>
      <c r="M25" s="30">
        <f t="shared" si="1"/>
        <v>45.51323247490105</v>
      </c>
      <c r="N25" s="30">
        <f t="shared" si="4"/>
        <v>45.51323247490105</v>
      </c>
      <c r="O25" s="30"/>
      <c r="P25" s="30"/>
      <c r="Q25" s="30"/>
      <c r="R25" s="30"/>
      <c r="S25" s="4">
        <f>177530145+48822952+12932524+101159449+50929093+34887478+95118421+602400+22704858</f>
        <v>544687320</v>
      </c>
      <c r="T25" s="13">
        <f>804229931-T24-23279000</f>
        <v>648797374</v>
      </c>
      <c r="U25" s="4">
        <f>105788413+23427623+12881000+100724267+49185142+19962215+84084828+602400+7938400-750000</f>
        <v>403844288</v>
      </c>
      <c r="V25" s="30">
        <f t="shared" si="2"/>
        <v>605044377</v>
      </c>
      <c r="W25" s="2"/>
      <c r="X25" s="26">
        <f t="shared" si="6"/>
        <v>51.744757540778366</v>
      </c>
      <c r="Y25" s="23"/>
      <c r="Z25" s="32" t="s">
        <v>1</v>
      </c>
      <c r="AA25" s="23"/>
      <c r="AB25" s="23"/>
      <c r="AC25" s="32"/>
      <c r="AD25" s="23"/>
      <c r="AE25" s="23"/>
      <c r="AF25" s="3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7" t="s">
        <v>22</v>
      </c>
      <c r="G26" s="13">
        <v>58685000</v>
      </c>
      <c r="H26" s="13">
        <v>0</v>
      </c>
      <c r="I26" s="142">
        <f t="shared" si="5"/>
        <v>58685000</v>
      </c>
      <c r="J26" s="20">
        <v>42811134</v>
      </c>
      <c r="K26" s="20">
        <v>42811134</v>
      </c>
      <c r="L26" s="143">
        <f t="shared" si="0"/>
        <v>15873866</v>
      </c>
      <c r="M26" s="30">
        <f t="shared" si="1"/>
        <v>72.95072676152338</v>
      </c>
      <c r="N26" s="30">
        <f t="shared" si="4"/>
        <v>72.95072676152338</v>
      </c>
      <c r="O26" s="30"/>
      <c r="P26" s="30"/>
      <c r="Q26" s="30"/>
      <c r="R26" s="30"/>
      <c r="S26" s="13">
        <v>45589938</v>
      </c>
      <c r="T26" s="13">
        <v>47408780</v>
      </c>
      <c r="U26" s="13">
        <f>+T26</f>
        <v>47408780</v>
      </c>
      <c r="V26" s="30">
        <f t="shared" si="2"/>
        <v>11276220</v>
      </c>
      <c r="W26" s="2"/>
      <c r="X26" s="26">
        <f t="shared" si="6"/>
        <v>80.78517508733066</v>
      </c>
      <c r="Y26" s="23"/>
      <c r="Z26" s="23"/>
      <c r="AA26" s="23"/>
      <c r="AB26" s="23"/>
      <c r="AC26" s="3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3712839984</v>
      </c>
      <c r="H27" s="4">
        <f>SUM(H28:H31)</f>
        <v>113985727</v>
      </c>
      <c r="I27" s="142">
        <f t="shared" si="5"/>
        <v>3826825711</v>
      </c>
      <c r="J27" s="20">
        <f>SUM(J28:J31)</f>
        <v>802145730</v>
      </c>
      <c r="K27" s="20">
        <f>SUM(K28:K31)</f>
        <v>802145730</v>
      </c>
      <c r="L27" s="143">
        <f t="shared" si="0"/>
        <v>3024679981</v>
      </c>
      <c r="M27" s="30">
        <f t="shared" si="1"/>
        <v>20.96112524002011</v>
      </c>
      <c r="N27" s="30">
        <f t="shared" si="4"/>
        <v>20.96112524002011</v>
      </c>
      <c r="O27" s="30"/>
      <c r="P27" s="30"/>
      <c r="Q27" s="30"/>
      <c r="R27" s="30"/>
      <c r="S27" s="4">
        <f>SUM(S28:S31)</f>
        <v>1265405194</v>
      </c>
      <c r="T27" s="13">
        <f>SUM(T28:T31)</f>
        <v>481492969</v>
      </c>
      <c r="U27" s="4">
        <f>SUM(U28:U31)</f>
        <v>481492969</v>
      </c>
      <c r="V27" s="30">
        <f t="shared" si="2"/>
        <v>3345332742</v>
      </c>
      <c r="W27" s="2"/>
      <c r="X27" s="26">
        <f t="shared" si="6"/>
        <v>12.582045939954229</v>
      </c>
      <c r="Y27" s="23"/>
      <c r="Z27" s="32"/>
      <c r="AA27" s="23"/>
      <c r="AB27" s="23"/>
      <c r="AC27" s="32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38820000</v>
      </c>
      <c r="H28" s="13">
        <v>0</v>
      </c>
      <c r="I28" s="142">
        <f t="shared" si="5"/>
        <v>38820000</v>
      </c>
      <c r="J28" s="20">
        <v>16797214</v>
      </c>
      <c r="K28" s="20">
        <v>16797214</v>
      </c>
      <c r="L28" s="143">
        <f t="shared" si="0"/>
        <v>22022786</v>
      </c>
      <c r="M28" s="30">
        <f t="shared" si="1"/>
        <v>43.26948480164863</v>
      </c>
      <c r="N28" s="30">
        <f t="shared" si="4"/>
        <v>43.26948480164863</v>
      </c>
      <c r="O28" s="30"/>
      <c r="P28" s="30"/>
      <c r="Q28" s="30"/>
      <c r="R28" s="30"/>
      <c r="S28" s="4">
        <v>0</v>
      </c>
      <c r="T28" s="13">
        <v>0</v>
      </c>
      <c r="U28" s="4">
        <v>0</v>
      </c>
      <c r="V28" s="30">
        <f t="shared" si="2"/>
        <v>38820000</v>
      </c>
      <c r="W28" s="2"/>
      <c r="X28" s="26">
        <f t="shared" si="6"/>
        <v>0</v>
      </c>
      <c r="Y28" s="23"/>
      <c r="Z28" s="3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3440379034</v>
      </c>
      <c r="H29" s="13">
        <v>113985727</v>
      </c>
      <c r="I29" s="142">
        <f t="shared" si="5"/>
        <v>3554364761</v>
      </c>
      <c r="J29" s="20">
        <v>740995272</v>
      </c>
      <c r="K29" s="20">
        <v>740995272</v>
      </c>
      <c r="L29" s="143">
        <f t="shared" si="0"/>
        <v>2813369489</v>
      </c>
      <c r="M29" s="30">
        <f t="shared" si="1"/>
        <v>20.84747407273769</v>
      </c>
      <c r="N29" s="30">
        <f t="shared" si="4"/>
        <v>20.84747407273769</v>
      </c>
      <c r="O29" s="30"/>
      <c r="P29" s="30"/>
      <c r="Q29" s="30"/>
      <c r="R29" s="30"/>
      <c r="S29" s="4">
        <v>951099213</v>
      </c>
      <c r="T29" s="13">
        <v>448435333</v>
      </c>
      <c r="U29" s="4">
        <f>+T29</f>
        <v>448435333</v>
      </c>
      <c r="V29" s="30">
        <f t="shared" si="2"/>
        <v>3105929428</v>
      </c>
      <c r="W29" s="2"/>
      <c r="X29" s="26">
        <f t="shared" si="6"/>
        <v>12.61646913452505</v>
      </c>
      <c r="Y29" s="23" t="s">
        <v>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33640950</v>
      </c>
      <c r="H30" s="13">
        <v>0</v>
      </c>
      <c r="I30" s="142">
        <f t="shared" si="5"/>
        <v>33640950</v>
      </c>
      <c r="J30" s="20">
        <v>21590305</v>
      </c>
      <c r="K30" s="20">
        <v>21590305</v>
      </c>
      <c r="L30" s="143">
        <f t="shared" si="0"/>
        <v>12050645</v>
      </c>
      <c r="M30" s="30">
        <f t="shared" si="1"/>
        <v>64.17864239862429</v>
      </c>
      <c r="N30" s="30">
        <f t="shared" si="4"/>
        <v>64.17864239862429</v>
      </c>
      <c r="O30" s="30"/>
      <c r="P30" s="30"/>
      <c r="Q30" s="30"/>
      <c r="R30" s="30"/>
      <c r="S30" s="4">
        <v>22814692</v>
      </c>
      <c r="T30" s="13">
        <v>33057636</v>
      </c>
      <c r="U30" s="4">
        <f>+T30</f>
        <v>33057636</v>
      </c>
      <c r="V30" s="30">
        <f t="shared" si="2"/>
        <v>583314</v>
      </c>
      <c r="W30" s="2"/>
      <c r="X30" s="26">
        <f t="shared" si="6"/>
        <v>98.26605966835062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0</v>
      </c>
      <c r="I31" s="142">
        <f t="shared" si="5"/>
        <v>200000000</v>
      </c>
      <c r="J31" s="20">
        <v>22762939</v>
      </c>
      <c r="K31" s="20">
        <v>22762939</v>
      </c>
      <c r="L31" s="143">
        <f t="shared" si="0"/>
        <v>177237061</v>
      </c>
      <c r="M31" s="30">
        <f t="shared" si="1"/>
        <v>11.3814695</v>
      </c>
      <c r="N31" s="30">
        <f t="shared" si="4"/>
        <v>11.3814695</v>
      </c>
      <c r="O31" s="30"/>
      <c r="P31" s="30"/>
      <c r="Q31" s="30"/>
      <c r="R31" s="30"/>
      <c r="S31" s="13">
        <v>291491289</v>
      </c>
      <c r="T31" s="13">
        <v>0</v>
      </c>
      <c r="U31" s="13">
        <f>+T31</f>
        <v>0</v>
      </c>
      <c r="V31" s="30">
        <f t="shared" si="2"/>
        <v>200000000</v>
      </c>
      <c r="W31" s="2"/>
      <c r="X31" s="26">
        <f t="shared" si="6"/>
        <v>0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12.75">
      <c r="A32" s="2"/>
      <c r="B32" s="2"/>
      <c r="C32" s="2"/>
      <c r="D32" s="2"/>
      <c r="E32" s="2"/>
      <c r="F32" s="3"/>
      <c r="G32" s="9" t="s">
        <v>1</v>
      </c>
      <c r="H32" s="12"/>
      <c r="I32" s="117" t="s">
        <v>1</v>
      </c>
      <c r="J32" s="72"/>
      <c r="K32" s="72"/>
      <c r="L32" s="19" t="s">
        <v>1</v>
      </c>
      <c r="M32" s="9" t="s">
        <v>1</v>
      </c>
      <c r="N32" s="26"/>
      <c r="O32" s="26"/>
      <c r="P32" s="2"/>
      <c r="Q32" s="2"/>
      <c r="R32" s="2"/>
      <c r="S32" s="2"/>
      <c r="T32" s="12" t="s">
        <v>1</v>
      </c>
      <c r="U32" s="2"/>
      <c r="V32" s="2"/>
      <c r="W32" s="2"/>
      <c r="X32" s="26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17" t="s">
        <v>1</v>
      </c>
      <c r="J33" s="20" t="s">
        <v>1</v>
      </c>
      <c r="K33" s="20"/>
      <c r="L33" s="19" t="s">
        <v>1</v>
      </c>
      <c r="M33" s="9" t="s">
        <v>1</v>
      </c>
      <c r="N33" s="26"/>
      <c r="O33" s="26"/>
      <c r="P33" s="2"/>
      <c r="Q33" s="2"/>
      <c r="R33" s="2"/>
      <c r="S33" s="2"/>
      <c r="T33" s="11" t="s">
        <v>1</v>
      </c>
      <c r="U33" s="2"/>
      <c r="V33" s="2"/>
      <c r="W33" s="2"/>
      <c r="X33" s="26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ht="12.75">
      <c r="A34" s="69"/>
      <c r="B34" s="69"/>
      <c r="C34" s="69"/>
      <c r="D34" s="69"/>
      <c r="E34" s="69"/>
      <c r="F34" s="69"/>
      <c r="G34" s="78" t="s">
        <v>1</v>
      </c>
      <c r="H34" s="66"/>
      <c r="I34" s="119" t="s">
        <v>1</v>
      </c>
      <c r="J34" s="100"/>
      <c r="K34" s="100"/>
      <c r="L34" s="99"/>
      <c r="M34" s="33"/>
      <c r="N34" s="53"/>
      <c r="O34" s="53"/>
      <c r="P34" s="64"/>
      <c r="Q34" s="64"/>
      <c r="R34" s="64"/>
      <c r="S34" s="64"/>
      <c r="T34" s="99"/>
      <c r="U34" s="64"/>
      <c r="V34" s="64" t="s">
        <v>1</v>
      </c>
      <c r="W34" s="64"/>
      <c r="X34" s="5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ht="12.75">
      <c r="A35" s="69"/>
      <c r="B35" s="69"/>
      <c r="C35" s="69"/>
      <c r="D35" s="69"/>
      <c r="E35" s="69"/>
      <c r="F35" s="69"/>
      <c r="G35" s="78" t="s">
        <v>1</v>
      </c>
      <c r="H35" s="66"/>
      <c r="I35" s="78" t="s">
        <v>1</v>
      </c>
      <c r="J35" s="100"/>
      <c r="K35" s="100"/>
      <c r="L35" s="99"/>
      <c r="M35" s="33"/>
      <c r="N35" s="53"/>
      <c r="O35" s="53"/>
      <c r="P35" s="64"/>
      <c r="Q35" s="64"/>
      <c r="R35" s="64"/>
      <c r="S35" s="64"/>
      <c r="T35" s="130"/>
      <c r="U35" s="64"/>
      <c r="V35" s="104" t="s">
        <v>26</v>
      </c>
      <c r="W35" s="64"/>
      <c r="X35" s="5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7:44" ht="12.75">
      <c r="G36" s="32" t="s">
        <v>1</v>
      </c>
      <c r="H36" s="76" t="s">
        <v>1</v>
      </c>
      <c r="I36" s="120" t="s">
        <v>1</v>
      </c>
      <c r="M36" s="101"/>
      <c r="N36" s="1"/>
      <c r="O36" s="1"/>
      <c r="S36" s="50"/>
      <c r="T36" s="76"/>
      <c r="V36" s="23"/>
      <c r="X36" s="1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4" ht="12.75">
      <c r="A37" s="148" t="s">
        <v>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4" ht="12.75">
      <c r="A38" s="148" t="s">
        <v>163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</row>
    <row r="39" spans="1:44" ht="12.75">
      <c r="A39" s="148" t="s">
        <v>80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</row>
    <row r="40" spans="1:44" ht="12.75">
      <c r="A40" s="2"/>
      <c r="B40" s="2"/>
      <c r="C40" s="2"/>
      <c r="D40" s="2"/>
      <c r="E40" s="2"/>
      <c r="F40" s="3"/>
      <c r="G40" s="2"/>
      <c r="H40" s="12"/>
      <c r="I40" s="114" t="s">
        <v>1</v>
      </c>
      <c r="J40" s="2"/>
      <c r="K40" s="2"/>
      <c r="L40" s="2"/>
      <c r="M40" s="26"/>
      <c r="N40" s="26"/>
      <c r="O40" s="26"/>
      <c r="P40" s="2"/>
      <c r="Q40" s="2"/>
      <c r="R40" s="2"/>
      <c r="S40" s="2"/>
      <c r="T40" s="12"/>
      <c r="U40" s="2"/>
      <c r="V40" s="2"/>
      <c r="W40" s="2"/>
      <c r="X40" s="26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</row>
    <row r="41" spans="1:44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02" t="s">
        <v>1</v>
      </c>
      <c r="I41" s="114"/>
      <c r="J41" s="18" t="s">
        <v>1</v>
      </c>
      <c r="K41" s="18"/>
      <c r="L41" s="14" t="s">
        <v>36</v>
      </c>
      <c r="M41" s="25" t="s">
        <v>47</v>
      </c>
      <c r="N41" s="62" t="s">
        <v>76</v>
      </c>
      <c r="O41" s="26"/>
      <c r="P41" s="2"/>
      <c r="Q41" s="2"/>
      <c r="R41" s="2"/>
      <c r="S41" s="2"/>
      <c r="T41" s="12"/>
      <c r="U41" s="2"/>
      <c r="V41" s="2"/>
      <c r="W41" s="2"/>
      <c r="X41" s="2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4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15" t="s">
        <v>3</v>
      </c>
      <c r="J42" s="10" t="s">
        <v>75</v>
      </c>
      <c r="K42" s="70" t="s">
        <v>35</v>
      </c>
      <c r="L42" s="14" t="s">
        <v>40</v>
      </c>
      <c r="M42" s="63" t="s">
        <v>75</v>
      </c>
      <c r="N42" s="62" t="s">
        <v>35</v>
      </c>
      <c r="O42" s="103"/>
      <c r="P42" s="2"/>
      <c r="Q42" s="2"/>
      <c r="R42" s="2"/>
      <c r="S42" s="18" t="s">
        <v>75</v>
      </c>
      <c r="T42" s="10" t="s">
        <v>35</v>
      </c>
      <c r="U42" s="18" t="s">
        <v>82</v>
      </c>
      <c r="V42" s="18" t="s">
        <v>162</v>
      </c>
      <c r="W42" s="18"/>
      <c r="X42" s="63" t="s">
        <v>74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</row>
    <row r="43" spans="1:44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15" t="s">
        <v>5</v>
      </c>
      <c r="J43" s="10" t="s">
        <v>1</v>
      </c>
      <c r="K43" s="24"/>
      <c r="L43" s="12"/>
      <c r="M43" s="15"/>
      <c r="N43" s="16"/>
      <c r="O43" s="16"/>
      <c r="P43" s="2"/>
      <c r="Q43" s="2"/>
      <c r="R43" s="2"/>
      <c r="S43" s="2"/>
      <c r="T43" s="10"/>
      <c r="U43" s="18"/>
      <c r="V43" s="18" t="s">
        <v>79</v>
      </c>
      <c r="W43" s="18"/>
      <c r="X43" s="6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</row>
    <row r="44" spans="1:44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116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13" t="s">
        <v>1</v>
      </c>
      <c r="U44" s="2"/>
      <c r="V44" s="2"/>
      <c r="W44" s="2"/>
      <c r="X44" s="26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</row>
    <row r="45" spans="1:44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21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13" t="s">
        <v>1</v>
      </c>
      <c r="U45" s="2"/>
      <c r="V45" s="2"/>
      <c r="W45" s="2"/>
      <c r="X45" s="26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4" ht="12.75">
      <c r="A46" s="2" t="s">
        <v>12</v>
      </c>
      <c r="B46" s="2"/>
      <c r="C46" s="2"/>
      <c r="D46" s="2"/>
      <c r="E46" s="2"/>
      <c r="F46" s="3" t="s">
        <v>53</v>
      </c>
      <c r="G46" s="28">
        <f>+G47+G57+G60</f>
        <v>2283078000</v>
      </c>
      <c r="H46" s="29">
        <f>SUM(H47+H57+H60)</f>
        <v>0</v>
      </c>
      <c r="I46" s="122">
        <f>+G46+H46</f>
        <v>2283078000</v>
      </c>
      <c r="J46" s="29">
        <f>SUM(J47+J57+J60)</f>
        <v>1379180567</v>
      </c>
      <c r="K46" s="29">
        <f>SUM(K47+K57+K60)</f>
        <v>1379180567</v>
      </c>
      <c r="L46" s="11">
        <f aca="true" t="shared" si="7" ref="L46:L61">+I46-J46</f>
        <v>903897433</v>
      </c>
      <c r="M46" s="31">
        <f aca="true" t="shared" si="8" ref="M46:M61">+J46/I46*100</f>
        <v>60.408823833438895</v>
      </c>
      <c r="N46" s="31">
        <f>+K46/I46*100</f>
        <v>60.408823833438895</v>
      </c>
      <c r="O46" s="31"/>
      <c r="P46" s="2"/>
      <c r="Q46" s="2"/>
      <c r="R46" s="2"/>
      <c r="S46" s="28">
        <f>+S47+S57+S60</f>
        <v>1818003302</v>
      </c>
      <c r="T46" s="29">
        <f>SUM(T47+T57+T60)</f>
        <v>827423105</v>
      </c>
      <c r="U46" s="28">
        <f>SUM(U47+U57+U60)</f>
        <v>827423105</v>
      </c>
      <c r="V46" s="30">
        <f aca="true" t="shared" si="9" ref="V46:V61">+I46-T46</f>
        <v>1455654895</v>
      </c>
      <c r="W46" s="2"/>
      <c r="X46" s="26">
        <f aca="true" t="shared" si="10" ref="X46:X61">+T46/I46*100</f>
        <v>36.24156095411546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</row>
    <row r="47" spans="1:44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28">
        <f>+G48+G53+G54+G55+G56</f>
        <v>2247064000</v>
      </c>
      <c r="H47" s="29">
        <f>+H48+H53+H54+H55+H56</f>
        <v>0</v>
      </c>
      <c r="I47" s="122">
        <f>+I48+I53+I54+I55+I56</f>
        <v>2247064000</v>
      </c>
      <c r="J47" s="28">
        <f>+J48+J53+J54+J55+J56</f>
        <v>1354346567</v>
      </c>
      <c r="K47" s="28">
        <f>+K48+K53+K54+K55+K56</f>
        <v>1354346567</v>
      </c>
      <c r="L47" s="11">
        <f t="shared" si="7"/>
        <v>892717433</v>
      </c>
      <c r="M47" s="31">
        <f t="shared" si="8"/>
        <v>60.2718287952635</v>
      </c>
      <c r="N47" s="31">
        <f aca="true" t="shared" si="11" ref="N47:N61">+K47/I47*100</f>
        <v>60.2718287952635</v>
      </c>
      <c r="O47" s="31"/>
      <c r="P47" s="2"/>
      <c r="Q47" s="2"/>
      <c r="R47" s="2"/>
      <c r="S47" s="28">
        <f>+S48+S53+S54+S55+S56</f>
        <v>1793169302</v>
      </c>
      <c r="T47" s="29">
        <f>+T48+T53+T54+T55+T56</f>
        <v>802589105</v>
      </c>
      <c r="U47" s="28">
        <f>+U48+U53+U54+U55+U56</f>
        <v>802589105</v>
      </c>
      <c r="V47" s="30">
        <f t="shared" si="9"/>
        <v>1444474895</v>
      </c>
      <c r="W47" s="2"/>
      <c r="X47" s="26">
        <f t="shared" si="10"/>
        <v>35.71723391056062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</row>
    <row r="48" spans="1:44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0">
        <f>SUM(G49:G52)</f>
        <v>1883614000</v>
      </c>
      <c r="H48" s="11">
        <f>SUM(H49:H52)</f>
        <v>0</v>
      </c>
      <c r="I48" s="123">
        <f>SUM(I49:I52)</f>
        <v>1883614000</v>
      </c>
      <c r="J48" s="11">
        <f>SUM(J49:J52)</f>
        <v>1097699750</v>
      </c>
      <c r="K48" s="11">
        <f>SUM(K49:K52)</f>
        <v>1097699750</v>
      </c>
      <c r="L48" s="11">
        <f t="shared" si="7"/>
        <v>785914250</v>
      </c>
      <c r="M48" s="31">
        <f t="shared" si="8"/>
        <v>58.276257768311346</v>
      </c>
      <c r="N48" s="31">
        <f t="shared" si="11"/>
        <v>58.276257768311346</v>
      </c>
      <c r="O48" s="15"/>
      <c r="P48" s="2"/>
      <c r="Q48" s="2"/>
      <c r="R48" s="2"/>
      <c r="S48" s="30">
        <f>SUM(S49:S52)</f>
        <v>1429719302</v>
      </c>
      <c r="T48" s="11">
        <f>SUM(T49:T52)</f>
        <v>678696158</v>
      </c>
      <c r="U48" s="30">
        <f>+T48</f>
        <v>678696158</v>
      </c>
      <c r="V48" s="30">
        <f t="shared" si="9"/>
        <v>1204917842</v>
      </c>
      <c r="W48" s="2"/>
      <c r="X48" s="26">
        <f t="shared" si="10"/>
        <v>36.031594477424775</v>
      </c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</row>
    <row r="49" spans="1:44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0">
        <v>1471733281</v>
      </c>
      <c r="H49" s="11">
        <v>0</v>
      </c>
      <c r="I49" s="123">
        <f>+G49+H49</f>
        <v>1471733281</v>
      </c>
      <c r="J49" s="29">
        <v>910042416</v>
      </c>
      <c r="K49" s="29">
        <v>910042416</v>
      </c>
      <c r="L49" s="11">
        <f t="shared" si="7"/>
        <v>561690865</v>
      </c>
      <c r="M49" s="31">
        <f t="shared" si="8"/>
        <v>61.834737839294675</v>
      </c>
      <c r="N49" s="31">
        <f t="shared" si="11"/>
        <v>61.834737839294675</v>
      </c>
      <c r="O49" s="15"/>
      <c r="P49" s="2"/>
      <c r="Q49" s="2"/>
      <c r="R49" s="2"/>
      <c r="S49" s="30">
        <v>1186166487</v>
      </c>
      <c r="T49" s="11">
        <v>570298978</v>
      </c>
      <c r="U49" s="30">
        <f aca="true" t="shared" si="12" ref="U49:U56">+T49</f>
        <v>570298978</v>
      </c>
      <c r="V49" s="30">
        <f t="shared" si="9"/>
        <v>901434303</v>
      </c>
      <c r="W49" s="2"/>
      <c r="X49" s="26">
        <f t="shared" si="10"/>
        <v>38.75015842629436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4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0">
        <v>1883189</v>
      </c>
      <c r="H50" s="11">
        <v>0</v>
      </c>
      <c r="I50" s="123">
        <f aca="true" t="shared" si="13" ref="I50:I57">+G50+H50</f>
        <v>1883189</v>
      </c>
      <c r="J50" s="29">
        <v>805455</v>
      </c>
      <c r="K50" s="29">
        <v>805455</v>
      </c>
      <c r="L50" s="11">
        <f t="shared" si="7"/>
        <v>1077734</v>
      </c>
      <c r="M50" s="31">
        <f t="shared" si="8"/>
        <v>42.77079995688165</v>
      </c>
      <c r="N50" s="31">
        <f t="shared" si="11"/>
        <v>42.77079995688165</v>
      </c>
      <c r="O50" s="15"/>
      <c r="P50" s="2"/>
      <c r="Q50" s="2"/>
      <c r="R50" s="2"/>
      <c r="S50" s="30">
        <v>1068815</v>
      </c>
      <c r="T50" s="11">
        <v>401877</v>
      </c>
      <c r="U50" s="30">
        <f t="shared" si="12"/>
        <v>401877</v>
      </c>
      <c r="V50" s="30">
        <f t="shared" si="9"/>
        <v>1481312</v>
      </c>
      <c r="W50" s="2"/>
      <c r="X50" s="26">
        <f t="shared" si="10"/>
        <v>21.340237225259916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4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0">
        <v>146406000</v>
      </c>
      <c r="H51" s="11">
        <v>0</v>
      </c>
      <c r="I51" s="123">
        <f t="shared" si="13"/>
        <v>146406000</v>
      </c>
      <c r="J51" s="29">
        <v>97076221</v>
      </c>
      <c r="K51" s="29">
        <v>97076221</v>
      </c>
      <c r="L51" s="11">
        <f t="shared" si="7"/>
        <v>49329779</v>
      </c>
      <c r="M51" s="31">
        <f t="shared" si="8"/>
        <v>66.30617665942653</v>
      </c>
      <c r="N51" s="31">
        <f t="shared" si="11"/>
        <v>66.30617665942653</v>
      </c>
      <c r="O51" s="15"/>
      <c r="P51" s="2"/>
      <c r="Q51" s="2"/>
      <c r="R51" s="2"/>
      <c r="S51" s="73">
        <f>+I51</f>
        <v>146406000</v>
      </c>
      <c r="T51" s="11">
        <v>41554705</v>
      </c>
      <c r="U51" s="30">
        <f t="shared" si="12"/>
        <v>41554705</v>
      </c>
      <c r="V51" s="30">
        <f t="shared" si="9"/>
        <v>104851295</v>
      </c>
      <c r="W51" s="2"/>
      <c r="X51" s="26">
        <f t="shared" si="10"/>
        <v>28.383198092974332</v>
      </c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0">
        <f>39780739+70067192+14750000+138993599</f>
        <v>263591530</v>
      </c>
      <c r="H52" s="11">
        <v>0</v>
      </c>
      <c r="I52" s="123">
        <f t="shared" si="13"/>
        <v>263591530</v>
      </c>
      <c r="J52" s="29">
        <f>11820000+57319500+18076500+2559658</f>
        <v>89775658</v>
      </c>
      <c r="K52" s="29">
        <f>11820000+57319500+18076500+2559658</f>
        <v>89775658</v>
      </c>
      <c r="L52" s="11">
        <f t="shared" si="7"/>
        <v>173815872</v>
      </c>
      <c r="M52" s="31">
        <f t="shared" si="8"/>
        <v>34.05862775636228</v>
      </c>
      <c r="N52" s="31">
        <f t="shared" si="11"/>
        <v>34.05862775636228</v>
      </c>
      <c r="O52" s="15"/>
      <c r="P52" s="2"/>
      <c r="Q52" s="2"/>
      <c r="R52" s="2"/>
      <c r="S52" s="30">
        <f>13000000+62000000+21078000</f>
        <v>96078000</v>
      </c>
      <c r="T52" s="11">
        <f>32304061+9155271+1349082+14750000+8882184</f>
        <v>66440598</v>
      </c>
      <c r="U52" s="30">
        <f t="shared" si="12"/>
        <v>66440598</v>
      </c>
      <c r="V52" s="30">
        <f t="shared" si="9"/>
        <v>197150932</v>
      </c>
      <c r="W52" s="2"/>
      <c r="X52" s="26">
        <f t="shared" si="10"/>
        <v>25.205892617262776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0">
        <f>49361250+46011514</f>
        <v>95372764</v>
      </c>
      <c r="H53" s="11">
        <v>0</v>
      </c>
      <c r="I53" s="123">
        <f t="shared" si="13"/>
        <v>95372764</v>
      </c>
      <c r="J53" s="29">
        <f>+I53</f>
        <v>95372764</v>
      </c>
      <c r="K53" s="29">
        <f>+J53</f>
        <v>95372764</v>
      </c>
      <c r="L53" s="11">
        <f t="shared" si="7"/>
        <v>0</v>
      </c>
      <c r="M53" s="31">
        <f t="shared" si="8"/>
        <v>100</v>
      </c>
      <c r="N53" s="31">
        <f t="shared" si="11"/>
        <v>100</v>
      </c>
      <c r="O53" s="15"/>
      <c r="P53" s="2"/>
      <c r="Q53" s="2"/>
      <c r="R53" s="2"/>
      <c r="S53" s="30">
        <f>+I53</f>
        <v>95372764</v>
      </c>
      <c r="T53" s="11">
        <v>15389600</v>
      </c>
      <c r="U53" s="30">
        <f>+T53</f>
        <v>15389600</v>
      </c>
      <c r="V53" s="30">
        <f t="shared" si="9"/>
        <v>79983164</v>
      </c>
      <c r="W53" s="2"/>
      <c r="X53" s="26">
        <f t="shared" si="10"/>
        <v>16.136262969163816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117124447+75402011+17031194</f>
        <v>209557652</v>
      </c>
      <c r="H54" s="11">
        <v>0</v>
      </c>
      <c r="I54" s="123">
        <f t="shared" si="13"/>
        <v>209557652</v>
      </c>
      <c r="J54" s="29">
        <v>121440353</v>
      </c>
      <c r="K54" s="29">
        <v>121440353</v>
      </c>
      <c r="L54" s="11">
        <f t="shared" si="7"/>
        <v>88117299</v>
      </c>
      <c r="M54" s="31">
        <f t="shared" si="8"/>
        <v>57.95080821004809</v>
      </c>
      <c r="N54" s="31">
        <f t="shared" si="11"/>
        <v>57.95080821004809</v>
      </c>
      <c r="O54" s="15"/>
      <c r="P54" s="2"/>
      <c r="Q54" s="2"/>
      <c r="R54" s="2"/>
      <c r="S54" s="4">
        <f>+I54</f>
        <v>209557652</v>
      </c>
      <c r="T54" s="11">
        <f>24421312+35991860+28850175</f>
        <v>89263347</v>
      </c>
      <c r="U54" s="30">
        <f t="shared" si="12"/>
        <v>89263347</v>
      </c>
      <c r="V54" s="30">
        <f t="shared" si="9"/>
        <v>120294305</v>
      </c>
      <c r="W54" s="2"/>
      <c r="X54" s="26">
        <f t="shared" si="10"/>
        <v>42.596080910469446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1:44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0">
        <v>29259792</v>
      </c>
      <c r="H55" s="11">
        <v>0</v>
      </c>
      <c r="I55" s="123">
        <f t="shared" si="13"/>
        <v>29259792</v>
      </c>
      <c r="J55" s="29">
        <v>22149500</v>
      </c>
      <c r="K55" s="29">
        <v>22149500</v>
      </c>
      <c r="L55" s="11">
        <f t="shared" si="7"/>
        <v>7110292</v>
      </c>
      <c r="M55" s="31">
        <f t="shared" si="8"/>
        <v>75.6994444799881</v>
      </c>
      <c r="N55" s="31">
        <f t="shared" si="11"/>
        <v>75.6994444799881</v>
      </c>
      <c r="O55" s="15"/>
      <c r="P55" s="2"/>
      <c r="Q55" s="2"/>
      <c r="R55" s="2"/>
      <c r="S55" s="30">
        <f>+I55</f>
        <v>29259792</v>
      </c>
      <c r="T55" s="11">
        <v>11542600</v>
      </c>
      <c r="U55" s="30">
        <f t="shared" si="12"/>
        <v>11542600</v>
      </c>
      <c r="V55" s="30">
        <f t="shared" si="9"/>
        <v>17717192</v>
      </c>
      <c r="W55" s="2"/>
      <c r="X55" s="26">
        <f t="shared" si="10"/>
        <v>39.448674139583765</v>
      </c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4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0">
        <f>+G55</f>
        <v>29259792</v>
      </c>
      <c r="H56" s="11">
        <v>0</v>
      </c>
      <c r="I56" s="123">
        <f t="shared" si="13"/>
        <v>29259792</v>
      </c>
      <c r="J56" s="29">
        <v>17684200</v>
      </c>
      <c r="K56" s="29">
        <v>17684200</v>
      </c>
      <c r="L56" s="11">
        <f t="shared" si="7"/>
        <v>11575592</v>
      </c>
      <c r="M56" s="31">
        <f t="shared" si="8"/>
        <v>60.43857044506673</v>
      </c>
      <c r="N56" s="31">
        <f t="shared" si="11"/>
        <v>60.43857044506673</v>
      </c>
      <c r="O56" s="15"/>
      <c r="P56" s="2"/>
      <c r="Q56" s="2"/>
      <c r="R56" s="2"/>
      <c r="S56" s="30">
        <f>+I56</f>
        <v>29259792</v>
      </c>
      <c r="T56" s="11">
        <v>7697400</v>
      </c>
      <c r="U56" s="30">
        <f t="shared" si="12"/>
        <v>7697400</v>
      </c>
      <c r="V56" s="30">
        <f t="shared" si="9"/>
        <v>21562392</v>
      </c>
      <c r="W56" s="2"/>
      <c r="X56" s="26">
        <f t="shared" si="10"/>
        <v>26.307090631402986</v>
      </c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4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28">
        <f>SUM(G58:G59)</f>
        <v>24834000</v>
      </c>
      <c r="H57" s="29">
        <f>SUM(H58:H59)</f>
        <v>0</v>
      </c>
      <c r="I57" s="122">
        <f t="shared" si="13"/>
        <v>24834000</v>
      </c>
      <c r="J57" s="29">
        <f>+J58+J59</f>
        <v>24834000</v>
      </c>
      <c r="K57" s="29">
        <f>+K58+K59</f>
        <v>24834000</v>
      </c>
      <c r="L57" s="11">
        <f t="shared" si="7"/>
        <v>0</v>
      </c>
      <c r="M57" s="31">
        <f t="shared" si="8"/>
        <v>100</v>
      </c>
      <c r="N57" s="31">
        <f t="shared" si="11"/>
        <v>100</v>
      </c>
      <c r="O57" s="31"/>
      <c r="P57" s="2"/>
      <c r="Q57" s="2"/>
      <c r="R57" s="2"/>
      <c r="S57" s="28">
        <f>SUM(S58:S59)</f>
        <v>24834000</v>
      </c>
      <c r="T57" s="29">
        <f>SUM(T58:T59)</f>
        <v>24834000</v>
      </c>
      <c r="U57" s="28">
        <f>SUM(U58:U59)</f>
        <v>24834000</v>
      </c>
      <c r="V57" s="30">
        <f t="shared" si="9"/>
        <v>0</v>
      </c>
      <c r="W57" s="2"/>
      <c r="X57" s="26">
        <f t="shared" si="10"/>
        <v>100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0">
        <v>23279000</v>
      </c>
      <c r="H58" s="11">
        <v>0</v>
      </c>
      <c r="I58" s="123">
        <f>+G58+H58</f>
        <v>23279000</v>
      </c>
      <c r="J58" s="29">
        <f>+I58</f>
        <v>23279000</v>
      </c>
      <c r="K58" s="29">
        <f>+J58</f>
        <v>23279000</v>
      </c>
      <c r="L58" s="11">
        <f t="shared" si="7"/>
        <v>0</v>
      </c>
      <c r="M58" s="31">
        <f t="shared" si="8"/>
        <v>100</v>
      </c>
      <c r="N58" s="31">
        <f t="shared" si="11"/>
        <v>100</v>
      </c>
      <c r="O58" s="15"/>
      <c r="P58" s="2"/>
      <c r="Q58" s="2"/>
      <c r="R58" s="2"/>
      <c r="S58" s="30">
        <f>+I58</f>
        <v>23279000</v>
      </c>
      <c r="T58" s="11">
        <f>+I58</f>
        <v>23279000</v>
      </c>
      <c r="U58" s="30">
        <f>+T58</f>
        <v>23279000</v>
      </c>
      <c r="V58" s="30">
        <f t="shared" si="9"/>
        <v>0</v>
      </c>
      <c r="W58" s="2"/>
      <c r="X58" s="26">
        <f t="shared" si="10"/>
        <v>100</v>
      </c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4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0">
        <v>1555000</v>
      </c>
      <c r="H59" s="11">
        <v>0</v>
      </c>
      <c r="I59" s="123">
        <f>+G59+H59</f>
        <v>1555000</v>
      </c>
      <c r="J59" s="29">
        <f>+I59</f>
        <v>1555000</v>
      </c>
      <c r="K59" s="29">
        <f>+J59</f>
        <v>1555000</v>
      </c>
      <c r="L59" s="11">
        <f t="shared" si="7"/>
        <v>0</v>
      </c>
      <c r="M59" s="31">
        <f t="shared" si="8"/>
        <v>100</v>
      </c>
      <c r="N59" s="31">
        <f t="shared" si="11"/>
        <v>100</v>
      </c>
      <c r="O59" s="15"/>
      <c r="P59" s="2"/>
      <c r="Q59" s="2"/>
      <c r="R59" s="2"/>
      <c r="S59" s="30">
        <f>+I59</f>
        <v>1555000</v>
      </c>
      <c r="T59" s="11">
        <f>+I59</f>
        <v>1555000</v>
      </c>
      <c r="U59" s="30">
        <f>+T59</f>
        <v>1555000</v>
      </c>
      <c r="V59" s="30">
        <f t="shared" si="9"/>
        <v>0</v>
      </c>
      <c r="W59" s="2"/>
      <c r="X59" s="26">
        <f t="shared" si="10"/>
        <v>100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0">
        <f>+G61</f>
        <v>11180000</v>
      </c>
      <c r="H60" s="11">
        <f>+H61</f>
        <v>0</v>
      </c>
      <c r="I60" s="123">
        <f>+G60+H60</f>
        <v>11180000</v>
      </c>
      <c r="J60" s="29">
        <f>+J61</f>
        <v>0</v>
      </c>
      <c r="K60" s="29">
        <f>+K61</f>
        <v>0</v>
      </c>
      <c r="L60" s="11">
        <f t="shared" si="7"/>
        <v>11180000</v>
      </c>
      <c r="M60" s="31">
        <f t="shared" si="8"/>
        <v>0</v>
      </c>
      <c r="N60" s="31">
        <f t="shared" si="11"/>
        <v>0</v>
      </c>
      <c r="O60" s="15"/>
      <c r="P60" s="2"/>
      <c r="Q60" s="2"/>
      <c r="R60" s="2"/>
      <c r="S60" s="30">
        <f>+S61</f>
        <v>0</v>
      </c>
      <c r="T60" s="11">
        <f>+T61</f>
        <v>0</v>
      </c>
      <c r="U60" s="30">
        <f>+U61</f>
        <v>0</v>
      </c>
      <c r="V60" s="30">
        <f t="shared" si="9"/>
        <v>11180000</v>
      </c>
      <c r="W60" s="2"/>
      <c r="X60" s="26">
        <f t="shared" si="10"/>
        <v>0</v>
      </c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4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0">
        <v>11180000</v>
      </c>
      <c r="H61" s="11">
        <v>0</v>
      </c>
      <c r="I61" s="123">
        <f>+G61+H61</f>
        <v>11180000</v>
      </c>
      <c r="J61" s="29">
        <v>0</v>
      </c>
      <c r="K61" s="29">
        <v>0</v>
      </c>
      <c r="L61" s="11">
        <f t="shared" si="7"/>
        <v>11180000</v>
      </c>
      <c r="M61" s="31">
        <f t="shared" si="8"/>
        <v>0</v>
      </c>
      <c r="N61" s="31">
        <f t="shared" si="11"/>
        <v>0</v>
      </c>
      <c r="O61" s="15"/>
      <c r="P61" s="2"/>
      <c r="Q61" s="2"/>
      <c r="R61" s="2"/>
      <c r="S61" s="30">
        <v>0</v>
      </c>
      <c r="T61" s="11">
        <v>0</v>
      </c>
      <c r="U61" s="30">
        <v>0</v>
      </c>
      <c r="V61" s="30">
        <f t="shared" si="9"/>
        <v>11180000</v>
      </c>
      <c r="W61" s="2"/>
      <c r="X61" s="26">
        <f t="shared" si="10"/>
        <v>0</v>
      </c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24" t="s">
        <v>1</v>
      </c>
      <c r="J62" s="29" t="s">
        <v>1</v>
      </c>
      <c r="K62" s="29"/>
      <c r="L62" s="12"/>
      <c r="M62" s="31" t="s">
        <v>1</v>
      </c>
      <c r="N62" s="15"/>
      <c r="O62" s="15"/>
      <c r="P62" s="2"/>
      <c r="Q62" s="2"/>
      <c r="R62" s="2"/>
      <c r="S62" s="2"/>
      <c r="T62" s="12"/>
      <c r="U62" s="2"/>
      <c r="V62" s="2"/>
      <c r="W62" s="2"/>
      <c r="X62" s="26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7:44" ht="12.75">
      <c r="G63" s="32"/>
      <c r="H63" s="65"/>
      <c r="I63" s="124"/>
      <c r="T63" s="65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7:44" ht="12.75">
      <c r="G64" s="32"/>
      <c r="H64" s="66"/>
      <c r="I64" s="125" t="s">
        <v>1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6"/>
      <c r="U64" s="69"/>
      <c r="V64" s="78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7:44" ht="15">
      <c r="G65" s="7"/>
      <c r="H65" s="68"/>
      <c r="I65" s="126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68"/>
      <c r="U65" s="53"/>
      <c r="V65" s="53"/>
      <c r="W65" s="1"/>
      <c r="X65" s="1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7:44" ht="12.75">
      <c r="G66" s="7"/>
      <c r="H66" s="68"/>
      <c r="I66" s="125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68"/>
      <c r="U66" s="53"/>
      <c r="V66" s="53"/>
      <c r="W66" s="1"/>
      <c r="X66" s="1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7:44" ht="12.75">
      <c r="G67" s="23"/>
      <c r="H67" s="68"/>
      <c r="I67" s="127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68"/>
      <c r="U67" s="53"/>
      <c r="V67" s="53"/>
      <c r="W67" s="1"/>
      <c r="X67" s="1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7:44" ht="12.75">
      <c r="G68" s="7"/>
      <c r="H68" s="68"/>
      <c r="I68" s="127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68"/>
      <c r="U68" s="53"/>
      <c r="V68" s="53"/>
      <c r="W68" s="1"/>
      <c r="X68" s="1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7:44" ht="12.75">
      <c r="G69" s="1"/>
      <c r="H69" s="68"/>
      <c r="I69" s="127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8"/>
      <c r="U69" s="68"/>
      <c r="V69" s="53"/>
      <c r="W69" s="1"/>
      <c r="X69" s="1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7:44" ht="12.75">
      <c r="G70" s="1"/>
      <c r="H70" s="68"/>
      <c r="I70" s="127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68"/>
      <c r="U70" s="68"/>
      <c r="V70" s="53"/>
      <c r="W70" s="1"/>
      <c r="X70" s="1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7:44" ht="12.75">
      <c r="G71" s="1"/>
      <c r="H71" s="68"/>
      <c r="I71" s="125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68"/>
      <c r="U71" s="68"/>
      <c r="V71" s="53"/>
      <c r="W71" s="1"/>
      <c r="X71" s="1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7:44" ht="12.75">
      <c r="G72" s="1"/>
      <c r="H72" s="68"/>
      <c r="I72" s="125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68"/>
      <c r="U72" s="68"/>
      <c r="V72" s="53"/>
      <c r="W72" s="1"/>
      <c r="X72" s="1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7:44" ht="12.75">
      <c r="G73" s="1"/>
      <c r="H73" s="68"/>
      <c r="I73" s="125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67"/>
      <c r="U73" s="67"/>
      <c r="V73" s="53"/>
      <c r="W73" s="1"/>
      <c r="X73" s="1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7:44" ht="12.75">
      <c r="G74" s="1"/>
      <c r="H74" s="68"/>
      <c r="I74" s="127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68"/>
      <c r="U74" s="53"/>
      <c r="V74" s="53"/>
      <c r="W74" s="1"/>
      <c r="X74" s="1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7:44" ht="12.75">
      <c r="G75" s="1"/>
      <c r="H75" s="68"/>
      <c r="I75" s="127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68"/>
      <c r="U75" s="53"/>
      <c r="V75" s="53"/>
      <c r="W75" s="1"/>
      <c r="X75" s="1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7:44" ht="12.75">
      <c r="G76" s="1"/>
      <c r="H76" s="68"/>
      <c r="I76" s="127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68"/>
      <c r="U76" s="53"/>
      <c r="V76" s="53"/>
      <c r="W76" s="1"/>
      <c r="X76" s="1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7:44" ht="12.75">
      <c r="G77" s="1"/>
      <c r="H77" s="68"/>
      <c r="I77" s="125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67"/>
      <c r="U77" s="53"/>
      <c r="V77" s="53"/>
      <c r="W77" s="1"/>
      <c r="X77" s="1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7:44" ht="12.75">
      <c r="G78" s="1"/>
      <c r="H78" s="68"/>
      <c r="I78" s="12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68"/>
      <c r="U78" s="53"/>
      <c r="V78" s="53"/>
      <c r="W78" s="1"/>
      <c r="X78" s="1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7:44" ht="12.75">
      <c r="G79" s="1"/>
      <c r="H79" s="79"/>
      <c r="I79" s="128"/>
      <c r="J79" s="1"/>
      <c r="K79" s="1"/>
      <c r="L79" s="1"/>
      <c r="M79" s="1"/>
      <c r="N79" s="1"/>
      <c r="O79" s="1"/>
      <c r="P79" s="1"/>
      <c r="Q79" s="1"/>
      <c r="R79" s="1"/>
      <c r="S79" s="1"/>
      <c r="T79" s="79"/>
      <c r="U79" s="1"/>
      <c r="V79" s="1"/>
      <c r="W79" s="1"/>
      <c r="X79" s="1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7:44" ht="12.75">
      <c r="G80" s="1"/>
      <c r="H80" s="79"/>
      <c r="I80" s="128"/>
      <c r="J80" s="1"/>
      <c r="K80" s="1"/>
      <c r="L80" s="1"/>
      <c r="M80" s="1"/>
      <c r="N80" s="1"/>
      <c r="O80" s="1"/>
      <c r="P80" s="1"/>
      <c r="Q80" s="1"/>
      <c r="R80" s="1"/>
      <c r="S80" s="1"/>
      <c r="T80" s="79"/>
      <c r="U80" s="1"/>
      <c r="V80" s="1"/>
      <c r="W80" s="1"/>
      <c r="X80" s="1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7:44" ht="12.75">
      <c r="G81" s="1"/>
      <c r="H81" s="79"/>
      <c r="I81" s="128"/>
      <c r="J81" s="1"/>
      <c r="K81" s="1"/>
      <c r="L81" s="1"/>
      <c r="M81" s="1"/>
      <c r="N81" s="1"/>
      <c r="O81" s="1"/>
      <c r="P81" s="1"/>
      <c r="Q81" s="1"/>
      <c r="R81" s="1"/>
      <c r="S81" s="1"/>
      <c r="T81" s="79"/>
      <c r="U81" s="1"/>
      <c r="V81" s="1"/>
      <c r="W81" s="1"/>
      <c r="X81" s="1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7:44" ht="12.75">
      <c r="G82" s="1"/>
      <c r="H82" s="79"/>
      <c r="I82" s="128"/>
      <c r="J82" s="1"/>
      <c r="K82" s="1"/>
      <c r="L82" s="1"/>
      <c r="M82" s="1"/>
      <c r="N82" s="1"/>
      <c r="O82" s="1"/>
      <c r="P82" s="1"/>
      <c r="Q82" s="1"/>
      <c r="R82" s="1"/>
      <c r="S82" s="1"/>
      <c r="T82" s="79"/>
      <c r="U82" s="1"/>
      <c r="V82" s="1"/>
      <c r="W82" s="1"/>
      <c r="X82" s="1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7:44" ht="12.75">
      <c r="G83" s="1"/>
      <c r="H83" s="79"/>
      <c r="I83" s="128"/>
      <c r="J83" s="1"/>
      <c r="K83" s="1"/>
      <c r="L83" s="1"/>
      <c r="M83" s="1"/>
      <c r="N83" s="1"/>
      <c r="O83" s="1"/>
      <c r="P83" s="1"/>
      <c r="Q83" s="1"/>
      <c r="R83" s="1"/>
      <c r="S83" s="1"/>
      <c r="T83" s="79"/>
      <c r="U83" s="1"/>
      <c r="V83" s="1"/>
      <c r="W83" s="1"/>
      <c r="X83" s="1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7:44" ht="12.75">
      <c r="G84" s="1"/>
      <c r="H84" s="79"/>
      <c r="I84" s="128"/>
      <c r="J84" s="1"/>
      <c r="K84" s="1"/>
      <c r="L84" s="1"/>
      <c r="M84" s="1"/>
      <c r="N84" s="1"/>
      <c r="O84" s="1"/>
      <c r="P84" s="1"/>
      <c r="Q84" s="1"/>
      <c r="R84" s="1"/>
      <c r="S84" s="1"/>
      <c r="T84" s="79"/>
      <c r="U84" s="1"/>
      <c r="V84" s="1"/>
      <c r="W84" s="1"/>
      <c r="X84" s="1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7:44" ht="12.75">
      <c r="G85" s="1"/>
      <c r="H85" s="79"/>
      <c r="I85" s="128"/>
      <c r="J85" s="1"/>
      <c r="K85" s="1"/>
      <c r="L85" s="1"/>
      <c r="M85" s="1"/>
      <c r="N85" s="1"/>
      <c r="O85" s="1"/>
      <c r="P85" s="1"/>
      <c r="Q85" s="1"/>
      <c r="R85" s="1"/>
      <c r="S85" s="1"/>
      <c r="T85" s="79"/>
      <c r="U85" s="1"/>
      <c r="V85" s="1"/>
      <c r="W85" s="1"/>
      <c r="X85" s="1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7:44" ht="12.75">
      <c r="G86" s="1"/>
      <c r="H86" s="7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79"/>
      <c r="U86" s="1"/>
      <c r="V86" s="1"/>
      <c r="W86" s="1"/>
      <c r="X86" s="1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7:44" ht="12.75">
      <c r="G87" s="1"/>
      <c r="H87" s="79"/>
      <c r="I87" s="128"/>
      <c r="J87" s="1"/>
      <c r="K87" s="1"/>
      <c r="L87" s="1"/>
      <c r="M87" s="1"/>
      <c r="N87" s="1"/>
      <c r="O87" s="1"/>
      <c r="P87" s="1"/>
      <c r="Q87" s="1"/>
      <c r="R87" s="1"/>
      <c r="S87" s="1"/>
      <c r="T87" s="79"/>
      <c r="U87" s="1"/>
      <c r="V87" s="1"/>
      <c r="W87" s="1"/>
      <c r="X87" s="1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7:44" ht="12.75">
      <c r="G88" s="1"/>
      <c r="H88" s="79"/>
      <c r="I88" s="128"/>
      <c r="J88" s="1"/>
      <c r="K88" s="1"/>
      <c r="L88" s="1"/>
      <c r="M88" s="1"/>
      <c r="N88" s="1"/>
      <c r="O88" s="1"/>
      <c r="P88" s="1"/>
      <c r="Q88" s="1"/>
      <c r="R88" s="1"/>
      <c r="S88" s="1"/>
      <c r="T88" s="79"/>
      <c r="U88" s="1"/>
      <c r="V88" s="1"/>
      <c r="W88" s="1"/>
      <c r="X88" s="1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7:44" ht="12.75">
      <c r="G89" s="1"/>
      <c r="H89" s="79"/>
      <c r="I89" s="128"/>
      <c r="J89" s="1"/>
      <c r="K89" s="1"/>
      <c r="L89" s="1"/>
      <c r="M89" s="1"/>
      <c r="N89" s="1"/>
      <c r="O89" s="1"/>
      <c r="P89" s="1"/>
      <c r="Q89" s="1"/>
      <c r="R89" s="1"/>
      <c r="S89" s="1"/>
      <c r="T89" s="79"/>
      <c r="U89" s="1"/>
      <c r="V89" s="1"/>
      <c r="W89" s="1"/>
      <c r="X89" s="1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7:44" ht="12.75">
      <c r="G90" s="1"/>
      <c r="H90" s="79"/>
      <c r="I90" s="128"/>
      <c r="J90" s="1"/>
      <c r="K90" s="1"/>
      <c r="L90" s="1"/>
      <c r="M90" s="1"/>
      <c r="N90" s="1"/>
      <c r="O90" s="1"/>
      <c r="P90" s="1"/>
      <c r="Q90" s="1"/>
      <c r="R90" s="1"/>
      <c r="S90" s="1"/>
      <c r="T90" s="79"/>
      <c r="U90" s="1"/>
      <c r="V90" s="1"/>
      <c r="W90" s="1"/>
      <c r="X90" s="1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7:44" ht="12.75">
      <c r="G91" s="1"/>
      <c r="H91" s="79"/>
      <c r="I91" s="128"/>
      <c r="J91" s="1"/>
      <c r="K91" s="1"/>
      <c r="L91" s="1"/>
      <c r="M91" s="1"/>
      <c r="N91" s="1"/>
      <c r="O91" s="1"/>
      <c r="P91" s="1"/>
      <c r="Q91" s="1"/>
      <c r="R91" s="1"/>
      <c r="S91" s="1"/>
      <c r="T91" s="79"/>
      <c r="U91" s="1"/>
      <c r="V91" s="1"/>
      <c r="W91" s="1"/>
      <c r="X91" s="1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7:44" ht="12.75">
      <c r="G92" s="1"/>
      <c r="H92" s="79"/>
      <c r="I92" s="128"/>
      <c r="J92" s="1"/>
      <c r="K92" s="1"/>
      <c r="L92" s="1"/>
      <c r="M92" s="1"/>
      <c r="N92" s="1"/>
      <c r="O92" s="1"/>
      <c r="P92" s="1"/>
      <c r="Q92" s="1"/>
      <c r="R92" s="1"/>
      <c r="S92" s="1"/>
      <c r="T92" s="79"/>
      <c r="U92" s="1"/>
      <c r="V92" s="1"/>
      <c r="W92" s="1"/>
      <c r="X92" s="1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7:44" ht="12.75">
      <c r="G93" s="1"/>
      <c r="H93" s="79"/>
      <c r="I93" s="128"/>
      <c r="J93" s="1"/>
      <c r="K93" s="1"/>
      <c r="L93" s="1"/>
      <c r="M93" s="1"/>
      <c r="N93" s="1"/>
      <c r="O93" s="1"/>
      <c r="P93" s="1"/>
      <c r="Q93" s="1"/>
      <c r="R93" s="1"/>
      <c r="S93" s="1"/>
      <c r="T93" s="79"/>
      <c r="U93" s="1"/>
      <c r="V93" s="1"/>
      <c r="W93" s="1"/>
      <c r="X93" s="1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7:44" ht="12.75">
      <c r="G94" s="1"/>
      <c r="H94" s="79"/>
      <c r="I94" s="128"/>
      <c r="J94" s="1"/>
      <c r="K94" s="1"/>
      <c r="L94" s="1"/>
      <c r="M94" s="1"/>
      <c r="N94" s="1"/>
      <c r="O94" s="1"/>
      <c r="P94" s="1"/>
      <c r="Q94" s="1"/>
      <c r="R94" s="1"/>
      <c r="S94" s="1"/>
      <c r="T94" s="79"/>
      <c r="U94" s="1"/>
      <c r="V94" s="1"/>
      <c r="W94" s="1"/>
      <c r="X94" s="1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7:44" ht="12.75">
      <c r="G95" s="1"/>
      <c r="H95" s="79"/>
      <c r="I95" s="128"/>
      <c r="J95" s="1"/>
      <c r="K95" s="1"/>
      <c r="L95" s="1"/>
      <c r="M95" s="1"/>
      <c r="N95" s="1"/>
      <c r="O95" s="1"/>
      <c r="P95" s="1"/>
      <c r="Q95" s="1"/>
      <c r="R95" s="1"/>
      <c r="S95" s="1"/>
      <c r="T95" s="79"/>
      <c r="U95" s="1"/>
      <c r="V95" s="1"/>
      <c r="W95" s="1"/>
      <c r="X95" s="1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7:44" ht="12.75">
      <c r="G96" s="1"/>
      <c r="H96" s="79"/>
      <c r="I96" s="128"/>
      <c r="J96" s="1"/>
      <c r="K96" s="1"/>
      <c r="L96" s="1"/>
      <c r="M96" s="1"/>
      <c r="N96" s="1"/>
      <c r="O96" s="1"/>
      <c r="P96" s="1"/>
      <c r="Q96" s="1"/>
      <c r="R96" s="1"/>
      <c r="S96" s="1"/>
      <c r="T96" s="79"/>
      <c r="U96" s="1"/>
      <c r="V96" s="1"/>
      <c r="W96" s="1"/>
      <c r="X96" s="1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7:44" ht="12.75">
      <c r="G97" s="1"/>
      <c r="H97" s="79"/>
      <c r="I97" s="128"/>
      <c r="J97" s="1"/>
      <c r="K97" s="1"/>
      <c r="L97" s="1"/>
      <c r="M97" s="1"/>
      <c r="N97" s="1"/>
      <c r="O97" s="1"/>
      <c r="P97" s="1"/>
      <c r="Q97" s="1"/>
      <c r="R97" s="1"/>
      <c r="S97" s="1"/>
      <c r="T97" s="79"/>
      <c r="U97" s="1"/>
      <c r="V97" s="1"/>
      <c r="W97" s="1"/>
      <c r="X97" s="1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7:44" ht="12.75">
      <c r="G98" s="1"/>
      <c r="H98" s="79"/>
      <c r="I98" s="128"/>
      <c r="J98" s="1"/>
      <c r="K98" s="1"/>
      <c r="L98" s="1"/>
      <c r="M98" s="1"/>
      <c r="N98" s="1"/>
      <c r="O98" s="1"/>
      <c r="P98" s="1"/>
      <c r="Q98" s="1"/>
      <c r="R98" s="1"/>
      <c r="S98" s="1"/>
      <c r="T98" s="79"/>
      <c r="U98" s="1"/>
      <c r="V98" s="1"/>
      <c r="W98" s="1"/>
      <c r="X98" s="1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7:44" ht="12.75">
      <c r="G99" s="1"/>
      <c r="H99" s="79"/>
      <c r="I99" s="128"/>
      <c r="J99" s="1"/>
      <c r="K99" s="1"/>
      <c r="L99" s="1"/>
      <c r="M99" s="1"/>
      <c r="N99" s="1"/>
      <c r="O99" s="1"/>
      <c r="P99" s="1"/>
      <c r="Q99" s="1"/>
      <c r="R99" s="1"/>
      <c r="S99" s="1"/>
      <c r="T99" s="79"/>
      <c r="U99" s="1"/>
      <c r="V99" s="1"/>
      <c r="W99" s="1"/>
      <c r="X99" s="1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7:44" ht="12.75">
      <c r="G100" s="1"/>
      <c r="H100" s="79"/>
      <c r="I100" s="12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79"/>
      <c r="U100" s="1"/>
      <c r="V100" s="1"/>
      <c r="W100" s="1"/>
      <c r="X100" s="1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7:44" ht="12.75">
      <c r="G101" s="1"/>
      <c r="H101" s="79"/>
      <c r="I101" s="12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79"/>
      <c r="U101" s="1"/>
      <c r="V101" s="1"/>
      <c r="W101" s="1"/>
      <c r="X101" s="1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7:44" ht="12.75">
      <c r="G102" s="1"/>
      <c r="H102" s="79"/>
      <c r="I102" s="12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79"/>
      <c r="U102" s="1"/>
      <c r="V102" s="1"/>
      <c r="W102" s="1"/>
      <c r="X102" s="1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7:44" ht="12.75">
      <c r="G103" s="1"/>
      <c r="H103" s="79"/>
      <c r="I103" s="12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79"/>
      <c r="U103" s="1"/>
      <c r="V103" s="1"/>
      <c r="W103" s="1"/>
      <c r="X103" s="1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7:44" ht="12.75">
      <c r="G104" s="1"/>
      <c r="H104" s="79"/>
      <c r="I104" s="12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79"/>
      <c r="U104" s="1"/>
      <c r="V104" s="1"/>
      <c r="W104" s="1"/>
      <c r="X104" s="1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7:44" ht="12.75">
      <c r="G105" s="1"/>
      <c r="H105" s="79"/>
      <c r="I105" s="12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79"/>
      <c r="U105" s="1"/>
      <c r="V105" s="1"/>
      <c r="W105" s="1"/>
      <c r="X105" s="1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7:44" ht="12.75">
      <c r="G106" s="1"/>
      <c r="H106" s="79"/>
      <c r="I106" s="12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79"/>
      <c r="U106" s="1"/>
      <c r="V106" s="1"/>
      <c r="W106" s="1"/>
      <c r="X106" s="1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7:24" ht="12.75">
      <c r="G107" s="1"/>
      <c r="H107" s="79"/>
      <c r="I107" s="12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79"/>
      <c r="U107" s="1"/>
      <c r="V107" s="1"/>
      <c r="W107" s="1"/>
      <c r="X107" s="1"/>
    </row>
    <row r="108" spans="7:24" ht="12.75">
      <c r="G108" s="1"/>
      <c r="H108" s="79"/>
      <c r="I108" s="12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79"/>
      <c r="U108" s="1"/>
      <c r="V108" s="1"/>
      <c r="W108" s="1"/>
      <c r="X108" s="1"/>
    </row>
    <row r="109" spans="7:24" ht="12.75">
      <c r="G109" s="1"/>
      <c r="H109" s="79"/>
      <c r="I109" s="12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79"/>
      <c r="U109" s="1"/>
      <c r="V109" s="1"/>
      <c r="W109" s="1"/>
      <c r="X109" s="1"/>
    </row>
    <row r="110" spans="7:24" ht="12.75">
      <c r="G110" s="1"/>
      <c r="H110" s="79"/>
      <c r="I110" s="12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79"/>
      <c r="U110" s="1"/>
      <c r="V110" s="1"/>
      <c r="W110" s="1"/>
      <c r="X110" s="1"/>
    </row>
    <row r="111" spans="7:24" ht="12.75">
      <c r="G111" s="1"/>
      <c r="H111" s="79"/>
      <c r="I111" s="12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79"/>
      <c r="U111" s="1"/>
      <c r="V111" s="1"/>
      <c r="W111" s="1"/>
      <c r="X111" s="1"/>
    </row>
    <row r="112" spans="7:24" ht="12.75">
      <c r="G112" s="1"/>
      <c r="H112" s="79"/>
      <c r="I112" s="12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79"/>
      <c r="U112" s="1"/>
      <c r="V112" s="1"/>
      <c r="W112" s="1"/>
      <c r="X112" s="1"/>
    </row>
    <row r="113" spans="7:24" ht="12.75">
      <c r="G113" s="1"/>
      <c r="H113" s="79"/>
      <c r="I113" s="12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79"/>
      <c r="U113" s="1"/>
      <c r="V113" s="1"/>
      <c r="W113" s="1"/>
      <c r="X113" s="1"/>
    </row>
    <row r="114" spans="7:24" ht="12.75">
      <c r="G114" s="1"/>
      <c r="H114" s="79"/>
      <c r="I114" s="12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79"/>
      <c r="U114" s="1"/>
      <c r="V114" s="1"/>
      <c r="W114" s="1"/>
      <c r="X114" s="1"/>
    </row>
    <row r="115" spans="7:24" ht="12.75">
      <c r="G115" s="1"/>
      <c r="H115" s="79"/>
      <c r="I115" s="12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79"/>
      <c r="U115" s="1"/>
      <c r="V115" s="1"/>
      <c r="W115" s="1"/>
      <c r="X115" s="1"/>
    </row>
    <row r="116" spans="7:24" ht="12.75">
      <c r="G116" s="1"/>
      <c r="H116" s="79"/>
      <c r="I116" s="12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79"/>
      <c r="U116" s="1"/>
      <c r="V116" s="1"/>
      <c r="W116" s="1"/>
      <c r="X116" s="1"/>
    </row>
  </sheetData>
  <sheetProtection/>
  <mergeCells count="6">
    <mergeCell ref="A39:X39"/>
    <mergeCell ref="A1:X1"/>
    <mergeCell ref="A2:X2"/>
    <mergeCell ref="A3:X3"/>
    <mergeCell ref="A38:X38"/>
    <mergeCell ref="A37:X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0" t="s">
        <v>126</v>
      </c>
      <c r="H2" s="50" t="s">
        <v>127</v>
      </c>
    </row>
    <row r="3" spans="1:12" ht="12.75">
      <c r="A3" t="s">
        <v>98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99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100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101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102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103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104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105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106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0" t="s">
        <v>107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0" t="s">
        <v>108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0" t="s">
        <v>109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0" t="s">
        <v>110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0" t="s">
        <v>115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0" t="s">
        <v>111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0" t="s">
        <v>112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0" t="s">
        <v>113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0" t="s">
        <v>114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0" t="s">
        <v>116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0" t="s">
        <v>117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0" t="s">
        <v>118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0" t="s">
        <v>119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0" t="s">
        <v>120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0" t="s">
        <v>121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0" t="s">
        <v>122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0" t="s">
        <v>123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0" t="s">
        <v>124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0" t="s">
        <v>125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0"/>
  <sheetViews>
    <sheetView tabSelected="1" zoomScaleSheetLayoutView="100" zoomScalePageLayoutView="0" workbookViewId="0" topLeftCell="B1">
      <selection activeCell="H25" sqref="H25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23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6" width="17.8515625" style="0" customWidth="1"/>
    <col min="27" max="27" width="16.140625" style="0" customWidth="1"/>
    <col min="28" max="28" width="16.28125" style="0" hidden="1" customWidth="1"/>
    <col min="29" max="29" width="16.7109375" style="0" customWidth="1"/>
  </cols>
  <sheetData>
    <row r="1" spans="1:29" ht="12.75">
      <c r="A1" s="105"/>
      <c r="B1" s="106"/>
      <c r="C1" s="107" t="s">
        <v>1</v>
      </c>
      <c r="D1" s="108" t="s">
        <v>1</v>
      </c>
      <c r="E1" s="149" t="s"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1"/>
      <c r="AC1" s="109"/>
    </row>
    <row r="2" spans="1:29" ht="12.75">
      <c r="A2" s="110"/>
      <c r="B2" s="2"/>
      <c r="C2" s="44" t="s">
        <v>1</v>
      </c>
      <c r="D2" s="45" t="s">
        <v>1</v>
      </c>
      <c r="E2" s="152" t="s">
        <v>164</v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11"/>
    </row>
    <row r="3" spans="1:29" ht="12.75">
      <c r="A3" s="110"/>
      <c r="B3" s="2"/>
      <c r="C3" s="2"/>
      <c r="D3" s="2"/>
      <c r="E3" s="45"/>
      <c r="F3" s="45"/>
      <c r="G3" s="45" t="s">
        <v>1</v>
      </c>
      <c r="H3" s="4" t="s">
        <v>1</v>
      </c>
      <c r="I3" s="46" t="s">
        <v>1</v>
      </c>
      <c r="J3" s="12"/>
      <c r="K3" s="12"/>
      <c r="L3" s="12"/>
      <c r="M3" s="12"/>
      <c r="N3" s="12"/>
      <c r="O3" s="46"/>
      <c r="P3" s="46"/>
      <c r="Q3" s="46"/>
      <c r="R3" s="46"/>
      <c r="S3" s="46"/>
      <c r="T3" s="46"/>
      <c r="U3" s="13" t="s">
        <v>1</v>
      </c>
      <c r="V3" s="15"/>
      <c r="W3" s="15"/>
      <c r="X3" s="2"/>
      <c r="Y3" s="2"/>
      <c r="Z3" s="2"/>
      <c r="AA3" s="2"/>
      <c r="AB3" s="2"/>
      <c r="AC3" s="111"/>
    </row>
    <row r="4" spans="1:29" ht="12.75">
      <c r="A4" s="110"/>
      <c r="B4" s="2"/>
      <c r="C4" s="2"/>
      <c r="D4" s="2"/>
      <c r="E4" s="45"/>
      <c r="F4" s="2"/>
      <c r="G4" s="8" t="s">
        <v>1</v>
      </c>
      <c r="H4" s="4" t="s">
        <v>1</v>
      </c>
      <c r="I4" s="47" t="s">
        <v>1</v>
      </c>
      <c r="J4" s="12"/>
      <c r="K4" s="12"/>
      <c r="L4" s="12"/>
      <c r="M4" s="12"/>
      <c r="N4" s="12"/>
      <c r="O4" s="48"/>
      <c r="P4" s="48"/>
      <c r="Q4" s="48"/>
      <c r="R4" s="48"/>
      <c r="S4" s="48"/>
      <c r="T4" s="48"/>
      <c r="U4" s="11" t="s">
        <v>1</v>
      </c>
      <c r="V4" s="15"/>
      <c r="W4" s="15"/>
      <c r="X4" s="2"/>
      <c r="Y4" s="2"/>
      <c r="Z4" s="2"/>
      <c r="AA4" s="4" t="s">
        <v>1</v>
      </c>
      <c r="AB4" s="2"/>
      <c r="AC4" s="111"/>
    </row>
    <row r="5" spans="1:29" ht="38.25" customHeight="1">
      <c r="A5" s="112"/>
      <c r="B5" s="34"/>
      <c r="C5" s="35"/>
      <c r="D5" s="35"/>
      <c r="E5" s="36" t="s">
        <v>25</v>
      </c>
      <c r="F5" s="37" t="s">
        <v>70</v>
      </c>
      <c r="G5" s="38" t="s">
        <v>2</v>
      </c>
      <c r="H5" s="147" t="s">
        <v>71</v>
      </c>
      <c r="I5" s="39"/>
      <c r="J5" s="21"/>
      <c r="K5" s="39"/>
      <c r="L5" s="39"/>
      <c r="M5" s="39"/>
      <c r="N5" s="39" t="s">
        <v>1</v>
      </c>
      <c r="O5" s="39"/>
      <c r="P5" s="40"/>
      <c r="Q5" s="39"/>
      <c r="R5" s="39"/>
      <c r="S5" s="39"/>
      <c r="T5" s="39"/>
      <c r="U5" s="39" t="s">
        <v>1</v>
      </c>
      <c r="V5" s="39"/>
      <c r="W5" s="41"/>
      <c r="X5" s="42" t="s">
        <v>72</v>
      </c>
      <c r="Y5" s="42" t="s">
        <v>75</v>
      </c>
      <c r="Z5" s="43" t="s">
        <v>35</v>
      </c>
      <c r="AA5" s="43" t="s">
        <v>161</v>
      </c>
      <c r="AB5" s="43" t="s">
        <v>73</v>
      </c>
      <c r="AC5" s="113" t="s">
        <v>47</v>
      </c>
    </row>
    <row r="6" spans="1:29" ht="15.75" customHeight="1">
      <c r="A6" s="112"/>
      <c r="B6" s="34"/>
      <c r="C6" s="35"/>
      <c r="D6" s="35"/>
      <c r="E6" s="97"/>
      <c r="F6" s="37"/>
      <c r="G6" s="38"/>
      <c r="H6" s="147" t="s">
        <v>1</v>
      </c>
      <c r="I6" s="39"/>
      <c r="J6" s="21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41"/>
      <c r="X6" s="42"/>
      <c r="Y6" s="42"/>
      <c r="Z6" s="43"/>
      <c r="AA6" s="43"/>
      <c r="AB6" s="43"/>
      <c r="AC6" s="113"/>
    </row>
    <row r="7" spans="1:29" ht="15.75" customHeight="1">
      <c r="A7" s="112"/>
      <c r="B7" s="34"/>
      <c r="C7" s="35"/>
      <c r="D7" s="35"/>
      <c r="E7" s="97" t="s">
        <v>165</v>
      </c>
      <c r="F7" s="37"/>
      <c r="G7" s="38"/>
      <c r="H7" s="147"/>
      <c r="I7" s="39"/>
      <c r="J7" s="21"/>
      <c r="K7" s="39"/>
      <c r="L7" s="39"/>
      <c r="M7" s="39"/>
      <c r="N7" s="39"/>
      <c r="O7" s="39"/>
      <c r="P7" s="40"/>
      <c r="Q7" s="39"/>
      <c r="R7" s="39"/>
      <c r="S7" s="39"/>
      <c r="T7" s="39"/>
      <c r="U7" s="39"/>
      <c r="V7" s="39"/>
      <c r="W7" s="41"/>
      <c r="X7" s="42"/>
      <c r="Y7" s="42"/>
      <c r="Z7" s="43"/>
      <c r="AA7" s="43"/>
      <c r="AB7" s="43"/>
      <c r="AC7" s="113"/>
    </row>
    <row r="8" spans="1:29" ht="15.75" customHeight="1">
      <c r="A8" s="112"/>
      <c r="B8" s="34"/>
      <c r="C8" s="35"/>
      <c r="D8" s="35"/>
      <c r="E8" s="97"/>
      <c r="F8" s="37"/>
      <c r="G8" s="38"/>
      <c r="H8" s="147"/>
      <c r="I8" s="39"/>
      <c r="J8" s="21"/>
      <c r="K8" s="39"/>
      <c r="L8" s="39"/>
      <c r="M8" s="39"/>
      <c r="N8" s="39"/>
      <c r="O8" s="39"/>
      <c r="P8" s="40"/>
      <c r="Q8" s="39"/>
      <c r="R8" s="39"/>
      <c r="S8" s="39"/>
      <c r="T8" s="39"/>
      <c r="U8" s="39"/>
      <c r="V8" s="39"/>
      <c r="W8" s="41"/>
      <c r="X8" s="42"/>
      <c r="Y8" s="42"/>
      <c r="Z8" s="43"/>
      <c r="AA8" s="43"/>
      <c r="AB8" s="43"/>
      <c r="AC8" s="113"/>
    </row>
    <row r="9" spans="1:29" ht="22.5" customHeight="1">
      <c r="A9" s="55" t="s">
        <v>24</v>
      </c>
      <c r="B9" s="5"/>
      <c r="C9" s="17"/>
      <c r="D9" s="6"/>
      <c r="E9" s="90" t="s">
        <v>149</v>
      </c>
      <c r="F9" s="131">
        <v>2146024810</v>
      </c>
      <c r="G9" s="131">
        <f>766182935</f>
        <v>766182935</v>
      </c>
      <c r="H9" s="133">
        <f>+F9+G9</f>
        <v>2912207745</v>
      </c>
      <c r="I9" s="133"/>
      <c r="J9" s="134"/>
      <c r="K9" s="133"/>
      <c r="L9" s="133"/>
      <c r="M9" s="133"/>
      <c r="N9" s="133"/>
      <c r="O9" s="133"/>
      <c r="P9" s="135"/>
      <c r="Q9" s="133"/>
      <c r="R9" s="133"/>
      <c r="S9" s="133"/>
      <c r="T9" s="133"/>
      <c r="U9" s="135"/>
      <c r="V9" s="133"/>
      <c r="W9" s="132"/>
      <c r="X9" s="136"/>
      <c r="Y9" s="136">
        <v>3214239602</v>
      </c>
      <c r="Z9" s="98">
        <v>712515900</v>
      </c>
      <c r="AA9" s="133">
        <f aca="true" t="shared" si="0" ref="AA9:AA20">+H9-Z9</f>
        <v>2199691845</v>
      </c>
      <c r="AB9" s="132">
        <f aca="true" t="shared" si="1" ref="AB9:AB20">+X9/H9*100</f>
        <v>0</v>
      </c>
      <c r="AC9" s="137">
        <f>+Z9/H9*100</f>
        <v>24.466520330609175</v>
      </c>
    </row>
    <row r="10" spans="1:29" ht="22.5" customHeight="1">
      <c r="A10" s="55" t="s">
        <v>24</v>
      </c>
      <c r="B10" s="5"/>
      <c r="C10" s="17"/>
      <c r="D10" s="6"/>
      <c r="E10" s="90" t="s">
        <v>150</v>
      </c>
      <c r="F10" s="131">
        <v>7245045687</v>
      </c>
      <c r="G10" s="131">
        <f>436441137</f>
        <v>436441137</v>
      </c>
      <c r="H10" s="133">
        <f aca="true" t="shared" si="2" ref="H10:H19">+F10+G10</f>
        <v>7681486824</v>
      </c>
      <c r="I10" s="133"/>
      <c r="J10" s="134"/>
      <c r="K10" s="133"/>
      <c r="L10" s="133"/>
      <c r="M10" s="133"/>
      <c r="N10" s="133"/>
      <c r="O10" s="133"/>
      <c r="P10" s="135"/>
      <c r="Q10" s="133"/>
      <c r="R10" s="133"/>
      <c r="S10" s="133"/>
      <c r="T10" s="133"/>
      <c r="U10" s="135"/>
      <c r="V10" s="133"/>
      <c r="W10" s="132"/>
      <c r="X10" s="136"/>
      <c r="Y10" s="136">
        <v>4419101489</v>
      </c>
      <c r="Z10" s="98">
        <v>171872721</v>
      </c>
      <c r="AA10" s="133">
        <f t="shared" si="0"/>
        <v>7509614103</v>
      </c>
      <c r="AB10" s="132">
        <f t="shared" si="1"/>
        <v>0</v>
      </c>
      <c r="AC10" s="137">
        <f>+Z10/H10*100</f>
        <v>2.2374928830575054</v>
      </c>
    </row>
    <row r="11" spans="1:29" ht="22.5" customHeight="1">
      <c r="A11" s="55" t="s">
        <v>24</v>
      </c>
      <c r="B11" s="5"/>
      <c r="C11" s="17"/>
      <c r="D11" s="6"/>
      <c r="E11" s="90" t="s">
        <v>151</v>
      </c>
      <c r="F11" s="131">
        <v>2106102193</v>
      </c>
      <c r="G11" s="131">
        <f>2313301956</f>
        <v>2313301956</v>
      </c>
      <c r="H11" s="133">
        <f t="shared" si="2"/>
        <v>4419404149</v>
      </c>
      <c r="I11" s="133"/>
      <c r="J11" s="134"/>
      <c r="K11" s="133"/>
      <c r="L11" s="133"/>
      <c r="M11" s="133"/>
      <c r="N11" s="133"/>
      <c r="O11" s="133"/>
      <c r="P11" s="135"/>
      <c r="Q11" s="133"/>
      <c r="R11" s="133"/>
      <c r="S11" s="133"/>
      <c r="T11" s="133"/>
      <c r="U11" s="135"/>
      <c r="V11" s="133"/>
      <c r="W11" s="132"/>
      <c r="X11" s="136"/>
      <c r="Y11" s="136">
        <v>1177233207</v>
      </c>
      <c r="Z11" s="145">
        <v>0</v>
      </c>
      <c r="AA11" s="133">
        <f t="shared" si="0"/>
        <v>4419404149</v>
      </c>
      <c r="AB11" s="132">
        <f t="shared" si="1"/>
        <v>0</v>
      </c>
      <c r="AC11" s="137">
        <f>+Z11/H11*100</f>
        <v>0</v>
      </c>
    </row>
    <row r="12" spans="1:29" ht="22.5" customHeight="1">
      <c r="A12" s="55" t="s">
        <v>24</v>
      </c>
      <c r="B12" s="5"/>
      <c r="C12" s="17"/>
      <c r="D12" s="6"/>
      <c r="E12" s="90" t="s">
        <v>152</v>
      </c>
      <c r="F12" s="131">
        <v>1884389000</v>
      </c>
      <c r="G12" s="131">
        <f>9716640</f>
        <v>9716640</v>
      </c>
      <c r="H12" s="133">
        <f t="shared" si="2"/>
        <v>1894105640</v>
      </c>
      <c r="I12" s="133"/>
      <c r="J12" s="134"/>
      <c r="K12" s="133"/>
      <c r="L12" s="133"/>
      <c r="M12" s="133"/>
      <c r="N12" s="133"/>
      <c r="O12" s="133"/>
      <c r="P12" s="135"/>
      <c r="Q12" s="133"/>
      <c r="R12" s="133"/>
      <c r="S12" s="133"/>
      <c r="T12" s="133"/>
      <c r="U12" s="135"/>
      <c r="V12" s="133"/>
      <c r="W12" s="132"/>
      <c r="X12" s="136"/>
      <c r="Y12" s="136">
        <v>105456683</v>
      </c>
      <c r="Z12" s="98">
        <v>0</v>
      </c>
      <c r="AA12" s="133">
        <f t="shared" si="0"/>
        <v>1894105640</v>
      </c>
      <c r="AB12" s="132">
        <f t="shared" si="1"/>
        <v>0</v>
      </c>
      <c r="AC12" s="137">
        <f>+Z12/H12*100</f>
        <v>0</v>
      </c>
    </row>
    <row r="13" spans="1:29" ht="22.5" customHeight="1">
      <c r="A13" s="55" t="s">
        <v>24</v>
      </c>
      <c r="B13" s="5"/>
      <c r="C13" s="17"/>
      <c r="D13" s="6"/>
      <c r="E13" s="90" t="s">
        <v>153</v>
      </c>
      <c r="F13" s="131">
        <v>3184389000</v>
      </c>
      <c r="G13" s="131">
        <f>10526361</f>
        <v>10526361</v>
      </c>
      <c r="H13" s="133">
        <f t="shared" si="2"/>
        <v>3194915361</v>
      </c>
      <c r="I13" s="133"/>
      <c r="J13" s="134"/>
      <c r="K13" s="133"/>
      <c r="L13" s="133"/>
      <c r="M13" s="133"/>
      <c r="N13" s="133"/>
      <c r="O13" s="133"/>
      <c r="P13" s="135"/>
      <c r="Q13" s="133"/>
      <c r="R13" s="133"/>
      <c r="S13" s="133"/>
      <c r="T13" s="133"/>
      <c r="U13" s="135"/>
      <c r="V13" s="133"/>
      <c r="W13" s="132"/>
      <c r="X13" s="136"/>
      <c r="Y13" s="136">
        <v>589361612</v>
      </c>
      <c r="Z13" s="98">
        <v>73998206</v>
      </c>
      <c r="AA13" s="133">
        <f t="shared" si="0"/>
        <v>3120917155</v>
      </c>
      <c r="AB13" s="132">
        <f t="shared" si="1"/>
        <v>0</v>
      </c>
      <c r="AC13" s="137">
        <f>+Z13/H13*100</f>
        <v>2.316124142232011</v>
      </c>
    </row>
    <row r="14" spans="1:29" ht="22.5" customHeight="1">
      <c r="A14" s="55" t="s">
        <v>24</v>
      </c>
      <c r="B14" s="5"/>
      <c r="C14" s="17"/>
      <c r="D14" s="6"/>
      <c r="E14" s="90" t="s">
        <v>154</v>
      </c>
      <c r="F14" s="131">
        <v>900000000</v>
      </c>
      <c r="G14" s="131">
        <f>802407</f>
        <v>802407</v>
      </c>
      <c r="H14" s="133">
        <f t="shared" si="2"/>
        <v>900802407</v>
      </c>
      <c r="I14" s="133"/>
      <c r="J14" s="134"/>
      <c r="K14" s="133"/>
      <c r="L14" s="133"/>
      <c r="M14" s="133"/>
      <c r="N14" s="133"/>
      <c r="O14" s="133"/>
      <c r="P14" s="135"/>
      <c r="Q14" s="133"/>
      <c r="R14" s="133"/>
      <c r="S14" s="133"/>
      <c r="T14" s="133"/>
      <c r="U14" s="135"/>
      <c r="V14" s="133"/>
      <c r="W14" s="132"/>
      <c r="X14" s="136"/>
      <c r="Y14" s="136">
        <v>4620016737</v>
      </c>
      <c r="Z14" s="141">
        <v>173398602</v>
      </c>
      <c r="AA14" s="133">
        <f t="shared" si="0"/>
        <v>727403805</v>
      </c>
      <c r="AB14" s="132">
        <f t="shared" si="1"/>
        <v>0</v>
      </c>
      <c r="AC14" s="137">
        <f aca="true" t="shared" si="3" ref="AC14:AC20">+Z14/H14*100</f>
        <v>19.24934931928973</v>
      </c>
    </row>
    <row r="15" spans="1:29" ht="22.5" customHeight="1">
      <c r="A15" s="55" t="s">
        <v>24</v>
      </c>
      <c r="B15" s="5"/>
      <c r="C15" s="17"/>
      <c r="D15" s="6"/>
      <c r="E15" s="90" t="s">
        <v>155</v>
      </c>
      <c r="F15" s="131">
        <v>650000000</v>
      </c>
      <c r="G15" s="131">
        <f>100000000</f>
        <v>100000000</v>
      </c>
      <c r="H15" s="133">
        <f t="shared" si="2"/>
        <v>750000000</v>
      </c>
      <c r="I15" s="133"/>
      <c r="J15" s="134"/>
      <c r="K15" s="133"/>
      <c r="L15" s="133"/>
      <c r="M15" s="133"/>
      <c r="N15" s="133"/>
      <c r="O15" s="133"/>
      <c r="P15" s="135"/>
      <c r="Q15" s="133"/>
      <c r="R15" s="133"/>
      <c r="S15" s="133"/>
      <c r="T15" s="133"/>
      <c r="U15" s="135"/>
      <c r="V15" s="133"/>
      <c r="W15" s="132"/>
      <c r="X15" s="136"/>
      <c r="Y15" s="136">
        <v>850659482</v>
      </c>
      <c r="Z15" s="141">
        <v>149997600</v>
      </c>
      <c r="AA15" s="133">
        <f t="shared" si="0"/>
        <v>600002400</v>
      </c>
      <c r="AB15" s="132">
        <f t="shared" si="1"/>
        <v>0</v>
      </c>
      <c r="AC15" s="137">
        <f t="shared" si="3"/>
        <v>19.99968</v>
      </c>
    </row>
    <row r="16" spans="1:29" ht="22.5" customHeight="1">
      <c r="A16" s="55" t="s">
        <v>24</v>
      </c>
      <c r="B16" s="5"/>
      <c r="C16" s="17"/>
      <c r="D16" s="6"/>
      <c r="E16" s="90" t="s">
        <v>156</v>
      </c>
      <c r="F16" s="131">
        <v>1700000000</v>
      </c>
      <c r="G16" s="131">
        <f>971422141</f>
        <v>971422141</v>
      </c>
      <c r="H16" s="133">
        <f t="shared" si="2"/>
        <v>2671422141</v>
      </c>
      <c r="I16" s="133"/>
      <c r="J16" s="134"/>
      <c r="K16" s="133"/>
      <c r="L16" s="133"/>
      <c r="M16" s="133"/>
      <c r="N16" s="133"/>
      <c r="O16" s="133"/>
      <c r="P16" s="135"/>
      <c r="Q16" s="133"/>
      <c r="R16" s="133"/>
      <c r="S16" s="133"/>
      <c r="T16" s="133"/>
      <c r="U16" s="135"/>
      <c r="V16" s="133"/>
      <c r="W16" s="132"/>
      <c r="X16" s="136"/>
      <c r="Y16" s="136">
        <v>169389594</v>
      </c>
      <c r="Z16" s="141">
        <v>1378366234</v>
      </c>
      <c r="AA16" s="133">
        <f t="shared" si="0"/>
        <v>1293055907</v>
      </c>
      <c r="AB16" s="132">
        <f t="shared" si="1"/>
        <v>0</v>
      </c>
      <c r="AC16" s="137">
        <f t="shared" si="3"/>
        <v>51.596721193754604</v>
      </c>
    </row>
    <row r="17" spans="1:29" ht="22.5" customHeight="1">
      <c r="A17" s="55" t="s">
        <v>24</v>
      </c>
      <c r="B17" s="5"/>
      <c r="C17" s="17"/>
      <c r="D17" s="6"/>
      <c r="E17" s="90" t="s">
        <v>157</v>
      </c>
      <c r="F17" s="131">
        <v>600000000</v>
      </c>
      <c r="G17" s="131">
        <v>0</v>
      </c>
      <c r="H17" s="133">
        <f t="shared" si="2"/>
        <v>600000000</v>
      </c>
      <c r="I17" s="133"/>
      <c r="J17" s="134"/>
      <c r="K17" s="133"/>
      <c r="L17" s="133"/>
      <c r="M17" s="133"/>
      <c r="N17" s="133"/>
      <c r="O17" s="133"/>
      <c r="P17" s="135"/>
      <c r="Q17" s="133"/>
      <c r="R17" s="133"/>
      <c r="S17" s="133"/>
      <c r="T17" s="133"/>
      <c r="U17" s="135"/>
      <c r="V17" s="133"/>
      <c r="W17" s="132"/>
      <c r="X17" s="136"/>
      <c r="Y17" s="136">
        <v>218654899</v>
      </c>
      <c r="Z17" s="98">
        <v>188673004</v>
      </c>
      <c r="AA17" s="133">
        <f t="shared" si="0"/>
        <v>411326996</v>
      </c>
      <c r="AB17" s="132">
        <f t="shared" si="1"/>
        <v>0</v>
      </c>
      <c r="AC17" s="137">
        <f t="shared" si="3"/>
        <v>31.445500666666664</v>
      </c>
    </row>
    <row r="18" spans="1:29" ht="22.5" customHeight="1">
      <c r="A18" s="55" t="s">
        <v>24</v>
      </c>
      <c r="B18" s="5"/>
      <c r="C18" s="17"/>
      <c r="D18" s="6"/>
      <c r="E18" s="90" t="s">
        <v>158</v>
      </c>
      <c r="F18" s="131">
        <v>1516117607</v>
      </c>
      <c r="G18" s="131">
        <f>108090801</f>
        <v>108090801</v>
      </c>
      <c r="H18" s="133">
        <f t="shared" si="2"/>
        <v>1624208408</v>
      </c>
      <c r="I18" s="133"/>
      <c r="J18" s="134"/>
      <c r="K18" s="133"/>
      <c r="L18" s="133"/>
      <c r="M18" s="133"/>
      <c r="N18" s="133"/>
      <c r="O18" s="133"/>
      <c r="P18" s="135"/>
      <c r="Q18" s="133"/>
      <c r="R18" s="133"/>
      <c r="S18" s="133"/>
      <c r="T18" s="133"/>
      <c r="U18" s="135"/>
      <c r="V18" s="133"/>
      <c r="W18" s="132"/>
      <c r="X18" s="136"/>
      <c r="Y18" s="136">
        <v>1180795963</v>
      </c>
      <c r="Z18" s="98">
        <v>234245186</v>
      </c>
      <c r="AA18" s="133">
        <f t="shared" si="0"/>
        <v>1389963222</v>
      </c>
      <c r="AB18" s="132">
        <f t="shared" si="1"/>
        <v>0</v>
      </c>
      <c r="AC18" s="137">
        <f t="shared" si="3"/>
        <v>14.422113864589722</v>
      </c>
    </row>
    <row r="19" spans="1:29" ht="22.5" customHeight="1">
      <c r="A19" s="55" t="s">
        <v>24</v>
      </c>
      <c r="B19" s="5"/>
      <c r="C19" s="17"/>
      <c r="D19" s="6"/>
      <c r="E19" s="90" t="s">
        <v>159</v>
      </c>
      <c r="F19" s="131">
        <v>700000000</v>
      </c>
      <c r="G19" s="131">
        <f>575415715</f>
        <v>575415715</v>
      </c>
      <c r="H19" s="133">
        <f t="shared" si="2"/>
        <v>1275415715</v>
      </c>
      <c r="I19" s="133"/>
      <c r="J19" s="134"/>
      <c r="K19" s="133"/>
      <c r="L19" s="133"/>
      <c r="M19" s="133"/>
      <c r="N19" s="133"/>
      <c r="O19" s="133"/>
      <c r="P19" s="135"/>
      <c r="Q19" s="133"/>
      <c r="R19" s="133"/>
      <c r="S19" s="133"/>
      <c r="T19" s="133"/>
      <c r="U19" s="135"/>
      <c r="V19" s="133"/>
      <c r="W19" s="132"/>
      <c r="X19" s="136"/>
      <c r="Y19" s="136"/>
      <c r="Z19" s="98">
        <v>323891014</v>
      </c>
      <c r="AA19" s="133">
        <f t="shared" si="0"/>
        <v>951524701</v>
      </c>
      <c r="AB19" s="132">
        <f t="shared" si="1"/>
        <v>0</v>
      </c>
      <c r="AC19" s="137">
        <f t="shared" si="3"/>
        <v>25.394936740292557</v>
      </c>
    </row>
    <row r="20" spans="1:29" ht="22.5" customHeight="1">
      <c r="A20" s="55" t="s">
        <v>24</v>
      </c>
      <c r="B20" s="5"/>
      <c r="C20" s="17"/>
      <c r="D20" s="6"/>
      <c r="E20" s="90" t="s">
        <v>160</v>
      </c>
      <c r="F20" s="131">
        <v>1123516834</v>
      </c>
      <c r="G20" s="131">
        <v>0</v>
      </c>
      <c r="H20" s="133">
        <f>+F20+G20</f>
        <v>1123516834</v>
      </c>
      <c r="I20" s="138">
        <f aca="true" t="shared" si="4" ref="I20:Y20">SUM(I9:I19)</f>
        <v>0</v>
      </c>
      <c r="J20" s="138">
        <f t="shared" si="4"/>
        <v>0</v>
      </c>
      <c r="K20" s="138">
        <f t="shared" si="4"/>
        <v>0</v>
      </c>
      <c r="L20" s="138">
        <f t="shared" si="4"/>
        <v>0</v>
      </c>
      <c r="M20" s="138">
        <f t="shared" si="4"/>
        <v>0</v>
      </c>
      <c r="N20" s="138">
        <f t="shared" si="4"/>
        <v>0</v>
      </c>
      <c r="O20" s="138">
        <f t="shared" si="4"/>
        <v>0</v>
      </c>
      <c r="P20" s="138">
        <f t="shared" si="4"/>
        <v>0</v>
      </c>
      <c r="Q20" s="138">
        <f t="shared" si="4"/>
        <v>0</v>
      </c>
      <c r="R20" s="138">
        <f t="shared" si="4"/>
        <v>0</v>
      </c>
      <c r="S20" s="138">
        <f t="shared" si="4"/>
        <v>0</v>
      </c>
      <c r="T20" s="138">
        <f t="shared" si="4"/>
        <v>0</v>
      </c>
      <c r="U20" s="138">
        <f t="shared" si="4"/>
        <v>0</v>
      </c>
      <c r="V20" s="138">
        <f t="shared" si="4"/>
        <v>0</v>
      </c>
      <c r="W20" s="138">
        <f t="shared" si="4"/>
        <v>0</v>
      </c>
      <c r="X20" s="138">
        <f t="shared" si="4"/>
        <v>0</v>
      </c>
      <c r="Y20" s="138">
        <f t="shared" si="4"/>
        <v>16544909268</v>
      </c>
      <c r="Z20" s="98">
        <v>485388600</v>
      </c>
      <c r="AA20" s="133">
        <f t="shared" si="0"/>
        <v>638128234</v>
      </c>
      <c r="AB20" s="132">
        <f t="shared" si="1"/>
        <v>0</v>
      </c>
      <c r="AC20" s="137">
        <f t="shared" si="3"/>
        <v>43.20261034913875</v>
      </c>
    </row>
    <row r="21" spans="1:29" ht="22.5" customHeight="1">
      <c r="A21" s="55"/>
      <c r="B21" s="5"/>
      <c r="C21" s="17"/>
      <c r="D21" s="6"/>
      <c r="E21" s="90"/>
      <c r="F21" s="131"/>
      <c r="G21" s="131"/>
      <c r="H21" s="133"/>
      <c r="I21" s="138"/>
      <c r="J21" s="146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98"/>
      <c r="AA21" s="133"/>
      <c r="AB21" s="132"/>
      <c r="AC21" s="137"/>
    </row>
    <row r="22" spans="1:29" ht="22.5" customHeight="1" thickBot="1">
      <c r="A22" s="57"/>
      <c r="B22" s="58"/>
      <c r="C22" s="59"/>
      <c r="D22" s="60"/>
      <c r="E22" s="61" t="s">
        <v>69</v>
      </c>
      <c r="F22" s="139">
        <f>SUM(F9:F21)</f>
        <v>23755585131</v>
      </c>
      <c r="G22" s="139">
        <f>SUM(G9:G21)</f>
        <v>5291900093</v>
      </c>
      <c r="H22" s="139">
        <f>SUM(H9:H21)</f>
        <v>29047485224</v>
      </c>
      <c r="I22" s="139" t="e">
        <f>+I20+#REF!</f>
        <v>#REF!</v>
      </c>
      <c r="J22" s="139" t="e">
        <f>+J20+#REF!</f>
        <v>#REF!</v>
      </c>
      <c r="K22" s="139" t="e">
        <f>+K20+#REF!</f>
        <v>#REF!</v>
      </c>
      <c r="L22" s="139" t="e">
        <f>+L20+#REF!</f>
        <v>#REF!</v>
      </c>
      <c r="M22" s="139" t="e">
        <f>+M20+#REF!</f>
        <v>#REF!</v>
      </c>
      <c r="N22" s="139" t="e">
        <f>+N20+#REF!</f>
        <v>#REF!</v>
      </c>
      <c r="O22" s="139" t="e">
        <f>+O20+#REF!</f>
        <v>#REF!</v>
      </c>
      <c r="P22" s="139" t="e">
        <f>+P20+#REF!</f>
        <v>#REF!</v>
      </c>
      <c r="Q22" s="139" t="e">
        <f>+Q20+#REF!</f>
        <v>#REF!</v>
      </c>
      <c r="R22" s="139" t="e">
        <f>+R20+#REF!</f>
        <v>#REF!</v>
      </c>
      <c r="S22" s="139" t="e">
        <f>+S20+#REF!</f>
        <v>#REF!</v>
      </c>
      <c r="T22" s="139" t="e">
        <f>+T20+#REF!</f>
        <v>#REF!</v>
      </c>
      <c r="U22" s="139" t="e">
        <f>+U20+#REF!</f>
        <v>#REF!</v>
      </c>
      <c r="V22" s="139" t="e">
        <f>+V20+#REF!</f>
        <v>#REF!</v>
      </c>
      <c r="W22" s="139" t="e">
        <f>+W20+#REF!</f>
        <v>#REF!</v>
      </c>
      <c r="X22" s="139" t="e">
        <f>+X20+#REF!</f>
        <v>#REF!</v>
      </c>
      <c r="Y22" s="139" t="e">
        <f>+Y20+#REF!</f>
        <v>#REF!</v>
      </c>
      <c r="Z22" s="139">
        <f>SUM(Z9:Z21)</f>
        <v>3892347067</v>
      </c>
      <c r="AA22" s="139">
        <f>SUM(AA9:AA21)</f>
        <v>25155138157</v>
      </c>
      <c r="AB22" s="140" t="e">
        <f>+X22/H22*100</f>
        <v>#REF!</v>
      </c>
      <c r="AC22" s="137">
        <f>+Z22/H22*100</f>
        <v>13.399945079527964</v>
      </c>
    </row>
    <row r="23" spans="6:29" ht="12.75">
      <c r="F23" s="32" t="s">
        <v>1</v>
      </c>
      <c r="G23" s="32"/>
      <c r="H23" s="32" t="s">
        <v>1</v>
      </c>
      <c r="Z23" s="32" t="s">
        <v>1</v>
      </c>
      <c r="AA23" s="32" t="s">
        <v>1</v>
      </c>
      <c r="AB23" s="49"/>
      <c r="AC23" s="49" t="s">
        <v>1</v>
      </c>
    </row>
    <row r="24" spans="6:29" ht="12.75">
      <c r="F24" s="23"/>
      <c r="Z24" s="23"/>
      <c r="AA24" s="23"/>
      <c r="AB24" s="23"/>
      <c r="AC24" s="23"/>
    </row>
    <row r="25" spans="8:29" ht="12.75">
      <c r="H25" s="32" t="s">
        <v>1</v>
      </c>
      <c r="Z25" s="32" t="s">
        <v>1</v>
      </c>
      <c r="AA25" s="23"/>
      <c r="AB25" s="23"/>
      <c r="AC25" s="23"/>
    </row>
    <row r="26" spans="26:29" ht="12.75">
      <c r="Z26" s="23"/>
      <c r="AA26" s="23"/>
      <c r="AB26" s="23"/>
      <c r="AC26" s="23"/>
    </row>
    <row r="27" spans="26:29" ht="12.75">
      <c r="Z27" s="23"/>
      <c r="AA27" s="23"/>
      <c r="AB27" s="23"/>
      <c r="AC27" s="23"/>
    </row>
    <row r="28" spans="26:29" ht="12.75">
      <c r="Z28" s="23"/>
      <c r="AA28" s="23"/>
      <c r="AB28" s="23"/>
      <c r="AC28" s="23"/>
    </row>
    <row r="29" spans="26:29" ht="12.75">
      <c r="Z29" s="23"/>
      <c r="AA29" s="23"/>
      <c r="AB29" s="23"/>
      <c r="AC29" s="23"/>
    </row>
    <row r="30" spans="26:29" ht="12.75">
      <c r="Z30" s="23"/>
      <c r="AA30" s="23"/>
      <c r="AB30" s="23"/>
      <c r="AC30" s="23"/>
    </row>
    <row r="31" spans="26:29" ht="12.75">
      <c r="Z31" s="23"/>
      <c r="AA31" s="23"/>
      <c r="AB31" s="23"/>
      <c r="AC31" s="23"/>
    </row>
    <row r="32" spans="26:29" ht="12.75">
      <c r="Z32" s="23"/>
      <c r="AA32" s="23"/>
      <c r="AB32" s="23"/>
      <c r="AC32" s="23"/>
    </row>
    <row r="33" spans="26:29" ht="12.75">
      <c r="Z33" s="23"/>
      <c r="AA33" s="23"/>
      <c r="AB33" s="23"/>
      <c r="AC33" s="23"/>
    </row>
    <row r="34" spans="26:29" ht="12.75">
      <c r="Z34" s="23"/>
      <c r="AA34" s="23"/>
      <c r="AB34" s="23"/>
      <c r="AC34" s="23"/>
    </row>
    <row r="35" spans="26:29" ht="12.75">
      <c r="Z35" s="23"/>
      <c r="AA35" s="23"/>
      <c r="AB35" s="23"/>
      <c r="AC35" s="23"/>
    </row>
    <row r="36" spans="26:29" ht="12.75">
      <c r="Z36" s="23"/>
      <c r="AA36" s="23"/>
      <c r="AB36" s="23"/>
      <c r="AC36" s="23"/>
    </row>
    <row r="37" spans="26:29" ht="12.75">
      <c r="Z37" s="23"/>
      <c r="AA37" s="23"/>
      <c r="AB37" s="23"/>
      <c r="AC37" s="23"/>
    </row>
    <row r="38" spans="26:29" ht="12.75">
      <c r="Z38" s="23"/>
      <c r="AA38" s="23"/>
      <c r="AB38" s="23"/>
      <c r="AC38" s="23"/>
    </row>
    <row r="39" spans="26:29" ht="12.75">
      <c r="Z39" s="23"/>
      <c r="AA39" s="23"/>
      <c r="AB39" s="23"/>
      <c r="AC39" s="23"/>
    </row>
    <row r="40" spans="26:29" ht="12.75">
      <c r="Z40" s="23"/>
      <c r="AA40" s="23"/>
      <c r="AB40" s="23"/>
      <c r="AC40" s="23"/>
    </row>
    <row r="41" spans="26:29" ht="12.75">
      <c r="Z41" s="23"/>
      <c r="AA41" s="23"/>
      <c r="AB41" s="23"/>
      <c r="AC41" s="23"/>
    </row>
    <row r="42" spans="26:29" ht="12.75">
      <c r="Z42" s="23"/>
      <c r="AA42" s="23"/>
      <c r="AB42" s="23"/>
      <c r="AC42" s="23"/>
    </row>
    <row r="43" spans="26:29" ht="12.75">
      <c r="Z43" s="23"/>
      <c r="AA43" s="23"/>
      <c r="AB43" s="23"/>
      <c r="AC43" s="23"/>
    </row>
    <row r="44" spans="26:29" ht="12.75">
      <c r="Z44" s="23"/>
      <c r="AA44" s="23"/>
      <c r="AB44" s="23"/>
      <c r="AC44" s="23"/>
    </row>
    <row r="45" spans="26:29" ht="12.75">
      <c r="Z45" s="23"/>
      <c r="AA45" s="23"/>
      <c r="AB45" s="23"/>
      <c r="AC45" s="23"/>
    </row>
    <row r="46" spans="26:29" ht="12.75">
      <c r="Z46" s="23"/>
      <c r="AA46" s="23"/>
      <c r="AB46" s="23"/>
      <c r="AC46" s="23"/>
    </row>
    <row r="47" spans="26:29" ht="12.75">
      <c r="Z47" s="23"/>
      <c r="AA47" s="23"/>
      <c r="AB47" s="23"/>
      <c r="AC47" s="23"/>
    </row>
    <row r="48" spans="26:29" ht="12.75">
      <c r="Z48" s="23"/>
      <c r="AA48" s="23"/>
      <c r="AB48" s="23"/>
      <c r="AC48" s="23"/>
    </row>
    <row r="49" spans="26:29" ht="12.75">
      <c r="Z49" s="23"/>
      <c r="AA49" s="23"/>
      <c r="AB49" s="23"/>
      <c r="AC49" s="23"/>
    </row>
    <row r="50" spans="26:29" ht="12.75">
      <c r="Z50" s="23"/>
      <c r="AA50" s="23"/>
      <c r="AB50" s="23"/>
      <c r="AC50" s="23"/>
    </row>
    <row r="51" spans="26:29" ht="12.75">
      <c r="Z51" s="23"/>
      <c r="AA51" s="23"/>
      <c r="AB51" s="23"/>
      <c r="AC51" s="23"/>
    </row>
    <row r="52" spans="26:29" ht="12.75">
      <c r="Z52" s="23"/>
      <c r="AA52" s="23"/>
      <c r="AB52" s="23"/>
      <c r="AC52" s="23"/>
    </row>
    <row r="53" spans="26:29" ht="12.75">
      <c r="Z53" s="23"/>
      <c r="AA53" s="23"/>
      <c r="AB53" s="23"/>
      <c r="AC53" s="23"/>
    </row>
    <row r="54" spans="26:29" ht="12.75">
      <c r="Z54" s="23"/>
      <c r="AA54" s="23"/>
      <c r="AB54" s="23"/>
      <c r="AC54" s="23"/>
    </row>
    <row r="55" spans="26:29" ht="12.75">
      <c r="Z55" s="23"/>
      <c r="AA55" s="23"/>
      <c r="AB55" s="23"/>
      <c r="AC55" s="23"/>
    </row>
    <row r="56" spans="26:29" ht="12.75">
      <c r="Z56" s="23"/>
      <c r="AA56" s="23"/>
      <c r="AB56" s="23"/>
      <c r="AC56" s="23"/>
    </row>
    <row r="57" spans="26:29" ht="12.75">
      <c r="Z57" s="23"/>
      <c r="AA57" s="23"/>
      <c r="AB57" s="23"/>
      <c r="AC57" s="23"/>
    </row>
    <row r="58" spans="26:29" ht="12.75">
      <c r="Z58" s="23"/>
      <c r="AA58" s="23"/>
      <c r="AB58" s="23"/>
      <c r="AC58" s="23"/>
    </row>
    <row r="59" spans="26:29" ht="12.75">
      <c r="Z59" s="23"/>
      <c r="AA59" s="23"/>
      <c r="AB59" s="23"/>
      <c r="AC59" s="23"/>
    </row>
    <row r="60" spans="26:29" ht="12.75">
      <c r="Z60" s="23"/>
      <c r="AA60" s="23"/>
      <c r="AB60" s="23"/>
      <c r="AC60" s="23"/>
    </row>
    <row r="61" spans="26:29" ht="12.75">
      <c r="Z61" s="23"/>
      <c r="AA61" s="23"/>
      <c r="AB61" s="23"/>
      <c r="AC61" s="23"/>
    </row>
    <row r="62" spans="26:29" ht="12.75">
      <c r="Z62" s="23"/>
      <c r="AA62" s="23"/>
      <c r="AB62" s="23"/>
      <c r="AC62" s="23"/>
    </row>
    <row r="63" spans="26:29" ht="12.75">
      <c r="Z63" s="23"/>
      <c r="AA63" s="23"/>
      <c r="AB63" s="23"/>
      <c r="AC63" s="23"/>
    </row>
    <row r="64" spans="26:29" ht="12.75">
      <c r="Z64" s="23"/>
      <c r="AA64" s="23"/>
      <c r="AB64" s="23"/>
      <c r="AC64" s="23"/>
    </row>
    <row r="65" spans="26:29" ht="12.75">
      <c r="Z65" s="23"/>
      <c r="AA65" s="23"/>
      <c r="AB65" s="23"/>
      <c r="AC65" s="23"/>
    </row>
    <row r="66" spans="26:29" ht="12.75">
      <c r="Z66" s="23"/>
      <c r="AA66" s="23"/>
      <c r="AB66" s="23"/>
      <c r="AC66" s="23"/>
    </row>
    <row r="67" spans="26:29" ht="12.75">
      <c r="Z67" s="23"/>
      <c r="AA67" s="23"/>
      <c r="AB67" s="23"/>
      <c r="AC67" s="23"/>
    </row>
    <row r="68" spans="26:29" ht="12.75">
      <c r="Z68" s="23"/>
      <c r="AA68" s="23"/>
      <c r="AB68" s="23"/>
      <c r="AC68" s="23"/>
    </row>
    <row r="69" spans="26:29" ht="12.75">
      <c r="Z69" s="23"/>
      <c r="AA69" s="23"/>
      <c r="AB69" s="23"/>
      <c r="AC69" s="23"/>
    </row>
    <row r="70" spans="26:29" ht="12.75">
      <c r="Z70" s="23"/>
      <c r="AA70" s="23"/>
      <c r="AB70" s="23"/>
      <c r="AC70" s="23"/>
    </row>
    <row r="71" spans="26:29" ht="12.75">
      <c r="Z71" s="23"/>
      <c r="AA71" s="23"/>
      <c r="AB71" s="23"/>
      <c r="AC71" s="23"/>
    </row>
    <row r="72" spans="26:29" ht="12.75">
      <c r="Z72" s="23"/>
      <c r="AA72" s="23"/>
      <c r="AB72" s="23"/>
      <c r="AC72" s="23"/>
    </row>
    <row r="73" spans="26:29" ht="12.75">
      <c r="Z73" s="23"/>
      <c r="AA73" s="23"/>
      <c r="AB73" s="23"/>
      <c r="AC73" s="23"/>
    </row>
    <row r="74" spans="26:29" ht="12.75">
      <c r="Z74" s="23"/>
      <c r="AA74" s="23"/>
      <c r="AB74" s="23"/>
      <c r="AC74" s="23"/>
    </row>
    <row r="75" spans="26:29" ht="12.75">
      <c r="Z75" s="23"/>
      <c r="AA75" s="23"/>
      <c r="AB75" s="23"/>
      <c r="AC75" s="23"/>
    </row>
    <row r="76" spans="26:29" ht="12.75">
      <c r="Z76" s="23"/>
      <c r="AA76" s="23"/>
      <c r="AB76" s="23"/>
      <c r="AC76" s="23"/>
    </row>
    <row r="77" spans="26:29" ht="12.75">
      <c r="Z77" s="23"/>
      <c r="AA77" s="23"/>
      <c r="AB77" s="23"/>
      <c r="AC77" s="23"/>
    </row>
    <row r="78" spans="26:29" ht="12.75">
      <c r="Z78" s="23"/>
      <c r="AA78" s="23"/>
      <c r="AB78" s="23"/>
      <c r="AC78" s="23"/>
    </row>
    <row r="79" spans="26:29" ht="12.75">
      <c r="Z79" s="23"/>
      <c r="AA79" s="23"/>
      <c r="AB79" s="23"/>
      <c r="AC79" s="23"/>
    </row>
    <row r="80" spans="26:29" ht="12.75">
      <c r="Z80" s="23"/>
      <c r="AA80" s="23"/>
      <c r="AB80" s="23"/>
      <c r="AC80" s="23"/>
    </row>
    <row r="81" spans="26:29" ht="12.75">
      <c r="Z81" s="23"/>
      <c r="AA81" s="23"/>
      <c r="AB81" s="23"/>
      <c r="AC81" s="23"/>
    </row>
    <row r="82" spans="26:29" ht="12.75">
      <c r="Z82" s="23"/>
      <c r="AA82" s="23"/>
      <c r="AB82" s="23"/>
      <c r="AC82" s="23"/>
    </row>
    <row r="83" spans="26:29" ht="12.75">
      <c r="Z83" s="23"/>
      <c r="AA83" s="23"/>
      <c r="AB83" s="23"/>
      <c r="AC83" s="23"/>
    </row>
    <row r="84" spans="26:29" ht="12.75">
      <c r="Z84" s="23"/>
      <c r="AA84" s="23"/>
      <c r="AB84" s="23"/>
      <c r="AC84" s="23"/>
    </row>
    <row r="85" spans="26:29" ht="12.75">
      <c r="Z85" s="23"/>
      <c r="AA85" s="23"/>
      <c r="AB85" s="23"/>
      <c r="AC85" s="23"/>
    </row>
    <row r="86" spans="26:29" ht="12.75">
      <c r="Z86" s="23"/>
      <c r="AA86" s="23"/>
      <c r="AB86" s="23"/>
      <c r="AC86" s="23"/>
    </row>
    <row r="87" spans="26:29" ht="12.75">
      <c r="Z87" s="23"/>
      <c r="AA87" s="23"/>
      <c r="AB87" s="23"/>
      <c r="AC87" s="23"/>
    </row>
    <row r="88" spans="26:29" ht="12.75">
      <c r="Z88" s="23"/>
      <c r="AA88" s="23"/>
      <c r="AB88" s="23"/>
      <c r="AC88" s="23"/>
    </row>
    <row r="89" spans="26:29" ht="12.75">
      <c r="Z89" s="23"/>
      <c r="AA89" s="23"/>
      <c r="AB89" s="23"/>
      <c r="AC89" s="23"/>
    </row>
    <row r="90" spans="26:29" ht="12.75">
      <c r="Z90" s="23"/>
      <c r="AA90" s="23"/>
      <c r="AB90" s="23"/>
      <c r="AC90" s="23"/>
    </row>
    <row r="91" spans="26:29" ht="12.75">
      <c r="Z91" s="23"/>
      <c r="AA91" s="23"/>
      <c r="AB91" s="23"/>
      <c r="AC91" s="23"/>
    </row>
    <row r="92" spans="26:29" ht="12.75">
      <c r="Z92" s="23"/>
      <c r="AA92" s="23"/>
      <c r="AB92" s="23"/>
      <c r="AC92" s="23"/>
    </row>
    <row r="93" spans="26:29" ht="12.75">
      <c r="Z93" s="23"/>
      <c r="AA93" s="23"/>
      <c r="AB93" s="23"/>
      <c r="AC93" s="23"/>
    </row>
    <row r="94" spans="26:29" ht="12.75">
      <c r="Z94" s="23"/>
      <c r="AA94" s="23"/>
      <c r="AB94" s="23"/>
      <c r="AC94" s="23"/>
    </row>
    <row r="95" spans="26:29" ht="12.75">
      <c r="Z95" s="23"/>
      <c r="AA95" s="23"/>
      <c r="AB95" s="23"/>
      <c r="AC95" s="23"/>
    </row>
    <row r="96" spans="26:29" ht="12.75">
      <c r="Z96" s="23"/>
      <c r="AA96" s="23"/>
      <c r="AB96" s="23"/>
      <c r="AC96" s="23"/>
    </row>
    <row r="97" spans="26:29" ht="12.75">
      <c r="Z97" s="23"/>
      <c r="AA97" s="23"/>
      <c r="AB97" s="23"/>
      <c r="AC97" s="23"/>
    </row>
    <row r="98" spans="26:29" ht="12.75">
      <c r="Z98" s="23"/>
      <c r="AA98" s="23"/>
      <c r="AB98" s="23"/>
      <c r="AC98" s="23"/>
    </row>
    <row r="99" spans="26:29" ht="12.75">
      <c r="Z99" s="23"/>
      <c r="AA99" s="23"/>
      <c r="AB99" s="23"/>
      <c r="AC99" s="23"/>
    </row>
    <row r="100" spans="26:29" ht="12.75">
      <c r="Z100" s="23"/>
      <c r="AA100" s="23"/>
      <c r="AB100" s="23"/>
      <c r="AC100" s="23"/>
    </row>
    <row r="101" spans="26:29" ht="12.75">
      <c r="Z101" s="23"/>
      <c r="AA101" s="23"/>
      <c r="AB101" s="23"/>
      <c r="AC101" s="23"/>
    </row>
    <row r="102" spans="26:29" ht="12.75">
      <c r="Z102" s="23"/>
      <c r="AA102" s="23"/>
      <c r="AB102" s="23"/>
      <c r="AC102" s="23"/>
    </row>
    <row r="103" spans="26:29" ht="12.75">
      <c r="Z103" s="23"/>
      <c r="AA103" s="23"/>
      <c r="AB103" s="23"/>
      <c r="AC103" s="23"/>
    </row>
    <row r="104" spans="26:29" ht="12.75">
      <c r="Z104" s="23"/>
      <c r="AA104" s="23"/>
      <c r="AB104" s="23"/>
      <c r="AC104" s="23"/>
    </row>
    <row r="105" spans="26:29" ht="12.75">
      <c r="Z105" s="23"/>
      <c r="AA105" s="23"/>
      <c r="AB105" s="23"/>
      <c r="AC105" s="23"/>
    </row>
    <row r="106" spans="26:29" ht="12.75">
      <c r="Z106" s="23"/>
      <c r="AA106" s="23"/>
      <c r="AB106" s="23"/>
      <c r="AC106" s="23"/>
    </row>
    <row r="107" spans="26:29" ht="12.75">
      <c r="Z107" s="23"/>
      <c r="AA107" s="23"/>
      <c r="AB107" s="23"/>
      <c r="AC107" s="23"/>
    </row>
    <row r="108" spans="26:29" ht="12.75">
      <c r="Z108" s="23"/>
      <c r="AA108" s="23"/>
      <c r="AB108" s="23"/>
      <c r="AC108" s="23"/>
    </row>
    <row r="109" spans="26:29" ht="12.75">
      <c r="Z109" s="23"/>
      <c r="AA109" s="23"/>
      <c r="AB109" s="23"/>
      <c r="AC109" s="23"/>
    </row>
    <row r="110" spans="26:29" ht="12.75">
      <c r="Z110" s="23"/>
      <c r="AA110" s="23"/>
      <c r="AB110" s="23"/>
      <c r="AC110" s="23"/>
    </row>
    <row r="111" spans="26:29" ht="12.75">
      <c r="Z111" s="23"/>
      <c r="AA111" s="23"/>
      <c r="AB111" s="23"/>
      <c r="AC111" s="23"/>
    </row>
    <row r="112" spans="26:29" ht="12.75">
      <c r="Z112" s="23"/>
      <c r="AA112" s="23"/>
      <c r="AB112" s="23"/>
      <c r="AC112" s="23"/>
    </row>
    <row r="113" spans="26:29" ht="12.75">
      <c r="Z113" s="23"/>
      <c r="AA113" s="23"/>
      <c r="AB113" s="23"/>
      <c r="AC113" s="23"/>
    </row>
    <row r="114" spans="26:29" ht="12.75">
      <c r="Z114" s="23"/>
      <c r="AA114" s="23"/>
      <c r="AB114" s="23"/>
      <c r="AC114" s="23"/>
    </row>
    <row r="115" spans="26:29" ht="12.75">
      <c r="Z115" s="23"/>
      <c r="AA115" s="23"/>
      <c r="AB115" s="23"/>
      <c r="AC115" s="23"/>
    </row>
    <row r="116" spans="26:29" ht="12.75">
      <c r="Z116" s="23"/>
      <c r="AA116" s="23"/>
      <c r="AB116" s="23"/>
      <c r="AC116" s="23"/>
    </row>
    <row r="117" spans="26:29" ht="12.75">
      <c r="Z117" s="23"/>
      <c r="AA117" s="23"/>
      <c r="AB117" s="23"/>
      <c r="AC117" s="23"/>
    </row>
    <row r="118" spans="26:29" ht="12.75">
      <c r="Z118" s="23"/>
      <c r="AA118" s="23"/>
      <c r="AB118" s="23"/>
      <c r="AC118" s="23"/>
    </row>
    <row r="119" spans="26:29" ht="12.75">
      <c r="Z119" s="23"/>
      <c r="AA119" s="23"/>
      <c r="AB119" s="23"/>
      <c r="AC119" s="23"/>
    </row>
    <row r="120" spans="26:29" ht="12.75">
      <c r="Z120" s="23"/>
      <c r="AA120" s="23"/>
      <c r="AB120" s="23"/>
      <c r="AC120" s="23"/>
    </row>
    <row r="121" spans="26:29" ht="12.75">
      <c r="Z121" s="23"/>
      <c r="AA121" s="23"/>
      <c r="AB121" s="23"/>
      <c r="AC121" s="23"/>
    </row>
    <row r="122" spans="26:29" ht="12.75">
      <c r="Z122" s="23"/>
      <c r="AA122" s="23"/>
      <c r="AB122" s="23"/>
      <c r="AC122" s="23"/>
    </row>
    <row r="123" spans="26:29" ht="12.75">
      <c r="Z123" s="23"/>
      <c r="AA123" s="23"/>
      <c r="AB123" s="23"/>
      <c r="AC123" s="23"/>
    </row>
    <row r="124" spans="26:29" ht="12.75">
      <c r="Z124" s="23"/>
      <c r="AA124" s="23"/>
      <c r="AB124" s="23"/>
      <c r="AC124" s="23"/>
    </row>
    <row r="125" spans="26:29" ht="12.75">
      <c r="Z125" s="23"/>
      <c r="AA125" s="23"/>
      <c r="AB125" s="23"/>
      <c r="AC125" s="23"/>
    </row>
    <row r="126" spans="26:29" ht="12.75">
      <c r="Z126" s="23"/>
      <c r="AA126" s="23"/>
      <c r="AB126" s="23"/>
      <c r="AC126" s="23"/>
    </row>
    <row r="127" spans="26:29" ht="12.75">
      <c r="Z127" s="23"/>
      <c r="AA127" s="23"/>
      <c r="AB127" s="23"/>
      <c r="AC127" s="23"/>
    </row>
    <row r="128" spans="26:29" ht="12.75">
      <c r="Z128" s="23"/>
      <c r="AA128" s="23"/>
      <c r="AB128" s="23"/>
      <c r="AC128" s="23"/>
    </row>
    <row r="129" spans="26:29" ht="12.75">
      <c r="Z129" s="23"/>
      <c r="AA129" s="23"/>
      <c r="AB129" s="23"/>
      <c r="AC129" s="23"/>
    </row>
    <row r="130" spans="26:29" ht="12.75">
      <c r="Z130" s="23"/>
      <c r="AA130" s="23"/>
      <c r="AB130" s="23"/>
      <c r="AC130" s="23"/>
    </row>
    <row r="131" spans="26:29" ht="12.75">
      <c r="Z131" s="23"/>
      <c r="AA131" s="23"/>
      <c r="AB131" s="23"/>
      <c r="AC131" s="23"/>
    </row>
    <row r="132" spans="26:29" ht="12.75">
      <c r="Z132" s="23"/>
      <c r="AA132" s="23"/>
      <c r="AB132" s="23"/>
      <c r="AC132" s="23"/>
    </row>
    <row r="133" spans="26:29" ht="12.75">
      <c r="Z133" s="23"/>
      <c r="AA133" s="23"/>
      <c r="AB133" s="23"/>
      <c r="AC133" s="23"/>
    </row>
    <row r="134" spans="26:29" ht="12.75">
      <c r="Z134" s="23"/>
      <c r="AA134" s="23"/>
      <c r="AB134" s="23"/>
      <c r="AC134" s="23"/>
    </row>
    <row r="135" spans="26:29" ht="12.75">
      <c r="Z135" s="23"/>
      <c r="AA135" s="23"/>
      <c r="AB135" s="23"/>
      <c r="AC135" s="23"/>
    </row>
    <row r="136" spans="26:29" ht="12.75">
      <c r="Z136" s="23"/>
      <c r="AA136" s="23"/>
      <c r="AB136" s="23"/>
      <c r="AC136" s="23"/>
    </row>
    <row r="137" spans="26:29" ht="12.75">
      <c r="Z137" s="23"/>
      <c r="AA137" s="23"/>
      <c r="AB137" s="23"/>
      <c r="AC137" s="23"/>
    </row>
    <row r="138" spans="26:29" ht="12.75">
      <c r="Z138" s="23"/>
      <c r="AA138" s="23"/>
      <c r="AB138" s="23"/>
      <c r="AC138" s="23"/>
    </row>
    <row r="139" spans="26:29" ht="12.75">
      <c r="Z139" s="23"/>
      <c r="AA139" s="23"/>
      <c r="AB139" s="23"/>
      <c r="AC139" s="23"/>
    </row>
    <row r="140" spans="26:29" ht="12.75">
      <c r="Z140" s="23"/>
      <c r="AA140" s="23"/>
      <c r="AB140" s="23"/>
      <c r="AC140" s="23"/>
    </row>
    <row r="141" spans="26:29" ht="12.75">
      <c r="Z141" s="23"/>
      <c r="AA141" s="23"/>
      <c r="AB141" s="23"/>
      <c r="AC141" s="23"/>
    </row>
    <row r="142" spans="26:29" ht="12.75">
      <c r="Z142" s="23"/>
      <c r="AA142" s="23"/>
      <c r="AB142" s="23"/>
      <c r="AC142" s="23"/>
    </row>
    <row r="143" spans="26:29" ht="12.75">
      <c r="Z143" s="23"/>
      <c r="AA143" s="23"/>
      <c r="AB143" s="23"/>
      <c r="AC143" s="23"/>
    </row>
    <row r="144" spans="26:29" ht="12.75">
      <c r="Z144" s="23"/>
      <c r="AA144" s="23"/>
      <c r="AB144" s="23"/>
      <c r="AC144" s="23"/>
    </row>
    <row r="145" spans="26:29" ht="12.75">
      <c r="Z145" s="23"/>
      <c r="AA145" s="23"/>
      <c r="AB145" s="23"/>
      <c r="AC145" s="23"/>
    </row>
    <row r="146" spans="26:29" ht="12.75">
      <c r="Z146" s="23"/>
      <c r="AA146" s="23"/>
      <c r="AB146" s="23"/>
      <c r="AC146" s="23"/>
    </row>
    <row r="147" spans="26:29" ht="12.75">
      <c r="Z147" s="23"/>
      <c r="AA147" s="23"/>
      <c r="AB147" s="23"/>
      <c r="AC147" s="23"/>
    </row>
    <row r="148" spans="26:29" ht="12.75">
      <c r="Z148" s="23"/>
      <c r="AA148" s="23"/>
      <c r="AB148" s="23"/>
      <c r="AC148" s="23"/>
    </row>
    <row r="149" spans="26:29" ht="12.75">
      <c r="Z149" s="23"/>
      <c r="AA149" s="23"/>
      <c r="AB149" s="23"/>
      <c r="AC149" s="23"/>
    </row>
    <row r="150" spans="26:29" ht="12.75">
      <c r="Z150" s="23"/>
      <c r="AA150" s="23"/>
      <c r="AB150" s="23"/>
      <c r="AC150" s="23"/>
    </row>
  </sheetData>
  <sheetProtection/>
  <mergeCells count="2">
    <mergeCell ref="E1:AB1"/>
    <mergeCell ref="E2:AB2"/>
  </mergeCells>
  <printOptions/>
  <pageMargins left="0.7874015748031497" right="0.7480314960629921" top="0.984251968503937" bottom="0.984251968503937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4"/>
      <c r="B3" s="12"/>
      <c r="C3" s="12"/>
      <c r="D3" s="12"/>
      <c r="E3" s="12"/>
      <c r="F3" s="27" t="s">
        <v>128</v>
      </c>
      <c r="G3" s="27" t="s">
        <v>129</v>
      </c>
      <c r="H3" s="27" t="str">
        <f>+G3</f>
        <v>CONTRACREDITO</v>
      </c>
      <c r="I3" s="27" t="str">
        <f>+H3</f>
        <v>CONTRACREDITO</v>
      </c>
      <c r="J3" s="27" t="s">
        <v>130</v>
      </c>
      <c r="K3" s="27" t="str">
        <f>+J3</f>
        <v>ADICIONES</v>
      </c>
      <c r="L3" s="27" t="s">
        <v>131</v>
      </c>
      <c r="M3" s="12" t="str">
        <f>+L3</f>
        <v>CREDITOS</v>
      </c>
      <c r="N3" s="12" t="str">
        <f>+M3</f>
        <v>CREDITOS</v>
      </c>
      <c r="O3" s="87" t="s">
        <v>71</v>
      </c>
      <c r="R3" t="s">
        <v>134</v>
      </c>
      <c r="S3" t="s">
        <v>130</v>
      </c>
      <c r="T3" t="s">
        <v>131</v>
      </c>
      <c r="U3" t="s">
        <v>135</v>
      </c>
      <c r="V3" t="s">
        <v>69</v>
      </c>
      <c r="W3" s="50" t="s">
        <v>148</v>
      </c>
    </row>
    <row r="4" spans="1:23" ht="63.75">
      <c r="A4" s="85" t="s">
        <v>24</v>
      </c>
      <c r="B4" s="80" t="s">
        <v>41</v>
      </c>
      <c r="C4" s="81">
        <v>900</v>
      </c>
      <c r="D4" s="82">
        <v>1</v>
      </c>
      <c r="E4" s="83" t="s">
        <v>55</v>
      </c>
      <c r="F4" s="74">
        <f>1350000000</f>
        <v>1350000000</v>
      </c>
      <c r="G4" s="94">
        <v>-2572702</v>
      </c>
      <c r="H4" s="95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132</v>
      </c>
      <c r="Q4" t="s">
        <v>133</v>
      </c>
      <c r="R4" s="23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3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85" t="s">
        <v>24</v>
      </c>
      <c r="B5" s="80" t="s">
        <v>41</v>
      </c>
      <c r="C5" s="81">
        <f>+C4</f>
        <v>900</v>
      </c>
      <c r="D5" s="82">
        <v>2</v>
      </c>
      <c r="E5" s="83" t="s">
        <v>56</v>
      </c>
      <c r="F5" s="52">
        <f>350000000</f>
        <v>350000000</v>
      </c>
      <c r="G5" s="96">
        <v>-23894914</v>
      </c>
      <c r="H5" s="93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136</v>
      </c>
      <c r="Q5" t="s">
        <v>137</v>
      </c>
      <c r="R5" s="23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3">
        <f t="shared" si="1"/>
        <v>2184254031</v>
      </c>
      <c r="W5" s="1">
        <f>408966674+156891409+198574475+223543821+1135936327</f>
        <v>2123912706</v>
      </c>
    </row>
    <row r="6" spans="1:23" ht="42.75">
      <c r="A6" s="85" t="s">
        <v>24</v>
      </c>
      <c r="B6" s="80" t="s">
        <v>41</v>
      </c>
      <c r="C6" s="81">
        <v>900</v>
      </c>
      <c r="D6" s="82">
        <v>3</v>
      </c>
      <c r="E6" s="83" t="s">
        <v>68</v>
      </c>
      <c r="F6" s="52">
        <v>300000000</v>
      </c>
      <c r="G6" s="96">
        <v>0</v>
      </c>
      <c r="H6" s="93">
        <v>-600906843</v>
      </c>
      <c r="I6" s="15">
        <v>-518682</v>
      </c>
      <c r="J6" s="91">
        <v>500000000</v>
      </c>
      <c r="K6" s="15"/>
      <c r="L6" s="15"/>
      <c r="M6" s="15"/>
      <c r="N6" s="15"/>
      <c r="O6" s="15">
        <f t="shared" si="0"/>
        <v>198574475</v>
      </c>
      <c r="P6" t="s">
        <v>138</v>
      </c>
      <c r="Q6" t="s">
        <v>139</v>
      </c>
      <c r="R6" s="23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3">
        <f t="shared" si="1"/>
        <v>1877233369</v>
      </c>
      <c r="W6" s="1">
        <v>1877233207</v>
      </c>
    </row>
    <row r="7" spans="1:23" ht="32.25">
      <c r="A7" s="85" t="s">
        <v>24</v>
      </c>
      <c r="B7" s="80" t="s">
        <v>42</v>
      </c>
      <c r="C7" s="81">
        <v>900</v>
      </c>
      <c r="D7" s="82">
        <v>1</v>
      </c>
      <c r="E7" s="83" t="s">
        <v>57</v>
      </c>
      <c r="F7" s="52">
        <v>3677074400</v>
      </c>
      <c r="G7" s="51">
        <v>0</v>
      </c>
      <c r="H7" s="93">
        <v>-4595103399</v>
      </c>
      <c r="I7" s="15"/>
      <c r="J7" s="91">
        <v>918028999</v>
      </c>
      <c r="K7" s="15"/>
      <c r="L7" s="15"/>
      <c r="M7" s="15"/>
      <c r="N7" s="15"/>
      <c r="O7" s="15">
        <f t="shared" si="0"/>
        <v>0</v>
      </c>
      <c r="P7" t="s">
        <v>140</v>
      </c>
      <c r="Q7" t="s">
        <v>141</v>
      </c>
      <c r="R7" s="23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3">
        <f t="shared" si="1"/>
        <v>2562562737</v>
      </c>
      <c r="W7" s="1">
        <f>319998529+2173142971</f>
        <v>2493141500</v>
      </c>
    </row>
    <row r="8" spans="1:23" ht="32.25">
      <c r="A8" s="85" t="s">
        <v>24</v>
      </c>
      <c r="B8" s="80" t="s">
        <v>42</v>
      </c>
      <c r="C8" s="81">
        <v>900</v>
      </c>
      <c r="D8" s="82">
        <v>2</v>
      </c>
      <c r="E8" s="83" t="s">
        <v>58</v>
      </c>
      <c r="F8" s="52">
        <v>1199818416</v>
      </c>
      <c r="G8" s="52">
        <v>0</v>
      </c>
      <c r="H8" s="93">
        <v>-2566309866</v>
      </c>
      <c r="I8" s="15"/>
      <c r="J8" s="91">
        <v>1393598524</v>
      </c>
      <c r="K8" s="15"/>
      <c r="L8" s="15"/>
      <c r="M8" s="15"/>
      <c r="N8" s="15"/>
      <c r="O8" s="15">
        <f t="shared" si="0"/>
        <v>27107074</v>
      </c>
      <c r="P8" t="s">
        <v>142</v>
      </c>
      <c r="Q8" t="s">
        <v>143</v>
      </c>
      <c r="R8" s="23">
        <f>+F15</f>
        <v>700000000</v>
      </c>
      <c r="S8" s="1">
        <f>+J15</f>
        <v>900000000</v>
      </c>
      <c r="T8" s="1">
        <f>+L32</f>
        <v>1445581568</v>
      </c>
      <c r="U8" s="23">
        <f>+G15</f>
        <v>-1435581568</v>
      </c>
      <c r="V8" s="23">
        <f t="shared" si="1"/>
        <v>1610000000</v>
      </c>
      <c r="W8" s="1">
        <f>164418432+1398378737</f>
        <v>1562797169</v>
      </c>
    </row>
    <row r="9" spans="1:23" ht="42.75">
      <c r="A9" s="85" t="s">
        <v>24</v>
      </c>
      <c r="B9" s="80" t="s">
        <v>42</v>
      </c>
      <c r="C9" s="81">
        <v>900</v>
      </c>
      <c r="D9" s="82">
        <v>3</v>
      </c>
      <c r="E9" s="83" t="s">
        <v>59</v>
      </c>
      <c r="F9" s="52">
        <v>1528730952</v>
      </c>
      <c r="G9" s="52">
        <v>0</v>
      </c>
      <c r="H9" s="93">
        <v>-2648057344</v>
      </c>
      <c r="I9" s="15"/>
      <c r="J9" s="91">
        <v>1553352672</v>
      </c>
      <c r="K9" s="15"/>
      <c r="L9" s="15"/>
      <c r="M9" s="15"/>
      <c r="N9" s="15"/>
      <c r="O9" s="15">
        <f t="shared" si="0"/>
        <v>434026280</v>
      </c>
      <c r="P9" t="s">
        <v>144</v>
      </c>
      <c r="Q9" t="s">
        <v>145</v>
      </c>
      <c r="R9" s="23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3">
        <f t="shared" si="1"/>
        <v>432039134</v>
      </c>
      <c r="W9" s="1">
        <f>63924612+321140379</f>
        <v>385064991</v>
      </c>
    </row>
    <row r="10" spans="1:23" ht="42.75">
      <c r="A10" s="85" t="s">
        <v>24</v>
      </c>
      <c r="B10" s="80" t="s">
        <v>42</v>
      </c>
      <c r="C10" s="81">
        <v>900</v>
      </c>
      <c r="D10" s="82">
        <v>4</v>
      </c>
      <c r="E10" s="83" t="s">
        <v>60</v>
      </c>
      <c r="F10" s="52">
        <v>1073210483</v>
      </c>
      <c r="G10" s="52">
        <v>0</v>
      </c>
      <c r="H10" s="93">
        <v>-1877233369</v>
      </c>
      <c r="I10" s="15"/>
      <c r="J10" s="91">
        <v>804022886</v>
      </c>
      <c r="K10" s="15"/>
      <c r="L10" s="15"/>
      <c r="M10" s="15"/>
      <c r="N10" s="15"/>
      <c r="O10" s="15">
        <f t="shared" si="0"/>
        <v>0</v>
      </c>
      <c r="P10" t="s">
        <v>146</v>
      </c>
      <c r="Q10" t="s">
        <v>98</v>
      </c>
      <c r="R10" s="23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3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85" t="s">
        <v>24</v>
      </c>
      <c r="B11" s="80" t="s">
        <v>43</v>
      </c>
      <c r="C11" s="81">
        <v>900</v>
      </c>
      <c r="D11" s="82">
        <v>1</v>
      </c>
      <c r="E11" s="83" t="s">
        <v>61</v>
      </c>
      <c r="F11" s="52">
        <v>289000000</v>
      </c>
      <c r="G11" s="96">
        <v>-320465303</v>
      </c>
      <c r="H11" s="93">
        <v>-4610085</v>
      </c>
      <c r="I11" s="15"/>
      <c r="J11" s="91">
        <v>100000000</v>
      </c>
      <c r="K11" s="15"/>
      <c r="L11" s="15"/>
      <c r="M11" s="15"/>
      <c r="N11" s="15"/>
      <c r="O11" s="15">
        <f t="shared" si="0"/>
        <v>63924612</v>
      </c>
      <c r="Q11" t="s">
        <v>147</v>
      </c>
      <c r="R11" s="23">
        <f>SUM(R4:R10)</f>
        <v>17250332312</v>
      </c>
      <c r="S11" s="23">
        <f>SUM(S4:S10)</f>
        <v>14633268424</v>
      </c>
      <c r="T11" s="23">
        <f>SUM(T4:T10)</f>
        <v>25367251582</v>
      </c>
      <c r="U11" s="23">
        <f>SUM(U4:U10)</f>
        <v>-25367251582</v>
      </c>
      <c r="V11" s="23">
        <f t="shared" si="1"/>
        <v>31883600736</v>
      </c>
      <c r="W11" s="23">
        <f>SUM(W4:W10)</f>
        <v>31023133223</v>
      </c>
    </row>
    <row r="12" spans="1:23" ht="21.75">
      <c r="A12" s="85" t="s">
        <v>24</v>
      </c>
      <c r="B12" s="80" t="s">
        <v>43</v>
      </c>
      <c r="C12" s="81">
        <v>900</v>
      </c>
      <c r="D12" s="82">
        <v>2</v>
      </c>
      <c r="E12" s="83" t="s">
        <v>62</v>
      </c>
      <c r="F12" s="52">
        <v>1000000000</v>
      </c>
      <c r="G12" s="52">
        <v>-1948357768</v>
      </c>
      <c r="H12" s="75">
        <v>-2855109</v>
      </c>
      <c r="I12" s="15"/>
      <c r="J12" s="91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3"/>
      <c r="V12" s="23"/>
      <c r="W12" s="7" t="s">
        <v>1</v>
      </c>
    </row>
    <row r="13" spans="1:23" ht="32.25">
      <c r="A13" s="85" t="s">
        <v>24</v>
      </c>
      <c r="B13" s="80" t="s">
        <v>44</v>
      </c>
      <c r="C13" s="81">
        <v>900</v>
      </c>
      <c r="D13" s="82">
        <v>1</v>
      </c>
      <c r="E13" s="83" t="s">
        <v>63</v>
      </c>
      <c r="F13" s="52">
        <v>2132498061</v>
      </c>
      <c r="G13" s="52">
        <v>-1310392615</v>
      </c>
      <c r="H13" s="75">
        <v>-5190697</v>
      </c>
      <c r="I13" s="15"/>
      <c r="J13" s="91">
        <v>300000000</v>
      </c>
      <c r="K13" s="15"/>
      <c r="L13" s="15"/>
      <c r="M13" s="15"/>
      <c r="N13" s="15"/>
      <c r="O13" s="15">
        <f t="shared" si="0"/>
        <v>1116914749</v>
      </c>
      <c r="T13" s="23"/>
      <c r="V13" s="23"/>
      <c r="W13" s="1" t="e">
        <f>+W12-W11</f>
        <v>#VALUE!</v>
      </c>
    </row>
    <row r="14" spans="1:23" ht="53.25">
      <c r="A14" s="85" t="s">
        <v>24</v>
      </c>
      <c r="B14" s="80" t="s">
        <v>44</v>
      </c>
      <c r="C14" s="81">
        <v>900</v>
      </c>
      <c r="D14" s="82">
        <v>2</v>
      </c>
      <c r="E14" s="83" t="s">
        <v>64</v>
      </c>
      <c r="F14" s="52">
        <v>520000000</v>
      </c>
      <c r="G14" s="96">
        <v>-2114195091</v>
      </c>
      <c r="H14" s="93">
        <v>-469117</v>
      </c>
      <c r="I14" s="15"/>
      <c r="J14" s="91">
        <v>1914662737</v>
      </c>
      <c r="K14" s="15"/>
      <c r="L14" s="15"/>
      <c r="M14" s="15"/>
      <c r="N14" s="15"/>
      <c r="O14" s="15">
        <f t="shared" si="0"/>
        <v>319998529</v>
      </c>
      <c r="V14" s="23"/>
      <c r="W14" s="1"/>
    </row>
    <row r="15" spans="1:23" ht="42.75">
      <c r="A15" s="85" t="s">
        <v>24</v>
      </c>
      <c r="B15" s="80" t="s">
        <v>45</v>
      </c>
      <c r="C15" s="81">
        <v>900</v>
      </c>
      <c r="D15" s="82">
        <v>1</v>
      </c>
      <c r="E15" s="83" t="s">
        <v>65</v>
      </c>
      <c r="F15" s="52">
        <v>700000000</v>
      </c>
      <c r="G15" s="96">
        <v>-1435581568</v>
      </c>
      <c r="H15" s="75">
        <v>0</v>
      </c>
      <c r="I15" s="15"/>
      <c r="J15" s="91">
        <v>900000000</v>
      </c>
      <c r="K15" s="15"/>
      <c r="L15" s="15"/>
      <c r="M15" s="15"/>
      <c r="N15" s="15"/>
      <c r="O15" s="15">
        <f t="shared" si="0"/>
        <v>164418432</v>
      </c>
      <c r="V15" s="23"/>
      <c r="W15" s="1"/>
    </row>
    <row r="16" spans="1:23" ht="53.25">
      <c r="A16" s="85" t="s">
        <v>24</v>
      </c>
      <c r="B16" s="80" t="s">
        <v>46</v>
      </c>
      <c r="C16" s="81">
        <v>900</v>
      </c>
      <c r="D16" s="82">
        <v>1</v>
      </c>
      <c r="E16" s="84" t="s">
        <v>66</v>
      </c>
      <c r="F16" s="52">
        <f>+'[1]Gastos 2016'!$B$16</f>
        <v>250000000</v>
      </c>
      <c r="G16" s="52">
        <v>-573306</v>
      </c>
      <c r="H16" s="75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3"/>
      <c r="W16" s="1"/>
    </row>
    <row r="17" spans="1:23" ht="32.25">
      <c r="A17" s="85" t="s">
        <v>24</v>
      </c>
      <c r="B17" s="80" t="s">
        <v>46</v>
      </c>
      <c r="C17" s="81">
        <v>900</v>
      </c>
      <c r="D17" s="82">
        <v>2</v>
      </c>
      <c r="E17" s="84" t="s">
        <v>67</v>
      </c>
      <c r="F17" s="52">
        <v>200000000</v>
      </c>
      <c r="G17" s="52">
        <v>-3856237256</v>
      </c>
      <c r="H17" s="75">
        <v>-1050578</v>
      </c>
      <c r="I17" s="15"/>
      <c r="J17" s="91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3"/>
      <c r="W17" s="1"/>
    </row>
    <row r="18" spans="1:23" ht="21.75">
      <c r="A18" s="85"/>
      <c r="B18" s="80"/>
      <c r="C18" s="81"/>
      <c r="D18" s="82"/>
      <c r="E18" s="84" t="s">
        <v>97</v>
      </c>
      <c r="F18" s="52">
        <f aca="true" t="shared" si="2" ref="F18:O18">SUM(F4:F17)</f>
        <v>14570332312</v>
      </c>
      <c r="G18" s="52">
        <f t="shared" si="2"/>
        <v>-11012270523</v>
      </c>
      <c r="H18" s="52">
        <f t="shared" si="2"/>
        <v>-13532513454</v>
      </c>
      <c r="I18" s="52">
        <f t="shared" si="2"/>
        <v>-518682</v>
      </c>
      <c r="J18" s="52">
        <f t="shared" si="2"/>
        <v>13112240595</v>
      </c>
      <c r="K18" s="52">
        <f t="shared" si="2"/>
        <v>771935666</v>
      </c>
      <c r="L18" s="52">
        <f t="shared" si="2"/>
        <v>0</v>
      </c>
      <c r="M18" s="52">
        <f t="shared" si="2"/>
        <v>0</v>
      </c>
      <c r="N18" s="52">
        <f t="shared" si="2"/>
        <v>0</v>
      </c>
      <c r="O18" s="52">
        <f t="shared" si="2"/>
        <v>3909205914</v>
      </c>
      <c r="V18" s="23"/>
      <c r="W18" s="1"/>
    </row>
    <row r="19" spans="1:23" ht="12.75">
      <c r="A19" s="85"/>
      <c r="B19" s="80"/>
      <c r="C19" s="81"/>
      <c r="D19" s="82"/>
      <c r="E19" s="84"/>
      <c r="F19" s="52"/>
      <c r="G19" s="52"/>
      <c r="H19" s="22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3"/>
      <c r="W19" s="1"/>
    </row>
    <row r="20" spans="1:22" ht="22.5">
      <c r="A20" s="85"/>
      <c r="B20" s="80"/>
      <c r="C20" s="81"/>
      <c r="D20" s="82"/>
      <c r="E20" s="88" t="s">
        <v>93</v>
      </c>
      <c r="F20" s="89" t="s">
        <v>1</v>
      </c>
      <c r="G20" s="89" t="s">
        <v>1</v>
      </c>
      <c r="H20" s="89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3"/>
    </row>
    <row r="21" spans="1:15" ht="33.75">
      <c r="A21" s="85" t="s">
        <v>24</v>
      </c>
      <c r="B21" s="80" t="s">
        <v>41</v>
      </c>
      <c r="C21" s="81">
        <v>1</v>
      </c>
      <c r="D21" s="82"/>
      <c r="E21" s="90" t="s">
        <v>83</v>
      </c>
      <c r="F21" s="52">
        <v>0</v>
      </c>
      <c r="G21" s="52">
        <v>0</v>
      </c>
      <c r="H21" s="22">
        <v>0</v>
      </c>
      <c r="I21" s="15">
        <v>-452579556</v>
      </c>
      <c r="J21" s="15"/>
      <c r="K21" s="15"/>
      <c r="L21" s="91">
        <v>4670486343</v>
      </c>
      <c r="M21" s="91">
        <v>350000000</v>
      </c>
      <c r="N21" s="15"/>
      <c r="O21" s="15">
        <f t="shared" si="3"/>
        <v>4567906787</v>
      </c>
    </row>
    <row r="22" spans="1:15" ht="22.5">
      <c r="A22" s="85" t="s">
        <v>24</v>
      </c>
      <c r="B22" s="80" t="s">
        <v>41</v>
      </c>
      <c r="C22" s="81">
        <v>2</v>
      </c>
      <c r="D22" s="82"/>
      <c r="E22" s="90" t="s">
        <v>84</v>
      </c>
      <c r="F22" s="52">
        <v>0</v>
      </c>
      <c r="G22" s="52">
        <v>0</v>
      </c>
      <c r="H22" s="22">
        <v>0</v>
      </c>
      <c r="I22" s="15"/>
      <c r="J22" s="15"/>
      <c r="K22" s="15"/>
      <c r="L22" s="91">
        <v>5138984266</v>
      </c>
      <c r="M22" s="91">
        <v>39000000</v>
      </c>
      <c r="N22" s="15"/>
      <c r="O22" s="15">
        <f t="shared" si="3"/>
        <v>5177984266</v>
      </c>
    </row>
    <row r="23" spans="1:15" ht="22.5">
      <c r="A23" s="85" t="s">
        <v>24</v>
      </c>
      <c r="B23" s="80" t="s">
        <v>41</v>
      </c>
      <c r="C23" s="81">
        <v>3</v>
      </c>
      <c r="D23" s="82"/>
      <c r="E23" s="90" t="s">
        <v>85</v>
      </c>
      <c r="F23" s="52">
        <v>0</v>
      </c>
      <c r="G23" s="52">
        <v>0</v>
      </c>
      <c r="H23" s="22">
        <v>0</v>
      </c>
      <c r="I23" s="15"/>
      <c r="J23" s="15"/>
      <c r="K23" s="15"/>
      <c r="L23" s="91">
        <v>1877233369</v>
      </c>
      <c r="M23" s="15"/>
      <c r="N23" s="15"/>
      <c r="O23" s="15">
        <f t="shared" si="3"/>
        <v>1877233369</v>
      </c>
    </row>
    <row r="24" spans="1:15" ht="45">
      <c r="A24" s="85" t="s">
        <v>24</v>
      </c>
      <c r="B24" s="80" t="s">
        <v>42</v>
      </c>
      <c r="C24" s="81">
        <v>1</v>
      </c>
      <c r="D24" s="82"/>
      <c r="E24" s="90" t="s">
        <v>86</v>
      </c>
      <c r="F24" s="52">
        <v>0</v>
      </c>
      <c r="G24" s="52">
        <v>0</v>
      </c>
      <c r="H24" s="22">
        <v>0</v>
      </c>
      <c r="I24" s="15">
        <v>0</v>
      </c>
      <c r="J24" s="15"/>
      <c r="K24" s="15"/>
      <c r="L24" s="91">
        <v>97010786</v>
      </c>
      <c r="M24" s="91">
        <v>128863196</v>
      </c>
      <c r="N24" s="91">
        <v>2572702</v>
      </c>
      <c r="O24" s="15">
        <f t="shared" si="3"/>
        <v>228446684</v>
      </c>
    </row>
    <row r="25" spans="1:15" ht="56.25">
      <c r="A25" s="85" t="s">
        <v>24</v>
      </c>
      <c r="B25" s="80" t="s">
        <v>42</v>
      </c>
      <c r="C25" s="81">
        <v>2</v>
      </c>
      <c r="D25" s="82"/>
      <c r="E25" s="90" t="s">
        <v>87</v>
      </c>
      <c r="F25" s="52">
        <v>0</v>
      </c>
      <c r="G25" s="52">
        <v>0</v>
      </c>
      <c r="H25" s="22">
        <v>0</v>
      </c>
      <c r="I25" s="15">
        <v>0</v>
      </c>
      <c r="J25" s="15"/>
      <c r="K25" s="15"/>
      <c r="L25" s="91">
        <v>960739105</v>
      </c>
      <c r="M25" s="91">
        <v>188668770</v>
      </c>
      <c r="N25" s="91">
        <v>23894914</v>
      </c>
      <c r="O25" s="15">
        <f t="shared" si="3"/>
        <v>1173302789</v>
      </c>
    </row>
    <row r="26" spans="1:15" ht="22.5">
      <c r="A26" s="85" t="s">
        <v>24</v>
      </c>
      <c r="B26" s="80" t="s">
        <v>43</v>
      </c>
      <c r="C26" s="81">
        <v>1</v>
      </c>
      <c r="D26" s="82"/>
      <c r="E26" s="90" t="s">
        <v>88</v>
      </c>
      <c r="F26" s="52">
        <v>0</v>
      </c>
      <c r="G26" s="77">
        <v>0</v>
      </c>
      <c r="H26" s="22">
        <v>0</v>
      </c>
      <c r="I26" s="15"/>
      <c r="J26" s="91">
        <v>749092163</v>
      </c>
      <c r="K26" s="15"/>
      <c r="L26" s="91">
        <v>4539266111</v>
      </c>
      <c r="M26" s="91">
        <v>2142566</v>
      </c>
      <c r="N26" s="91">
        <v>19369367</v>
      </c>
      <c r="O26" s="15">
        <f t="shared" si="3"/>
        <v>5309870207</v>
      </c>
    </row>
    <row r="27" spans="1:15" ht="33.75">
      <c r="A27" s="85" t="s">
        <v>24</v>
      </c>
      <c r="B27" s="80" t="s">
        <v>43</v>
      </c>
      <c r="C27" s="81">
        <v>2</v>
      </c>
      <c r="D27" s="82"/>
      <c r="E27" s="90" t="s">
        <v>89</v>
      </c>
      <c r="F27" s="52">
        <v>0</v>
      </c>
      <c r="G27" s="52">
        <v>-19369367</v>
      </c>
      <c r="H27" s="22">
        <v>0</v>
      </c>
      <c r="I27" s="15"/>
      <c r="J27" s="15"/>
      <c r="K27" s="15"/>
      <c r="L27" s="91">
        <v>166163600</v>
      </c>
      <c r="M27" s="91"/>
      <c r="N27" s="91"/>
      <c r="O27" s="15">
        <f t="shared" si="3"/>
        <v>146794233</v>
      </c>
    </row>
    <row r="28" spans="1:15" ht="22.5">
      <c r="A28" s="85" t="s">
        <v>24</v>
      </c>
      <c r="B28" s="80" t="s">
        <v>44</v>
      </c>
      <c r="C28" s="81">
        <v>1</v>
      </c>
      <c r="D28" s="82"/>
      <c r="E28" s="90" t="s">
        <v>90</v>
      </c>
      <c r="F28" s="52">
        <v>0</v>
      </c>
      <c r="G28" s="52">
        <v>0</v>
      </c>
      <c r="H28" s="22">
        <f>+F28+G28</f>
        <v>0</v>
      </c>
      <c r="I28" s="15"/>
      <c r="J28" s="15"/>
      <c r="K28" s="15"/>
      <c r="L28" s="91">
        <v>5190697</v>
      </c>
      <c r="M28" s="91">
        <v>963947415</v>
      </c>
      <c r="N28" s="91"/>
      <c r="O28" s="15">
        <f t="shared" si="3"/>
        <v>969138112</v>
      </c>
    </row>
    <row r="29" spans="1:15" ht="22.5">
      <c r="A29" s="85" t="s">
        <v>24</v>
      </c>
      <c r="B29" s="80" t="s">
        <v>45</v>
      </c>
      <c r="C29" s="81">
        <v>1</v>
      </c>
      <c r="D29" s="82"/>
      <c r="E29" s="90" t="s">
        <v>91</v>
      </c>
      <c r="F29" s="52">
        <v>0</v>
      </c>
      <c r="G29" s="52">
        <v>0</v>
      </c>
      <c r="H29" s="22">
        <v>0</v>
      </c>
      <c r="I29" s="15"/>
      <c r="J29" s="15"/>
      <c r="K29" s="15"/>
      <c r="L29" s="91">
        <v>4610085</v>
      </c>
      <c r="M29" s="91">
        <v>363504437</v>
      </c>
      <c r="N29" s="15"/>
      <c r="O29" s="15">
        <f t="shared" si="3"/>
        <v>368114522</v>
      </c>
    </row>
    <row r="30" spans="1:15" ht="22.5">
      <c r="A30" s="85" t="s">
        <v>24</v>
      </c>
      <c r="B30" s="80" t="s">
        <v>45</v>
      </c>
      <c r="C30" s="81">
        <v>2</v>
      </c>
      <c r="D30" s="82"/>
      <c r="E30" s="90" t="s">
        <v>95</v>
      </c>
      <c r="F30" s="52">
        <v>0</v>
      </c>
      <c r="G30" s="52">
        <v>-350000000</v>
      </c>
      <c r="H30" s="22">
        <v>0</v>
      </c>
      <c r="I30" s="15"/>
      <c r="J30" s="15"/>
      <c r="K30" s="15"/>
      <c r="L30" s="91">
        <v>2134602968</v>
      </c>
      <c r="M30" s="91">
        <v>2855109</v>
      </c>
      <c r="N30" s="15"/>
      <c r="O30" s="15">
        <f t="shared" si="3"/>
        <v>1787458077</v>
      </c>
    </row>
    <row r="31" spans="1:15" ht="22.5">
      <c r="A31" s="85" t="s">
        <v>24</v>
      </c>
      <c r="B31" s="80" t="s">
        <v>46</v>
      </c>
      <c r="C31" s="81">
        <v>1</v>
      </c>
      <c r="D31" s="82"/>
      <c r="E31" s="90" t="s">
        <v>92</v>
      </c>
      <c r="F31" s="52">
        <v>0</v>
      </c>
      <c r="G31" s="52">
        <v>0</v>
      </c>
      <c r="H31" s="22">
        <v>0</v>
      </c>
      <c r="I31" s="15"/>
      <c r="J31" s="15"/>
      <c r="K31" s="15"/>
      <c r="L31" s="92">
        <v>469117</v>
      </c>
      <c r="M31" s="91">
        <v>127900000</v>
      </c>
      <c r="N31" s="91">
        <v>2114195091</v>
      </c>
      <c r="O31" s="15">
        <f t="shared" si="3"/>
        <v>2242564208</v>
      </c>
    </row>
    <row r="32" spans="1:15" ht="22.5">
      <c r="A32" s="85" t="s">
        <v>24</v>
      </c>
      <c r="B32" s="80" t="s">
        <v>46</v>
      </c>
      <c r="C32" s="81">
        <v>2</v>
      </c>
      <c r="D32" s="82"/>
      <c r="E32" s="90" t="s">
        <v>94</v>
      </c>
      <c r="F32" s="52">
        <v>0</v>
      </c>
      <c r="G32" s="52">
        <v>0</v>
      </c>
      <c r="H32" s="22">
        <v>0</v>
      </c>
      <c r="I32" s="15"/>
      <c r="J32" s="15"/>
      <c r="K32" s="15"/>
      <c r="L32" s="91">
        <v>1445581568</v>
      </c>
      <c r="M32" s="15"/>
      <c r="N32" s="15"/>
      <c r="O32" s="15">
        <f t="shared" si="3"/>
        <v>1445581568</v>
      </c>
    </row>
    <row r="33" spans="1:15" ht="12.75">
      <c r="A33" s="85"/>
      <c r="B33" s="80"/>
      <c r="C33" s="81"/>
      <c r="D33" s="82"/>
      <c r="E33" s="84"/>
      <c r="F33" s="52"/>
      <c r="G33" s="52"/>
      <c r="H33" s="22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85"/>
      <c r="B34" s="80"/>
      <c r="C34" s="81"/>
      <c r="D34" s="82"/>
      <c r="E34" s="84" t="s">
        <v>96</v>
      </c>
      <c r="F34" s="52">
        <f>SUM(F21:F33)</f>
        <v>0</v>
      </c>
      <c r="G34" s="52">
        <f aca="true" t="shared" si="4" ref="G34:O34">SUM(G21:G33)</f>
        <v>-369369367</v>
      </c>
      <c r="H34" s="52">
        <f t="shared" si="4"/>
        <v>0</v>
      </c>
      <c r="I34" s="52">
        <f t="shared" si="4"/>
        <v>-452579556</v>
      </c>
      <c r="J34" s="52">
        <f t="shared" si="4"/>
        <v>749092163</v>
      </c>
      <c r="K34" s="52">
        <f t="shared" si="4"/>
        <v>0</v>
      </c>
      <c r="L34" s="52">
        <f t="shared" si="4"/>
        <v>21040338015</v>
      </c>
      <c r="M34" s="52">
        <f t="shared" si="4"/>
        <v>2166881493</v>
      </c>
      <c r="N34" s="52">
        <f t="shared" si="4"/>
        <v>2160032074</v>
      </c>
      <c r="O34" s="52">
        <f t="shared" si="4"/>
        <v>25294394822</v>
      </c>
    </row>
    <row r="35" spans="1:15" ht="12.75">
      <c r="A35" s="85" t="s">
        <v>1</v>
      </c>
      <c r="B35" s="80"/>
      <c r="C35" s="81"/>
      <c r="D35" s="82"/>
      <c r="E35" s="56"/>
      <c r="F35" s="52"/>
      <c r="G35" s="52" t="s">
        <v>1</v>
      </c>
      <c r="H35" s="22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86"/>
      <c r="B36" s="80"/>
      <c r="C36" s="81"/>
      <c r="D36" s="82"/>
      <c r="E36" s="56" t="s">
        <v>69</v>
      </c>
      <c r="F36" s="52">
        <f>+F18+F34</f>
        <v>14570332312</v>
      </c>
      <c r="G36" s="52">
        <f aca="true" t="shared" si="5" ref="G36:O36">+G18+G34</f>
        <v>-11381639890</v>
      </c>
      <c r="H36" s="52">
        <f t="shared" si="5"/>
        <v>-13532513454</v>
      </c>
      <c r="I36" s="52">
        <f t="shared" si="5"/>
        <v>-453098238</v>
      </c>
      <c r="J36" s="52">
        <f t="shared" si="5"/>
        <v>13861332758</v>
      </c>
      <c r="K36" s="52">
        <f t="shared" si="5"/>
        <v>771935666</v>
      </c>
      <c r="L36" s="52">
        <f t="shared" si="5"/>
        <v>21040338015</v>
      </c>
      <c r="M36" s="52">
        <f t="shared" si="5"/>
        <v>2166881493</v>
      </c>
      <c r="N36" s="52">
        <f t="shared" si="5"/>
        <v>2160032074</v>
      </c>
      <c r="O36" s="52">
        <f t="shared" si="5"/>
        <v>29203600736</v>
      </c>
    </row>
    <row r="37" spans="1:15" ht="12.75">
      <c r="A37" s="54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2020-01-31T12:55:49Z</cp:lastPrinted>
  <dcterms:created xsi:type="dcterms:W3CDTF">2007-01-13T18:42:48Z</dcterms:created>
  <dcterms:modified xsi:type="dcterms:W3CDTF">2021-03-18T21:40:51Z</dcterms:modified>
  <cp:category/>
  <cp:version/>
  <cp:contentType/>
  <cp:contentStatus/>
</cp:coreProperties>
</file>