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FUNCIONAMIENTO " sheetId="1" r:id="rId1"/>
    <sheet name="Hoja1" sheetId="2" state="hidden" r:id="rId2"/>
    <sheet name="Hoja2" sheetId="3" state="hidden" r:id="rId3"/>
    <sheet name="INVERSION" sheetId="4" r:id="rId4"/>
    <sheet name="Hoja3" sheetId="5" state="hidden" r:id="rId5"/>
  </sheets>
  <externalReferences>
    <externalReference r:id="rId8"/>
    <externalReference r:id="rId9"/>
    <externalReference r:id="rId10"/>
  </externalReferences>
  <definedNames>
    <definedName name="_xlnm.Print_Area" localSheetId="3">'INVERSION'!$A$1:$J$21</definedName>
  </definedNames>
  <calcPr fullCalcOnLoad="1"/>
</workbook>
</file>

<file path=xl/sharedStrings.xml><?xml version="1.0" encoding="utf-8"?>
<sst xmlns="http://schemas.openxmlformats.org/spreadsheetml/2006/main" count="469" uniqueCount="172">
  <si>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</si>
  <si>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</si>
  <si>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</si>
  <si>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</si>
  <si>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</si>
  <si>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</si>
  <si>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</si>
  <si>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</si>
  <si>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</si>
  <si>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</si>
  <si>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</si>
  <si>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</si>
  <si>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</si>
  <si>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</si>
  <si>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</si>
  <si>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</si>
  <si>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</si>
  <si>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</si>
  <si>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</si>
  <si>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</si>
  <si>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</si>
  <si>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</si>
  <si>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</si>
  <si>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</si>
  <si>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</si>
  <si>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</si>
  <si>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</si>
  <si>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</si>
  <si>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</si>
  <si>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</si>
  <si>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</si>
  <si>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</si>
  <si>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</si>
  <si>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</si>
  <si>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</si>
  <si>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</si>
  <si>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</si>
  <si>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</si>
  <si>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</si>
  <si>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</si>
  <si>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</si>
  <si>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</si>
  <si>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</si>
  <si>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</si>
  <si>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</si>
  <si>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</si>
  <si>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</si>
  <si>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</si>
  <si>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</si>
  <si>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</si>
  <si>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</si>
  <si>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</si>
  <si>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</si>
  <si>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</si>
  <si>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</si>
  <si>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</si>
  <si>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</si>
  <si>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</si>
  <si>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</si>
  <si>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</si>
  <si>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</si>
  <si>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</si>
  <si>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</si>
  <si>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</si>
  <si>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</si>
  <si>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</si>
  <si>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</si>
  <si>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</si>
  <si>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</si>
  <si>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</si>
  <si>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</si>
  <si>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</si>
  <si>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</si>
  <si>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</si>
  <si>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</si>
  <si>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</si>
  <si>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</si>
  <si>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</si>
  <si>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</si>
  <si>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</si>
  <si>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</si>
  <si>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</si>
  <si>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</si>
  <si>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SALDO DE APROPIACION</t>
  </si>
  <si>
    <t>SALDO  DE</t>
  </si>
  <si>
    <t>APROPIACION</t>
  </si>
  <si>
    <t>PAGOS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</si>
  <si>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</si>
  <si>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</si>
  <si>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</si>
  <si>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</si>
  <si>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</si>
  <si>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</si>
  <si>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</si>
  <si>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</si>
  <si>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</si>
  <si>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6,1 CAM Modelo de Gestion Corporativa</t>
  </si>
  <si>
    <t>NUEVO PLAN DE ACCION</t>
  </si>
  <si>
    <t>6,2 Educacion Ambiental Opita de Corazon</t>
  </si>
  <si>
    <t>5,2 Gestion del Riesgo de Desastres</t>
  </si>
  <si>
    <t>TOTAL NUEVO PLAN ACCION</t>
  </si>
  <si>
    <t>TOTAL PLAN ACCION VIEJO</t>
  </si>
  <si>
    <t>SALDO DE  APROPIACION</t>
  </si>
  <si>
    <t>OTROS</t>
  </si>
  <si>
    <t>BONIFICACION SERVICIOS PRESTADOS</t>
  </si>
  <si>
    <t>BONIFICACION ESPECIAL POR RECREACION</t>
  </si>
  <si>
    <t>SUBSIDIO DE ALIMENTACION</t>
  </si>
  <si>
    <t>SUBSIDIO DE TRANSPORTE</t>
  </si>
  <si>
    <t>PRIMA DE SERVICIOS</t>
  </si>
  <si>
    <t>PRIMA DE VACACIONES</t>
  </si>
  <si>
    <t>PRIMA DE NAVIDAD</t>
  </si>
  <si>
    <t>BONIFICACION POR COORDINACION</t>
  </si>
  <si>
    <t>SERVICIOS PERSONALES INDIRECTOS</t>
  </si>
  <si>
    <t>GASTOS PERSONAL SUPERNUMERARIO</t>
  </si>
  <si>
    <t>HONORARIOS</t>
  </si>
  <si>
    <t>REMUNERACION SERVICIOS TECNICOS</t>
  </si>
  <si>
    <t>ADQUISICION DE BIENES</t>
  </si>
  <si>
    <t>COMPRA DE EQUIPO</t>
  </si>
  <si>
    <t>MATERIALES Y SUMINISTROS</t>
  </si>
  <si>
    <t>ADQUISICION DE SERVICIOS</t>
  </si>
  <si>
    <t>GASTOS GENERALES</t>
  </si>
  <si>
    <t>MANTENIMIENTO</t>
  </si>
  <si>
    <t>COMUNICACIONES Y TRANSPORTE</t>
  </si>
  <si>
    <t>IMPRESOS Y PUBLICACIONES</t>
  </si>
  <si>
    <t>SERVICIOS PUBLICOS</t>
  </si>
  <si>
    <t>SEGUROS</t>
  </si>
  <si>
    <t>ARRENDAMIENTOS</t>
  </si>
  <si>
    <t>VIATICOS Y GASTOS DE VIAJES</t>
  </si>
  <si>
    <t>IMPREVISTOS</t>
  </si>
  <si>
    <t>BIENESTAR SOCIAL Y CAPACITACION</t>
  </si>
  <si>
    <t>IMPUESTOS MULTAS Y TASAS</t>
  </si>
  <si>
    <t>RP</t>
  </si>
  <si>
    <t>Nacion</t>
  </si>
  <si>
    <t>APOPIACION INICIAL</t>
  </si>
  <si>
    <t>CONTRACREDITO</t>
  </si>
  <si>
    <t>ADICIONES</t>
  </si>
  <si>
    <t>CREDITOS</t>
  </si>
  <si>
    <t>23-01-01-03-07</t>
  </si>
  <si>
    <t>CUENCAS</t>
  </si>
  <si>
    <t>APOPIACION  INICIAL</t>
  </si>
  <si>
    <t>CONTRACREDITOS</t>
  </si>
  <si>
    <t>23-01-01-03-09</t>
  </si>
  <si>
    <t>REFORESTACION</t>
  </si>
  <si>
    <t>23-01-01-01-03-11</t>
  </si>
  <si>
    <t>SANEAMIENTO</t>
  </si>
  <si>
    <t>23-01-02-03</t>
  </si>
  <si>
    <t>FORTALECIMIENTO</t>
  </si>
  <si>
    <t>23-03-01-03</t>
  </si>
  <si>
    <t>EDUCACION AMNIENTAL</t>
  </si>
  <si>
    <t>23-04-03-02</t>
  </si>
  <si>
    <t>ASESORIAS</t>
  </si>
  <si>
    <t>23-02-01-01-98</t>
  </si>
  <si>
    <t>TOTALES</t>
  </si>
  <si>
    <t>EJECUCION</t>
  </si>
  <si>
    <t>01-01-900-01 Ordenamiento y Admon RH y Cuencas Hidrograficas</t>
  </si>
  <si>
    <t>01-01-900-02 Recuperacion de Cuencas Hidrograficas</t>
  </si>
  <si>
    <t>01-01-900-03 descontaminacion de Fuentes Hidricas</t>
  </si>
  <si>
    <t>02-02-900-01 Conocimiento y Planificacion de Ecosistemas Estrategicos</t>
  </si>
  <si>
    <t>02-02-900-02 Conservacion y Recuperacion de Ecosistemas Estrategicos y su Biodiversidad</t>
  </si>
  <si>
    <t>03-03-900-01 Crecimiento Verde de Sectores Productivos</t>
  </si>
  <si>
    <t>03-03-900-02 Areas  Urbanas Sostenibles y Resilientes</t>
  </si>
  <si>
    <t>04-04-900-01 Control y vigilancia Ambiental</t>
  </si>
  <si>
    <t>05-05-900-01 Planificacion Ambiental Territorial</t>
  </si>
  <si>
    <t>05-05-900-02 Gestion d eRiesgo de Desastres</t>
  </si>
  <si>
    <t>06-06-900-01 Modelo de Gestion Corporativa</t>
  </si>
  <si>
    <t>06-06-900-02 Educacion Ambiental Opirta de Corazon</t>
  </si>
  <si>
    <t>03-03-900-01 Crecimiento Verde de Sectores Productivos vigencias expiradas</t>
  </si>
  <si>
    <t>OBLIGACIONES</t>
  </si>
  <si>
    <t>Implementacion de medidas de mitigacion para promover un desarrollo y ordenamiento resiliente al cliam sobre carbono em arco de la politica nacional del cambio climatico  en 23 municipios del departamento del huila</t>
  </si>
  <si>
    <t>EJECUCION PRESUPUESTAL GASTOS DE INVERSION RECURSOS PROPIOS A SEPTIEMBRE 30 DE 2018</t>
  </si>
  <si>
    <t>EJECUCION PRESUPUESTAL GASTOS DE INVERSION RECURSOS NACION  A SEPTIEMBRE 30 DE 2018</t>
  </si>
  <si>
    <t>EJECUCION PRESUPUESTAL A SEPTIEMBRE 30 DE 2018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</si>
</sst>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;[Red]0.00"/>
    <numFmt numFmtId="189" formatCode="#,##0.00;[Red]#,##0.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#,##0.000"/>
    <numFmt numFmtId="196" formatCode="_(* #,##0_);_(* \(#,##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5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5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wrapText="1"/>
      <protection locked="0"/>
    </xf>
    <xf numFmtId="3" fontId="0" fillId="0" borderId="16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3" fontId="46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Fill="1" applyAlignment="1">
      <alignment/>
    </xf>
    <xf numFmtId="196" fontId="0" fillId="0" borderId="10" xfId="49" applyNumberFormat="1" applyFont="1" applyFill="1" applyBorder="1" applyAlignment="1">
      <alignment horizontal="center" vertical="center"/>
    </xf>
    <xf numFmtId="190" fontId="45" fillId="0" borderId="10" xfId="55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justify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4" fontId="0" fillId="34" borderId="10" xfId="0" applyNumberForma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vertical="center" wrapText="1"/>
    </xf>
    <xf numFmtId="4" fontId="0" fillId="34" borderId="10" xfId="0" applyNumberFormat="1" applyFont="1" applyFill="1" applyBorder="1" applyAlignment="1">
      <alignment vertical="center" wrapText="1"/>
    </xf>
    <xf numFmtId="3" fontId="0" fillId="34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 applyProtection="1">
      <alignment wrapText="1"/>
      <protection locked="0"/>
    </xf>
    <xf numFmtId="3" fontId="27" fillId="0" borderId="10" xfId="49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4" fontId="0" fillId="0" borderId="25" xfId="0" applyNumberForma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4" fontId="0" fillId="0" borderId="28" xfId="0" applyNumberFormat="1" applyFill="1" applyBorder="1" applyAlignment="1">
      <alignment horizontal="center" vertical="center"/>
    </xf>
    <xf numFmtId="190" fontId="27" fillId="0" borderId="29" xfId="55" applyNumberFormat="1" applyFont="1" applyBorder="1" applyAlignment="1">
      <alignment vertical="center"/>
    </xf>
    <xf numFmtId="3" fontId="1" fillId="0" borderId="18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3" fontId="3" fillId="0" borderId="25" xfId="0" applyNumberFormat="1" applyFont="1" applyFill="1" applyBorder="1" applyAlignment="1" applyProtection="1">
      <alignment vertical="center"/>
      <protection/>
    </xf>
    <xf numFmtId="3" fontId="3" fillId="0" borderId="28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ejeuciones\DIRECTOR\ANASIS%20DIRECTIVO%20CAM%20a%20ABRIL1%20consolidado%20SRCA-SGA-OPL%20%20ajusta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eusto2018\EJECUCIONES\SEPTIEMBRE\EJECUCIONINGRESOSSEPTIEM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16">
          <cell r="B16">
            <v>250000000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INGRESOS A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6"/>
  <sheetViews>
    <sheetView tabSelected="1" zoomScalePageLayoutView="0" workbookViewId="0" topLeftCell="A43">
      <selection activeCell="G64" sqref="G64:T75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59" customWidth="1"/>
    <col min="9" max="9" width="19.7109375" style="59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9" width="15.140625" style="0" hidden="1" customWidth="1"/>
    <col min="20" max="20" width="16.00390625" style="0" customWidth="1"/>
    <col min="21" max="21" width="16.00390625" style="0" hidden="1" customWidth="1"/>
    <col min="22" max="23" width="16.00390625" style="0" customWidth="1"/>
    <col min="24" max="24" width="18.8515625" style="0" customWidth="1"/>
    <col min="25" max="25" width="0" style="0" hidden="1" customWidth="1"/>
    <col min="26" max="26" width="18.57421875" style="0" customWidth="1"/>
    <col min="27" max="27" width="12.7109375" style="0" bestFit="1" customWidth="1"/>
  </cols>
  <sheetData>
    <row r="1" spans="1:53" ht="12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1:53" ht="12.75">
      <c r="A2" s="148" t="s">
        <v>171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</row>
    <row r="3" spans="1:53" ht="12.75">
      <c r="A3" s="148" t="s">
        <v>78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</row>
    <row r="4" spans="1:53" ht="12.75">
      <c r="A4" s="2"/>
      <c r="B4" s="2"/>
      <c r="C4" s="2"/>
      <c r="D4" s="2"/>
      <c r="E4" s="2"/>
      <c r="F4" s="2"/>
      <c r="G4" s="2"/>
      <c r="H4" s="12"/>
      <c r="I4" s="12"/>
      <c r="J4" s="2"/>
      <c r="K4" s="2"/>
      <c r="L4" s="2"/>
      <c r="M4" s="28"/>
      <c r="N4" s="28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</row>
    <row r="5" spans="1:53" ht="12.75">
      <c r="A5" s="3"/>
      <c r="B5" s="18" t="s">
        <v>6</v>
      </c>
      <c r="C5" s="3"/>
      <c r="D5" s="3" t="s">
        <v>7</v>
      </c>
      <c r="E5" s="3"/>
      <c r="F5" s="8"/>
      <c r="G5" s="18" t="s">
        <v>3</v>
      </c>
      <c r="H5" s="10" t="s">
        <v>2</v>
      </c>
      <c r="I5" s="10" t="s">
        <v>3</v>
      </c>
      <c r="J5" s="86" t="s">
        <v>76</v>
      </c>
      <c r="K5" s="86" t="s">
        <v>35</v>
      </c>
      <c r="L5" s="14" t="s">
        <v>36</v>
      </c>
      <c r="M5" s="27" t="s">
        <v>47</v>
      </c>
      <c r="N5" s="75" t="s">
        <v>77</v>
      </c>
      <c r="O5" s="2"/>
      <c r="P5" s="2"/>
      <c r="Q5" s="2"/>
      <c r="R5" s="2"/>
      <c r="S5" s="18" t="s">
        <v>76</v>
      </c>
      <c r="T5" s="18" t="s">
        <v>35</v>
      </c>
      <c r="U5" s="18" t="s">
        <v>86</v>
      </c>
      <c r="V5" s="18" t="s">
        <v>167</v>
      </c>
      <c r="W5" s="18" t="s">
        <v>86</v>
      </c>
      <c r="X5" s="18" t="s">
        <v>79</v>
      </c>
      <c r="Y5" s="18"/>
      <c r="Z5" s="18" t="s">
        <v>74</v>
      </c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</row>
    <row r="6" spans="1:53" ht="12.75">
      <c r="A6" s="3"/>
      <c r="B6" s="3"/>
      <c r="C6" s="3"/>
      <c r="D6" s="3" t="s">
        <v>8</v>
      </c>
      <c r="E6" s="3"/>
      <c r="F6" s="18" t="s">
        <v>9</v>
      </c>
      <c r="G6" s="18" t="s">
        <v>4</v>
      </c>
      <c r="H6" s="10" t="s">
        <v>10</v>
      </c>
      <c r="I6" s="10" t="s">
        <v>5</v>
      </c>
      <c r="J6" s="10" t="s">
        <v>1</v>
      </c>
      <c r="K6" s="26"/>
      <c r="L6" s="14" t="s">
        <v>40</v>
      </c>
      <c r="M6" s="76" t="s">
        <v>76</v>
      </c>
      <c r="N6" s="75" t="s">
        <v>35</v>
      </c>
      <c r="O6" s="2"/>
      <c r="P6" s="2"/>
      <c r="Q6" s="2"/>
      <c r="R6" s="2"/>
      <c r="S6" s="2"/>
      <c r="T6" s="18"/>
      <c r="U6" s="18"/>
      <c r="V6" s="18"/>
      <c r="W6" s="18"/>
      <c r="X6" s="18" t="s">
        <v>80</v>
      </c>
      <c r="Y6" s="18"/>
      <c r="Z6" s="18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</row>
    <row r="7" spans="1:53" ht="12.75">
      <c r="A7" s="3"/>
      <c r="B7" s="3"/>
      <c r="C7" s="3"/>
      <c r="D7" s="3" t="s">
        <v>11</v>
      </c>
      <c r="E7" s="3"/>
      <c r="F7" s="8"/>
      <c r="G7" s="18" t="s">
        <v>1</v>
      </c>
      <c r="H7" s="14" t="s">
        <v>26</v>
      </c>
      <c r="I7" s="27" t="s">
        <v>1</v>
      </c>
      <c r="J7" s="27" t="s">
        <v>1</v>
      </c>
      <c r="K7" s="27"/>
      <c r="L7" s="15"/>
      <c r="M7" s="28"/>
      <c r="N7" s="28"/>
      <c r="O7" s="2"/>
      <c r="P7" s="2"/>
      <c r="Q7" s="2"/>
      <c r="R7" s="2"/>
      <c r="S7" s="2"/>
      <c r="T7" s="4" t="s">
        <v>1</v>
      </c>
      <c r="U7" s="2"/>
      <c r="V7" s="2"/>
      <c r="W7" s="2"/>
      <c r="X7" s="2"/>
      <c r="Y7" s="2"/>
      <c r="Z7" s="2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</row>
    <row r="8" spans="1:53" ht="12.75">
      <c r="A8" s="8"/>
      <c r="B8" s="8"/>
      <c r="C8" s="8"/>
      <c r="D8" s="8"/>
      <c r="E8" s="8"/>
      <c r="F8" s="8"/>
      <c r="G8" s="9" t="s">
        <v>1</v>
      </c>
      <c r="H8" s="16" t="s">
        <v>1</v>
      </c>
      <c r="I8" s="19" t="s">
        <v>1</v>
      </c>
      <c r="J8" s="19" t="s">
        <v>1</v>
      </c>
      <c r="K8" s="19" t="s">
        <v>1</v>
      </c>
      <c r="L8" s="87"/>
      <c r="M8" s="28"/>
      <c r="N8" s="28"/>
      <c r="O8" s="2"/>
      <c r="P8" s="2"/>
      <c r="Q8" s="2"/>
      <c r="R8" s="2"/>
      <c r="S8" s="2"/>
      <c r="T8" s="9" t="s">
        <v>1</v>
      </c>
      <c r="U8" s="9"/>
      <c r="V8" s="9"/>
      <c r="W8" s="9"/>
      <c r="X8" s="2"/>
      <c r="Y8" s="2"/>
      <c r="Z8" s="2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</row>
    <row r="9" spans="1:53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6440852095</v>
      </c>
      <c r="H9" s="13">
        <f>SUM(H10+H23+H27)</f>
        <v>688135252</v>
      </c>
      <c r="I9" s="19">
        <f>+G9+H9</f>
        <v>7128987347</v>
      </c>
      <c r="J9" s="20">
        <f>SUM(J10+J23+J27)</f>
        <v>2514035997</v>
      </c>
      <c r="K9" s="20">
        <f>SUM(K10+K23+K27)</f>
        <v>2514035997</v>
      </c>
      <c r="L9" s="87">
        <f aca="true" t="shared" si="0" ref="L9:L31">+I9-J9</f>
        <v>4614951350</v>
      </c>
      <c r="M9" s="28">
        <f aca="true" t="shared" si="1" ref="M9:M31">+J9/I9*100</f>
        <v>35.26498048924086</v>
      </c>
      <c r="N9" s="28">
        <f>+K9/I9*100</f>
        <v>35.26498048924086</v>
      </c>
      <c r="O9" s="2"/>
      <c r="P9" s="2"/>
      <c r="Q9" s="2"/>
      <c r="R9" s="2"/>
      <c r="S9" s="4">
        <f>SUM(S10+S23+S27)</f>
        <v>3228996405</v>
      </c>
      <c r="T9" s="4">
        <f>SUM(T10+T23+T27)</f>
        <v>4093033080</v>
      </c>
      <c r="U9" s="4">
        <f>SUM(U10+U23+U27)</f>
        <v>3061828261</v>
      </c>
      <c r="V9" s="4">
        <f>SUM(V10+V23+V27)</f>
        <v>3526251609</v>
      </c>
      <c r="W9" s="4">
        <f>SUM(W10+W23+W27)</f>
        <v>3522304653</v>
      </c>
      <c r="X9" s="32">
        <f aca="true" t="shared" si="2" ref="X9:X31">+I9-T9</f>
        <v>3035954267</v>
      </c>
      <c r="Y9" s="2"/>
      <c r="Z9" s="28">
        <f aca="true" t="shared" si="3" ref="Z9:Z14">+T9/I9*100</f>
        <v>57.41394788310878</v>
      </c>
      <c r="AA9" s="34" t="s">
        <v>1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</row>
    <row r="10" spans="1:53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2466640099</v>
      </c>
      <c r="H10" s="13">
        <f>SUM(H11+H18+H19+H20+H21+H22)</f>
        <v>154248075</v>
      </c>
      <c r="I10" s="19">
        <f>+G10+H10</f>
        <v>2620888174</v>
      </c>
      <c r="J10" s="20">
        <f>SUM(J11+J18+J19+J20+J21+J22)</f>
        <v>874418338</v>
      </c>
      <c r="K10" s="20">
        <f>SUM(K11+K18+K19+K20+K21+K22)</f>
        <v>874418338</v>
      </c>
      <c r="L10" s="87">
        <f t="shared" si="0"/>
        <v>1746469836</v>
      </c>
      <c r="M10" s="28">
        <f t="shared" si="1"/>
        <v>33.3634355969283</v>
      </c>
      <c r="N10" s="28">
        <f aca="true" t="shared" si="4" ref="N10:N31">+K10/I10*100</f>
        <v>33.3634355969283</v>
      </c>
      <c r="O10" s="2"/>
      <c r="P10" s="2"/>
      <c r="Q10" s="2"/>
      <c r="R10" s="2"/>
      <c r="S10" s="4">
        <f>SUM(S11+S18+S19+S20+S21+S22)</f>
        <v>1282797323</v>
      </c>
      <c r="T10" s="4">
        <f>SUM(T11+T18+T19+T20+T21+T22)</f>
        <v>1335315444</v>
      </c>
      <c r="U10" s="4">
        <f>SUM(U11+U18+U19+U20+U21+U22)</f>
        <v>817908944</v>
      </c>
      <c r="V10" s="4">
        <f>SUM(V11+V18+V19+V20+V21+V22)</f>
        <v>999715813</v>
      </c>
      <c r="W10" s="4">
        <f>SUM(W11+W18+W19+W20+W21+W22)</f>
        <v>995768857</v>
      </c>
      <c r="X10" s="32">
        <f t="shared" si="2"/>
        <v>1285572730</v>
      </c>
      <c r="Y10" s="2"/>
      <c r="Z10" s="28">
        <f t="shared" si="3"/>
        <v>50.94896673756367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</row>
    <row r="11" spans="1:53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1212342446</v>
      </c>
      <c r="H11" s="4">
        <f>SUM(H12:H17)</f>
        <v>62000000</v>
      </c>
      <c r="I11" s="19">
        <f aca="true" t="shared" si="5" ref="I11:I31">+G11+H11</f>
        <v>1274342446</v>
      </c>
      <c r="J11" s="20">
        <f>SUM(J12:J17)</f>
        <v>463627287</v>
      </c>
      <c r="K11" s="20">
        <f>SUM(K12:K17)</f>
        <v>463627287</v>
      </c>
      <c r="L11" s="87">
        <f t="shared" si="0"/>
        <v>810715159</v>
      </c>
      <c r="M11" s="28">
        <f t="shared" si="1"/>
        <v>36.38168754837191</v>
      </c>
      <c r="N11" s="28">
        <f t="shared" si="4"/>
        <v>36.38168754837191</v>
      </c>
      <c r="O11" s="2"/>
      <c r="P11" s="2"/>
      <c r="Q11" s="2"/>
      <c r="R11" s="2"/>
      <c r="S11" s="4">
        <f>SUM(S12:S17)</f>
        <v>462143059</v>
      </c>
      <c r="T11" s="4">
        <f>SUM(T12:T17)</f>
        <v>407198573</v>
      </c>
      <c r="U11" s="4">
        <f>SUM(U12:U17)</f>
        <v>351369746</v>
      </c>
      <c r="V11" s="4">
        <f>SUM(V12:V17)</f>
        <v>401984457</v>
      </c>
      <c r="W11" s="4">
        <f>SUM(W12:W17)</f>
        <v>401984457</v>
      </c>
      <c r="X11" s="32">
        <f t="shared" si="2"/>
        <v>867143873</v>
      </c>
      <c r="Y11" s="2"/>
      <c r="Z11" s="28">
        <f t="shared" si="3"/>
        <v>31.953622378203356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715736250</v>
      </c>
      <c r="H12" s="13">
        <v>0</v>
      </c>
      <c r="I12" s="19">
        <f t="shared" si="5"/>
        <v>715736250</v>
      </c>
      <c r="J12" s="20">
        <v>280609080</v>
      </c>
      <c r="K12" s="20">
        <v>280609080</v>
      </c>
      <c r="L12" s="87">
        <f t="shared" si="0"/>
        <v>435127170</v>
      </c>
      <c r="M12" s="28">
        <f t="shared" si="1"/>
        <v>39.20565431749475</v>
      </c>
      <c r="N12" s="28">
        <f t="shared" si="4"/>
        <v>39.20565431749475</v>
      </c>
      <c r="O12" s="2"/>
      <c r="P12" s="2"/>
      <c r="Q12" s="2"/>
      <c r="R12" s="2"/>
      <c r="S12" s="4">
        <v>177733386</v>
      </c>
      <c r="T12" s="4">
        <v>159379463</v>
      </c>
      <c r="U12" s="4">
        <f>+T12</f>
        <v>159379463</v>
      </c>
      <c r="V12" s="4">
        <v>154166262</v>
      </c>
      <c r="W12" s="4">
        <f>+V12</f>
        <v>154166262</v>
      </c>
      <c r="X12" s="32">
        <f>+I12-T12</f>
        <v>556356787</v>
      </c>
      <c r="Y12" s="2"/>
      <c r="Z12" s="28">
        <f t="shared" si="3"/>
        <v>22.2679042733968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</row>
    <row r="13" spans="1:53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151880640</v>
      </c>
      <c r="H13" s="13">
        <v>0</v>
      </c>
      <c r="I13" s="19">
        <f t="shared" si="5"/>
        <v>151880640</v>
      </c>
      <c r="J13" s="20">
        <v>41107639</v>
      </c>
      <c r="K13" s="20">
        <v>41107639</v>
      </c>
      <c r="L13" s="87">
        <f t="shared" si="0"/>
        <v>110773001</v>
      </c>
      <c r="M13" s="28">
        <f t="shared" si="1"/>
        <v>27.06575308084032</v>
      </c>
      <c r="N13" s="28">
        <f t="shared" si="4"/>
        <v>27.06575308084032</v>
      </c>
      <c r="O13" s="2"/>
      <c r="P13" s="2"/>
      <c r="Q13" s="2"/>
      <c r="R13" s="2"/>
      <c r="S13" s="4">
        <v>78846525</v>
      </c>
      <c r="T13" s="4">
        <v>83156684</v>
      </c>
      <c r="U13" s="4">
        <f>+T13</f>
        <v>83156684</v>
      </c>
      <c r="V13" s="4">
        <f>+T13</f>
        <v>83156684</v>
      </c>
      <c r="W13" s="4">
        <f>+V13</f>
        <v>83156684</v>
      </c>
      <c r="X13" s="32">
        <f t="shared" si="2"/>
        <v>68723956</v>
      </c>
      <c r="Y13" s="2"/>
      <c r="Z13" s="28">
        <f t="shared" si="3"/>
        <v>54.75133894616193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</row>
    <row r="14" spans="1:53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14603925</v>
      </c>
      <c r="H14" s="13">
        <v>35200000</v>
      </c>
      <c r="I14" s="19">
        <f t="shared" si="5"/>
        <v>49803925</v>
      </c>
      <c r="J14" s="20">
        <v>27219355</v>
      </c>
      <c r="K14" s="20">
        <v>27219355</v>
      </c>
      <c r="L14" s="87">
        <f t="shared" si="0"/>
        <v>22584570</v>
      </c>
      <c r="M14" s="28">
        <f t="shared" si="1"/>
        <v>54.653031864456466</v>
      </c>
      <c r="N14" s="28">
        <f t="shared" si="4"/>
        <v>54.653031864456466</v>
      </c>
      <c r="O14" s="2"/>
      <c r="P14" s="2"/>
      <c r="Q14" s="2"/>
      <c r="R14" s="2"/>
      <c r="S14" s="4">
        <v>31783291</v>
      </c>
      <c r="T14" s="4">
        <v>11074452</v>
      </c>
      <c r="U14" s="4">
        <f>+T14</f>
        <v>11074452</v>
      </c>
      <c r="V14" s="4">
        <v>11074136</v>
      </c>
      <c r="W14" s="4">
        <f>+V14</f>
        <v>11074136</v>
      </c>
      <c r="X14" s="32">
        <f t="shared" si="2"/>
        <v>38729473</v>
      </c>
      <c r="Y14" s="2"/>
      <c r="Z14" s="28">
        <f t="shared" si="3"/>
        <v>22.236102877433858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</row>
    <row r="15" spans="1:53" ht="12.75" hidden="1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82</v>
      </c>
      <c r="G15" s="4">
        <v>0</v>
      </c>
      <c r="H15" s="13">
        <v>0</v>
      </c>
      <c r="I15" s="19">
        <f t="shared" si="5"/>
        <v>0</v>
      </c>
      <c r="J15" s="20"/>
      <c r="K15" s="20"/>
      <c r="L15" s="87"/>
      <c r="M15" s="28"/>
      <c r="N15" s="28"/>
      <c r="O15" s="2"/>
      <c r="P15" s="2"/>
      <c r="Q15" s="2"/>
      <c r="R15" s="2"/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32">
        <f t="shared" si="2"/>
        <v>0</v>
      </c>
      <c r="Y15" s="2"/>
      <c r="Z15" s="28">
        <v>0</v>
      </c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</row>
    <row r="16" spans="1:53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75558997</v>
      </c>
      <c r="H16" s="13">
        <v>0</v>
      </c>
      <c r="I16" s="19">
        <f t="shared" si="5"/>
        <v>75558997</v>
      </c>
      <c r="J16" s="20">
        <v>27788267</v>
      </c>
      <c r="K16" s="20">
        <v>27788267</v>
      </c>
      <c r="L16" s="87">
        <f t="shared" si="0"/>
        <v>47770730</v>
      </c>
      <c r="M16" s="28">
        <f t="shared" si="1"/>
        <v>36.776913542142445</v>
      </c>
      <c r="N16" s="28">
        <f t="shared" si="4"/>
        <v>36.776913542142445</v>
      </c>
      <c r="O16" s="2"/>
      <c r="P16" s="2"/>
      <c r="Q16" s="2"/>
      <c r="R16" s="2"/>
      <c r="S16" s="4">
        <v>22501709</v>
      </c>
      <c r="T16" s="4">
        <v>22386283</v>
      </c>
      <c r="U16" s="4">
        <f>+T16</f>
        <v>22386283</v>
      </c>
      <c r="V16" s="4">
        <f>+T16</f>
        <v>22386283</v>
      </c>
      <c r="W16" s="4">
        <f aca="true" t="shared" si="6" ref="W16:W22">+V16</f>
        <v>22386283</v>
      </c>
      <c r="X16" s="32">
        <f t="shared" si="2"/>
        <v>53172714</v>
      </c>
      <c r="Y16" s="2"/>
      <c r="Z16" s="28">
        <f aca="true" t="shared" si="7" ref="Z16:Z31">+T16/I16*100</f>
        <v>29.62755447905165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</row>
    <row r="17" spans="1:53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v>254562634</v>
      </c>
      <c r="H17" s="13">
        <f>154248075-92248075-35200000</f>
        <v>26800000</v>
      </c>
      <c r="I17" s="19">
        <f t="shared" si="5"/>
        <v>281362634</v>
      </c>
      <c r="J17" s="20">
        <f>27426668+5021569+4212743+4351738+8459317+29105125+3195198+5130588</f>
        <v>86902946</v>
      </c>
      <c r="K17" s="20">
        <f>27426668+5021569+4212743+4351738+8459317+29105125+3195198+5130588</f>
        <v>86902946</v>
      </c>
      <c r="L17" s="87">
        <f t="shared" si="0"/>
        <v>194459688</v>
      </c>
      <c r="M17" s="28">
        <f t="shared" si="1"/>
        <v>30.886455946385542</v>
      </c>
      <c r="N17" s="28">
        <f t="shared" si="4"/>
        <v>30.886455946385542</v>
      </c>
      <c r="O17" s="28"/>
      <c r="P17" s="2"/>
      <c r="Q17" s="2"/>
      <c r="R17" s="2"/>
      <c r="S17" s="4">
        <f>40740946+9020349+4795124+4354946+19078981+56559356+7733197+8995249</f>
        <v>151278148</v>
      </c>
      <c r="T17" s="4">
        <f>44067859+8072908+5683947+5353575+28821268+12974988+26227146</f>
        <v>131201691</v>
      </c>
      <c r="U17" s="4">
        <f>25111629+5550438+3050430+2763525+3442123+27188939+3132962+5132818</f>
        <v>75372864</v>
      </c>
      <c r="V17" s="4">
        <f>44067576+8072908+5683947+5353575+28820952+12974988+26227146</f>
        <v>131201092</v>
      </c>
      <c r="W17" s="4">
        <f>44067576+8072908+5683947+5353575+28820952+12974988+26227146</f>
        <v>131201092</v>
      </c>
      <c r="X17" s="32">
        <f t="shared" si="2"/>
        <v>150160943</v>
      </c>
      <c r="Y17" s="2"/>
      <c r="Z17" s="28">
        <f t="shared" si="7"/>
        <v>46.63081559010426</v>
      </c>
      <c r="AA17" s="34" t="s">
        <v>1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</row>
    <row r="18" spans="1:53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v>675056925</v>
      </c>
      <c r="H18" s="13">
        <v>92248075</v>
      </c>
      <c r="I18" s="19">
        <f>+G18+H18</f>
        <v>767305000</v>
      </c>
      <c r="J18" s="20">
        <f>1057231+8089692+296851321</f>
        <v>305998244</v>
      </c>
      <c r="K18" s="20">
        <f>1057231+8089692+296851321</f>
        <v>305998244</v>
      </c>
      <c r="L18" s="87">
        <f t="shared" si="0"/>
        <v>461306756</v>
      </c>
      <c r="M18" s="28">
        <f t="shared" si="1"/>
        <v>39.87961032444725</v>
      </c>
      <c r="N18" s="28">
        <f t="shared" si="4"/>
        <v>39.87961032444725</v>
      </c>
      <c r="O18" s="9" t="s">
        <v>1</v>
      </c>
      <c r="P18" s="2"/>
      <c r="Q18" s="2"/>
      <c r="R18" s="2"/>
      <c r="S18" s="4">
        <f>543331358+11874352+54257070</f>
        <v>609462780</v>
      </c>
      <c r="T18" s="4">
        <f>34844395+12647842+599343864</f>
        <v>646836101</v>
      </c>
      <c r="U18" s="4">
        <f>139038852-12099496+11827031+46492041</f>
        <v>185258428</v>
      </c>
      <c r="V18" s="4">
        <f>32311288+12598749+272542592</f>
        <v>317452629</v>
      </c>
      <c r="W18" s="4">
        <f>31011832+12598749+269895092</f>
        <v>313505673</v>
      </c>
      <c r="X18" s="32">
        <f t="shared" si="2"/>
        <v>120468899</v>
      </c>
      <c r="Y18" s="2"/>
      <c r="Z18" s="28">
        <f t="shared" si="7"/>
        <v>84.29973752288855</v>
      </c>
      <c r="AA18" s="34" t="s">
        <v>1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</row>
    <row r="19" spans="1:53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266537155</v>
      </c>
      <c r="H19" s="13">
        <v>0</v>
      </c>
      <c r="I19" s="19">
        <f t="shared" si="5"/>
        <v>266537155</v>
      </c>
      <c r="J19" s="20">
        <v>14234485</v>
      </c>
      <c r="K19" s="20">
        <v>14234485</v>
      </c>
      <c r="L19" s="87">
        <f t="shared" si="0"/>
        <v>252302670</v>
      </c>
      <c r="M19" s="28">
        <f t="shared" si="1"/>
        <v>5.340525601393171</v>
      </c>
      <c r="N19" s="28">
        <f t="shared" si="4"/>
        <v>5.340525601393171</v>
      </c>
      <c r="O19" s="28"/>
      <c r="P19" s="2"/>
      <c r="Q19" s="2"/>
      <c r="R19" s="2"/>
      <c r="S19" s="4">
        <v>139595008</v>
      </c>
      <c r="T19" s="4">
        <v>159283744</v>
      </c>
      <c r="U19" s="4">
        <f>+T19</f>
        <v>159283744</v>
      </c>
      <c r="V19" s="4">
        <v>158700769</v>
      </c>
      <c r="W19" s="4">
        <f t="shared" si="6"/>
        <v>158700769</v>
      </c>
      <c r="X19" s="32">
        <f t="shared" si="2"/>
        <v>107253411</v>
      </c>
      <c r="Y19" s="2"/>
      <c r="Z19" s="28">
        <f t="shared" si="7"/>
        <v>59.76042777225562</v>
      </c>
      <c r="AA19" s="34" t="s">
        <v>1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</row>
    <row r="20" spans="1:53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312703575-25925175-52565062</f>
        <v>234213338</v>
      </c>
      <c r="H20" s="13">
        <v>0</v>
      </c>
      <c r="I20" s="19">
        <f t="shared" si="5"/>
        <v>234213338</v>
      </c>
      <c r="J20" s="20">
        <v>58847998</v>
      </c>
      <c r="K20" s="20">
        <v>58847998</v>
      </c>
      <c r="L20" s="87">
        <f t="shared" si="0"/>
        <v>175365340</v>
      </c>
      <c r="M20" s="28">
        <f t="shared" si="1"/>
        <v>25.12580987168203</v>
      </c>
      <c r="N20" s="28">
        <f t="shared" si="4"/>
        <v>25.12580987168203</v>
      </c>
      <c r="O20" s="28"/>
      <c r="P20" s="2"/>
      <c r="Q20" s="2"/>
      <c r="R20" s="2"/>
      <c r="S20" s="4">
        <v>48681682</v>
      </c>
      <c r="T20" s="4">
        <v>91972322</v>
      </c>
      <c r="U20" s="4">
        <f>+T20</f>
        <v>91972322</v>
      </c>
      <c r="V20" s="4">
        <v>91630958</v>
      </c>
      <c r="W20" s="4">
        <f t="shared" si="6"/>
        <v>91630958</v>
      </c>
      <c r="X20" s="32">
        <f t="shared" si="2"/>
        <v>142241016</v>
      </c>
      <c r="Y20" s="2"/>
      <c r="Z20" s="28">
        <f t="shared" si="7"/>
        <v>39.268609885915204</v>
      </c>
      <c r="AA20" s="34" t="s">
        <v>1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</row>
    <row r="21" spans="1:53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52565062</v>
      </c>
      <c r="H21" s="13">
        <v>0</v>
      </c>
      <c r="I21" s="19">
        <f t="shared" si="5"/>
        <v>52565062</v>
      </c>
      <c r="J21" s="20">
        <v>15733377</v>
      </c>
      <c r="K21" s="20">
        <v>15733377</v>
      </c>
      <c r="L21" s="87">
        <f t="shared" si="0"/>
        <v>36831685</v>
      </c>
      <c r="M21" s="28">
        <f t="shared" si="1"/>
        <v>29.931244064736383</v>
      </c>
      <c r="N21" s="28">
        <f t="shared" si="4"/>
        <v>29.931244064736383</v>
      </c>
      <c r="O21" s="28"/>
      <c r="P21" s="2"/>
      <c r="Q21" s="2"/>
      <c r="R21" s="2"/>
      <c r="S21" s="4">
        <v>18954215</v>
      </c>
      <c r="T21" s="4">
        <v>23498975</v>
      </c>
      <c r="U21" s="4">
        <f>+T21</f>
        <v>23498975</v>
      </c>
      <c r="V21" s="4">
        <f>29172677-5742177</f>
        <v>23430500</v>
      </c>
      <c r="W21" s="4">
        <f t="shared" si="6"/>
        <v>23430500</v>
      </c>
      <c r="X21" s="32">
        <f t="shared" si="2"/>
        <v>29066087</v>
      </c>
      <c r="Y21" s="2"/>
      <c r="Z21" s="28">
        <f t="shared" si="7"/>
        <v>44.7045510951742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</row>
    <row r="22" spans="1:53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25925173</v>
      </c>
      <c r="H22" s="13">
        <v>0</v>
      </c>
      <c r="I22" s="19">
        <f t="shared" si="5"/>
        <v>25925173</v>
      </c>
      <c r="J22" s="20">
        <v>15976947</v>
      </c>
      <c r="K22" s="20">
        <v>15976947</v>
      </c>
      <c r="L22" s="87">
        <f t="shared" si="0"/>
        <v>9948226</v>
      </c>
      <c r="M22" s="28">
        <f t="shared" si="1"/>
        <v>61.62715674067054</v>
      </c>
      <c r="N22" s="28">
        <f t="shared" si="4"/>
        <v>61.62715674067054</v>
      </c>
      <c r="O22" s="28"/>
      <c r="P22" s="2"/>
      <c r="Q22" s="2"/>
      <c r="R22" s="2"/>
      <c r="S22" s="4">
        <v>3960579</v>
      </c>
      <c r="T22" s="4">
        <v>6525729</v>
      </c>
      <c r="U22" s="4">
        <f>+T22</f>
        <v>6525729</v>
      </c>
      <c r="V22" s="4">
        <v>6516500</v>
      </c>
      <c r="W22" s="4">
        <f t="shared" si="6"/>
        <v>6516500</v>
      </c>
      <c r="X22" s="32">
        <f t="shared" si="2"/>
        <v>19399444</v>
      </c>
      <c r="Y22" s="2"/>
      <c r="Z22" s="28">
        <f t="shared" si="7"/>
        <v>25.171400013415536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</row>
    <row r="23" spans="1:53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1348963741</v>
      </c>
      <c r="H23" s="13">
        <f>+H24+H25+H26</f>
        <v>169646345</v>
      </c>
      <c r="I23" s="19">
        <f>+G23+H23</f>
        <v>1518610086</v>
      </c>
      <c r="J23" s="20">
        <f>SUM(J24:J26)</f>
        <v>837471929</v>
      </c>
      <c r="K23" s="20">
        <f>SUM(K24:K26)</f>
        <v>837471929</v>
      </c>
      <c r="L23" s="87">
        <f t="shared" si="0"/>
        <v>681138157</v>
      </c>
      <c r="M23" s="28">
        <f t="shared" si="1"/>
        <v>55.147265036668536</v>
      </c>
      <c r="N23" s="28">
        <f t="shared" si="4"/>
        <v>55.147265036668536</v>
      </c>
      <c r="O23" s="28"/>
      <c r="P23" s="2"/>
      <c r="Q23" s="2"/>
      <c r="R23" s="2"/>
      <c r="S23" s="4">
        <f>SUM(S24:S26)</f>
        <v>680793888</v>
      </c>
      <c r="T23" s="4">
        <f>SUM(T24:T26)</f>
        <v>1034367048</v>
      </c>
      <c r="U23" s="4">
        <f>SUM(U24:U26)</f>
        <v>520568729</v>
      </c>
      <c r="V23" s="4">
        <f>SUM(V24:V26)</f>
        <v>803185208</v>
      </c>
      <c r="W23" s="4">
        <f>SUM(W24:W26)</f>
        <v>803185208</v>
      </c>
      <c r="X23" s="32">
        <f t="shared" si="2"/>
        <v>484243038</v>
      </c>
      <c r="Y23" s="2"/>
      <c r="Z23" s="28">
        <f t="shared" si="7"/>
        <v>68.11274714528665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v>274139233</v>
      </c>
      <c r="H24" s="13">
        <f>55285016+9561142-4000000</f>
        <v>60846158</v>
      </c>
      <c r="I24" s="19">
        <f t="shared" si="5"/>
        <v>334985391</v>
      </c>
      <c r="J24" s="20">
        <f>134064120+89932764</f>
        <v>223996884</v>
      </c>
      <c r="K24" s="20">
        <f>134064120+89932764</f>
        <v>223996884</v>
      </c>
      <c r="L24" s="87">
        <f t="shared" si="0"/>
        <v>110988507</v>
      </c>
      <c r="M24" s="28">
        <f t="shared" si="1"/>
        <v>66.86765752122008</v>
      </c>
      <c r="N24" s="28">
        <f t="shared" si="4"/>
        <v>66.86765752122008</v>
      </c>
      <c r="O24" s="28"/>
      <c r="P24" s="2"/>
      <c r="Q24" s="2"/>
      <c r="R24" s="2"/>
      <c r="S24" s="4">
        <v>90516630</v>
      </c>
      <c r="T24" s="4">
        <f>90561565+106099402</f>
        <v>196660967</v>
      </c>
      <c r="U24" s="4">
        <v>71539421</v>
      </c>
      <c r="V24" s="4">
        <f>60200762+80998893</f>
        <v>141199655</v>
      </c>
      <c r="W24" s="4">
        <f>+V24</f>
        <v>141199655</v>
      </c>
      <c r="X24" s="32">
        <f t="shared" si="2"/>
        <v>138324424</v>
      </c>
      <c r="Y24" s="2"/>
      <c r="Z24" s="28">
        <f t="shared" si="7"/>
        <v>58.70732643382648</v>
      </c>
      <c r="AA24" s="34" t="s">
        <v>1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v>1016290508</v>
      </c>
      <c r="H25" s="13">
        <f>65648743+29151444+10000000+4000000</f>
        <v>108800187</v>
      </c>
      <c r="I25" s="19">
        <f t="shared" si="5"/>
        <v>1125090695</v>
      </c>
      <c r="J25" s="19">
        <f>161733438+78749875+21372007+10000000+69921141+34446675+101350157+88741110+4349508</f>
        <v>570663911</v>
      </c>
      <c r="K25" s="19">
        <f>161733438+78749875+21372007+10000000+69921141+34446675+101350157+88741110+4349508</f>
        <v>570663911</v>
      </c>
      <c r="L25" s="87">
        <f t="shared" si="0"/>
        <v>554426784</v>
      </c>
      <c r="M25" s="28">
        <f t="shared" si="1"/>
        <v>50.72159191575217</v>
      </c>
      <c r="N25" s="28">
        <f t="shared" si="4"/>
        <v>50.72159191575217</v>
      </c>
      <c r="O25" s="28"/>
      <c r="P25" s="2"/>
      <c r="Q25" s="2"/>
      <c r="R25" s="2"/>
      <c r="S25" s="4">
        <f>177530145+48822952+12932524+101159449+50929093+34887478+95118421+602400+22704858</f>
        <v>544687320</v>
      </c>
      <c r="T25" s="4">
        <f>257820815+48421706+17802192+119157417+129523650+50893837+81544288+602400+86754756</f>
        <v>792521061</v>
      </c>
      <c r="U25" s="4">
        <f>105788413+23427623+12881000+100724267+49185142+19962215+84084828+602400+7938400-750000</f>
        <v>403844288</v>
      </c>
      <c r="V25" s="144">
        <f>167626318+20757445-688900+18239400-539553+110174397+129007497+22396000+79060829+600000+70347120</f>
        <v>616980553</v>
      </c>
      <c r="W25" s="4">
        <f>+V25</f>
        <v>616980553</v>
      </c>
      <c r="X25" s="32">
        <f t="shared" si="2"/>
        <v>332569634</v>
      </c>
      <c r="Y25" s="2"/>
      <c r="Z25" s="28">
        <f t="shared" si="7"/>
        <v>70.44063776565142</v>
      </c>
      <c r="AA25" s="34" t="s">
        <v>1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</row>
    <row r="26" spans="1:53" ht="13.5" thickBot="1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29" t="s">
        <v>22</v>
      </c>
      <c r="G26" s="13">
        <v>58534000</v>
      </c>
      <c r="H26" s="13">
        <v>0</v>
      </c>
      <c r="I26" s="19">
        <f t="shared" si="5"/>
        <v>58534000</v>
      </c>
      <c r="J26" s="20">
        <v>42811134</v>
      </c>
      <c r="K26" s="20">
        <v>42811134</v>
      </c>
      <c r="L26" s="87">
        <f t="shared" si="0"/>
        <v>15722866</v>
      </c>
      <c r="M26" s="28">
        <f t="shared" si="1"/>
        <v>73.13891755219188</v>
      </c>
      <c r="N26" s="28">
        <f t="shared" si="4"/>
        <v>73.13891755219188</v>
      </c>
      <c r="O26" s="28"/>
      <c r="P26" s="2"/>
      <c r="Q26" s="2"/>
      <c r="R26" s="2"/>
      <c r="S26" s="13">
        <v>45589938</v>
      </c>
      <c r="T26" s="13">
        <v>45185020</v>
      </c>
      <c r="U26" s="13">
        <f>+T26</f>
        <v>45185020</v>
      </c>
      <c r="V26" s="145">
        <v>45005000</v>
      </c>
      <c r="W26" s="13">
        <f>+V26</f>
        <v>45005000</v>
      </c>
      <c r="X26" s="32">
        <f t="shared" si="2"/>
        <v>13348980</v>
      </c>
      <c r="Y26" s="2"/>
      <c r="Z26" s="28">
        <f t="shared" si="7"/>
        <v>77.19448525643216</v>
      </c>
      <c r="AA26" s="34" t="s">
        <v>1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2625248255</v>
      </c>
      <c r="H27" s="13">
        <f>+H28+H29+H30+H31</f>
        <v>364240832</v>
      </c>
      <c r="I27" s="19">
        <f t="shared" si="5"/>
        <v>2989489087</v>
      </c>
      <c r="J27" s="20">
        <f>SUM(J28:J31)</f>
        <v>802145730</v>
      </c>
      <c r="K27" s="20">
        <f>SUM(K28:K31)</f>
        <v>802145730</v>
      </c>
      <c r="L27" s="87">
        <f t="shared" si="0"/>
        <v>2187343357</v>
      </c>
      <c r="M27" s="28">
        <f t="shared" si="1"/>
        <v>26.832201311193483</v>
      </c>
      <c r="N27" s="28">
        <f t="shared" si="4"/>
        <v>26.832201311193483</v>
      </c>
      <c r="O27" s="28"/>
      <c r="P27" s="2"/>
      <c r="Q27" s="2"/>
      <c r="R27" s="2"/>
      <c r="S27" s="4">
        <f>SUM(S28:S31)</f>
        <v>1265405194</v>
      </c>
      <c r="T27" s="4">
        <f>SUM(T28:T31)</f>
        <v>1723350588</v>
      </c>
      <c r="U27" s="4">
        <f>SUM(U28:U31)</f>
        <v>1723350588</v>
      </c>
      <c r="V27" s="4">
        <f>SUM(V28:V31)</f>
        <v>1723350588</v>
      </c>
      <c r="W27" s="4">
        <f>SUM(W28:W31)</f>
        <v>1723350588</v>
      </c>
      <c r="X27" s="32">
        <f t="shared" si="2"/>
        <v>1266138499</v>
      </c>
      <c r="Y27" s="2"/>
      <c r="Z27" s="28">
        <f t="shared" si="7"/>
        <v>57.646993778773414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32928850</v>
      </c>
      <c r="H28" s="13">
        <v>5000000</v>
      </c>
      <c r="I28" s="19">
        <f t="shared" si="5"/>
        <v>37928850</v>
      </c>
      <c r="J28" s="20">
        <v>16797214</v>
      </c>
      <c r="K28" s="20">
        <v>16797214</v>
      </c>
      <c r="L28" s="87">
        <f t="shared" si="0"/>
        <v>21131636</v>
      </c>
      <c r="M28" s="28">
        <f t="shared" si="1"/>
        <v>44.28611465942152</v>
      </c>
      <c r="N28" s="28">
        <f t="shared" si="4"/>
        <v>44.28611465942152</v>
      </c>
      <c r="O28" s="28"/>
      <c r="P28" s="2"/>
      <c r="Q28" s="2"/>
      <c r="R28" s="2"/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32">
        <f t="shared" si="2"/>
        <v>37928850</v>
      </c>
      <c r="Y28" s="2"/>
      <c r="Z28" s="28">
        <f t="shared" si="7"/>
        <v>0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2362319405</v>
      </c>
      <c r="H29" s="13">
        <v>318440832</v>
      </c>
      <c r="I29" s="19">
        <f t="shared" si="5"/>
        <v>2680760237</v>
      </c>
      <c r="J29" s="20">
        <v>740995272</v>
      </c>
      <c r="K29" s="20">
        <v>740995272</v>
      </c>
      <c r="L29" s="87">
        <f t="shared" si="0"/>
        <v>1939764965</v>
      </c>
      <c r="M29" s="28">
        <f t="shared" si="1"/>
        <v>27.64123630948947</v>
      </c>
      <c r="N29" s="28">
        <f t="shared" si="4"/>
        <v>27.64123630948947</v>
      </c>
      <c r="O29" s="28"/>
      <c r="P29" s="2"/>
      <c r="Q29" s="2"/>
      <c r="R29" s="2"/>
      <c r="S29" s="4">
        <v>951099213</v>
      </c>
      <c r="T29" s="4">
        <v>1647007096</v>
      </c>
      <c r="U29" s="4">
        <f>+T29</f>
        <v>1647007096</v>
      </c>
      <c r="V29" s="4">
        <f>+T29</f>
        <v>1647007096</v>
      </c>
      <c r="W29" s="4">
        <f>+V29</f>
        <v>1647007096</v>
      </c>
      <c r="X29" s="32">
        <f t="shared" si="2"/>
        <v>1033753141</v>
      </c>
      <c r="Y29" s="2"/>
      <c r="Z29" s="28">
        <f t="shared" si="7"/>
        <v>61.43806049000271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v>30000000</v>
      </c>
      <c r="H30" s="13">
        <v>800000</v>
      </c>
      <c r="I30" s="19">
        <f t="shared" si="5"/>
        <v>30800000</v>
      </c>
      <c r="J30" s="20">
        <v>21590305</v>
      </c>
      <c r="K30" s="20">
        <v>21590305</v>
      </c>
      <c r="L30" s="87">
        <f t="shared" si="0"/>
        <v>9209695</v>
      </c>
      <c r="M30" s="28">
        <f t="shared" si="1"/>
        <v>70.09839285714285</v>
      </c>
      <c r="N30" s="28">
        <f t="shared" si="4"/>
        <v>70.09839285714285</v>
      </c>
      <c r="O30" s="28"/>
      <c r="P30" s="2"/>
      <c r="Q30" s="2"/>
      <c r="R30" s="2"/>
      <c r="S30" s="4">
        <v>22814692</v>
      </c>
      <c r="T30" s="4">
        <v>30779903</v>
      </c>
      <c r="U30" s="4">
        <f>+T30</f>
        <v>30779903</v>
      </c>
      <c r="V30" s="4">
        <f>+T30</f>
        <v>30779903</v>
      </c>
      <c r="W30" s="4">
        <f>+V30</f>
        <v>30779903</v>
      </c>
      <c r="X30" s="32">
        <f t="shared" si="2"/>
        <v>20097</v>
      </c>
      <c r="Y30" s="2"/>
      <c r="Z30" s="28">
        <f t="shared" si="7"/>
        <v>99.93475000000001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200000000</v>
      </c>
      <c r="H31" s="13">
        <v>40000000</v>
      </c>
      <c r="I31" s="19">
        <f t="shared" si="5"/>
        <v>240000000</v>
      </c>
      <c r="J31" s="20">
        <v>22762939</v>
      </c>
      <c r="K31" s="20">
        <v>22762939</v>
      </c>
      <c r="L31" s="87">
        <f t="shared" si="0"/>
        <v>217237061</v>
      </c>
      <c r="M31" s="28">
        <f t="shared" si="1"/>
        <v>9.484557916666667</v>
      </c>
      <c r="N31" s="28">
        <f t="shared" si="4"/>
        <v>9.484557916666667</v>
      </c>
      <c r="O31" s="28"/>
      <c r="P31" s="2"/>
      <c r="Q31" s="2"/>
      <c r="R31" s="2"/>
      <c r="S31" s="13">
        <v>291491289</v>
      </c>
      <c r="T31" s="13">
        <v>45563589</v>
      </c>
      <c r="U31" s="13">
        <f>+T31</f>
        <v>45563589</v>
      </c>
      <c r="V31" s="13">
        <f>+T31</f>
        <v>45563589</v>
      </c>
      <c r="W31" s="13">
        <f>+V31</f>
        <v>45563589</v>
      </c>
      <c r="X31" s="32">
        <f t="shared" si="2"/>
        <v>194436411</v>
      </c>
      <c r="Y31" s="2"/>
      <c r="Z31" s="28">
        <f t="shared" si="7"/>
        <v>18.98482875</v>
      </c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ht="12.75">
      <c r="A32" s="2"/>
      <c r="B32" s="2"/>
      <c r="C32" s="2"/>
      <c r="D32" s="2"/>
      <c r="E32" s="2"/>
      <c r="F32" s="3"/>
      <c r="G32" s="9" t="s">
        <v>1</v>
      </c>
      <c r="H32" s="12"/>
      <c r="I32" s="19" t="s">
        <v>1</v>
      </c>
      <c r="J32" s="88"/>
      <c r="K32" s="88"/>
      <c r="L32" s="19" t="s">
        <v>1</v>
      </c>
      <c r="M32" s="9" t="s">
        <v>1</v>
      </c>
      <c r="N32" s="28"/>
      <c r="O32" s="28"/>
      <c r="P32" s="2"/>
      <c r="Q32" s="2"/>
      <c r="R32" s="2"/>
      <c r="S32" s="2"/>
      <c r="T32" s="2"/>
      <c r="U32" s="2"/>
      <c r="V32" s="2"/>
      <c r="W32" s="2"/>
      <c r="X32" s="2"/>
      <c r="Y32" s="2"/>
      <c r="Z32" s="28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1:53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19" t="s">
        <v>1</v>
      </c>
      <c r="J33" s="20" t="s">
        <v>1</v>
      </c>
      <c r="K33" s="20"/>
      <c r="L33" s="19" t="s">
        <v>1</v>
      </c>
      <c r="M33" s="9" t="s">
        <v>1</v>
      </c>
      <c r="N33" s="28"/>
      <c r="O33" s="28"/>
      <c r="P33" s="2"/>
      <c r="Q33" s="2"/>
      <c r="R33" s="2"/>
      <c r="S33" s="2"/>
      <c r="T33" s="2"/>
      <c r="U33" s="2"/>
      <c r="V33" s="2"/>
      <c r="W33" s="2"/>
      <c r="X33" s="2"/>
      <c r="Y33" s="2"/>
      <c r="Z33" s="28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1:53" ht="12.75">
      <c r="A34" s="85"/>
      <c r="B34" s="85"/>
      <c r="C34" s="85"/>
      <c r="D34" s="85"/>
      <c r="E34" s="85"/>
      <c r="F34" s="85"/>
      <c r="G34" s="96"/>
      <c r="H34" s="82"/>
      <c r="I34" s="121">
        <f>+I23+I27</f>
        <v>4508099173</v>
      </c>
      <c r="J34" s="122"/>
      <c r="K34" s="122"/>
      <c r="L34" s="121"/>
      <c r="M34" s="35"/>
      <c r="N34" s="58"/>
      <c r="O34" s="58"/>
      <c r="P34" s="77"/>
      <c r="Q34" s="77"/>
      <c r="R34" s="77"/>
      <c r="S34" s="77"/>
      <c r="T34" s="121">
        <f>+T23+T27</f>
        <v>2757717636</v>
      </c>
      <c r="U34" s="77"/>
      <c r="V34" s="121">
        <f>+V23+V27</f>
        <v>2526535796</v>
      </c>
      <c r="W34" s="121">
        <f>+W23+W27</f>
        <v>2526535796</v>
      </c>
      <c r="X34" s="77"/>
      <c r="Y34" s="77"/>
      <c r="Z34" s="58"/>
      <c r="AA34" s="34" t="s">
        <v>1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1:53" ht="12.75">
      <c r="A35" s="85"/>
      <c r="B35" s="85"/>
      <c r="C35" s="85"/>
      <c r="D35" s="85"/>
      <c r="E35" s="85"/>
      <c r="F35" s="85"/>
      <c r="G35" s="96"/>
      <c r="H35" s="82"/>
      <c r="I35" s="121"/>
      <c r="J35" s="122"/>
      <c r="K35" s="122"/>
      <c r="L35" s="121"/>
      <c r="M35" s="35"/>
      <c r="N35" s="58"/>
      <c r="O35" s="58"/>
      <c r="P35" s="77"/>
      <c r="Q35" s="77"/>
      <c r="R35" s="77"/>
      <c r="S35" s="77"/>
      <c r="T35" s="126" t="s">
        <v>1</v>
      </c>
      <c r="U35" s="77"/>
      <c r="V35" s="77"/>
      <c r="W35" s="85" t="s">
        <v>1</v>
      </c>
      <c r="X35" s="126" t="s">
        <v>26</v>
      </c>
      <c r="Y35" s="77"/>
      <c r="Z35" s="58"/>
      <c r="AA35" s="34" t="s">
        <v>1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7:53" ht="12.75">
      <c r="G36" s="55" t="s">
        <v>1</v>
      </c>
      <c r="H36" s="93" t="s">
        <v>1</v>
      </c>
      <c r="I36" s="79" t="s">
        <v>1</v>
      </c>
      <c r="M36" s="123"/>
      <c r="N36" s="1"/>
      <c r="O36" s="1"/>
      <c r="S36" s="55" t="s">
        <v>1</v>
      </c>
      <c r="T36" t="s">
        <v>1</v>
      </c>
      <c r="Z36" s="1"/>
      <c r="AA36" s="34" t="s">
        <v>1</v>
      </c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1:53" ht="12.75">
      <c r="A37" s="148" t="s">
        <v>0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34" t="s">
        <v>1</v>
      </c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1:53" ht="12.75">
      <c r="A38" s="148" t="s">
        <v>171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1:53" ht="12.75">
      <c r="A39" s="148" t="s">
        <v>81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1:53" ht="12.75">
      <c r="A40" s="2"/>
      <c r="B40" s="2"/>
      <c r="C40" s="2"/>
      <c r="D40" s="2"/>
      <c r="E40" s="2"/>
      <c r="F40" s="3"/>
      <c r="G40" s="2"/>
      <c r="H40" s="12"/>
      <c r="I40" s="12" t="s">
        <v>1</v>
      </c>
      <c r="J40" s="2"/>
      <c r="K40" s="2"/>
      <c r="L40" s="2"/>
      <c r="M40" s="28"/>
      <c r="N40" s="28"/>
      <c r="O40" s="28"/>
      <c r="P40" s="2"/>
      <c r="Q40" s="2"/>
      <c r="R40" s="2"/>
      <c r="S40" s="2"/>
      <c r="T40" s="2"/>
      <c r="U40" s="2"/>
      <c r="V40" s="2"/>
      <c r="W40" s="2"/>
      <c r="X40" s="2"/>
      <c r="Y40" s="2"/>
      <c r="Z40" s="28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1:53" ht="12.75">
      <c r="A41" s="18" t="s">
        <v>48</v>
      </c>
      <c r="B41" s="18" t="s">
        <v>49</v>
      </c>
      <c r="C41" s="3" t="s">
        <v>50</v>
      </c>
      <c r="D41" s="3" t="s">
        <v>51</v>
      </c>
      <c r="E41" s="3" t="s">
        <v>52</v>
      </c>
      <c r="F41" s="2"/>
      <c r="G41" s="2"/>
      <c r="H41" s="124" t="s">
        <v>1</v>
      </c>
      <c r="I41" s="12"/>
      <c r="J41" s="18" t="s">
        <v>1</v>
      </c>
      <c r="K41" s="18"/>
      <c r="L41" s="14" t="s">
        <v>36</v>
      </c>
      <c r="M41" s="27" t="s">
        <v>47</v>
      </c>
      <c r="N41" s="75" t="s">
        <v>77</v>
      </c>
      <c r="O41" s="28"/>
      <c r="P41" s="2"/>
      <c r="Q41" s="2"/>
      <c r="R41" s="2"/>
      <c r="S41" s="2"/>
      <c r="T41" s="2"/>
      <c r="U41" s="2"/>
      <c r="V41" s="2"/>
      <c r="W41" s="2"/>
      <c r="X41" s="2"/>
      <c r="Y41" s="2"/>
      <c r="Z41" s="28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1:53" ht="12.75">
      <c r="A42" s="3"/>
      <c r="B42" s="18" t="s">
        <v>6</v>
      </c>
      <c r="C42" s="3"/>
      <c r="D42" s="3" t="s">
        <v>7</v>
      </c>
      <c r="E42" s="3"/>
      <c r="F42" s="2"/>
      <c r="G42" s="18" t="s">
        <v>3</v>
      </c>
      <c r="H42" s="10" t="s">
        <v>2</v>
      </c>
      <c r="I42" s="10" t="s">
        <v>3</v>
      </c>
      <c r="J42" s="10" t="s">
        <v>76</v>
      </c>
      <c r="K42" s="86" t="s">
        <v>35</v>
      </c>
      <c r="L42" s="14" t="s">
        <v>40</v>
      </c>
      <c r="M42" s="76" t="s">
        <v>76</v>
      </c>
      <c r="N42" s="75" t="s">
        <v>35</v>
      </c>
      <c r="O42" s="125"/>
      <c r="P42" s="2"/>
      <c r="Q42" s="2"/>
      <c r="R42" s="2"/>
      <c r="S42" s="18" t="s">
        <v>76</v>
      </c>
      <c r="T42" s="18" t="s">
        <v>35</v>
      </c>
      <c r="U42" s="18" t="s">
        <v>86</v>
      </c>
      <c r="V42" s="18" t="s">
        <v>167</v>
      </c>
      <c r="W42" s="18" t="s">
        <v>86</v>
      </c>
      <c r="X42" s="18" t="s">
        <v>84</v>
      </c>
      <c r="Y42" s="18"/>
      <c r="Z42" s="76" t="s">
        <v>74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1:53" ht="12.75">
      <c r="A43" s="3"/>
      <c r="B43" s="3"/>
      <c r="C43" s="3"/>
      <c r="D43" s="3" t="s">
        <v>8</v>
      </c>
      <c r="E43" s="3"/>
      <c r="F43" s="18" t="s">
        <v>9</v>
      </c>
      <c r="G43" s="18" t="s">
        <v>4</v>
      </c>
      <c r="H43" s="10" t="s">
        <v>10</v>
      </c>
      <c r="I43" s="10" t="s">
        <v>5</v>
      </c>
      <c r="J43" s="10" t="s">
        <v>1</v>
      </c>
      <c r="K43" s="26"/>
      <c r="L43" s="12"/>
      <c r="M43" s="15"/>
      <c r="N43" s="16"/>
      <c r="O43" s="16"/>
      <c r="P43" s="2"/>
      <c r="Q43" s="2"/>
      <c r="R43" s="2"/>
      <c r="S43" s="2"/>
      <c r="T43" s="18"/>
      <c r="U43" s="18"/>
      <c r="V43" s="18"/>
      <c r="W43" s="18"/>
      <c r="X43" s="18" t="s">
        <v>85</v>
      </c>
      <c r="Y43" s="18"/>
      <c r="Z43" s="76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1:53" ht="12.75">
      <c r="A44" s="3"/>
      <c r="B44" s="3"/>
      <c r="C44" s="3"/>
      <c r="D44" s="3" t="s">
        <v>11</v>
      </c>
      <c r="E44" s="3"/>
      <c r="F44" s="2"/>
      <c r="G44" s="18" t="s">
        <v>1</v>
      </c>
      <c r="H44" s="10" t="s">
        <v>1</v>
      </c>
      <c r="I44" s="27" t="s">
        <v>1</v>
      </c>
      <c r="J44" s="14" t="s">
        <v>1</v>
      </c>
      <c r="K44" s="14" t="s">
        <v>1</v>
      </c>
      <c r="L44" s="12"/>
      <c r="M44" s="16"/>
      <c r="N44" s="16"/>
      <c r="O44" s="16"/>
      <c r="P44" s="2"/>
      <c r="Q44" s="2"/>
      <c r="R44" s="2"/>
      <c r="S44" s="2"/>
      <c r="T44" s="2"/>
      <c r="U44" s="2"/>
      <c r="V44" s="2"/>
      <c r="W44" s="2"/>
      <c r="X44" s="2"/>
      <c r="Y44" s="2"/>
      <c r="Z44" s="28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1:53" ht="12.75">
      <c r="A45" s="2"/>
      <c r="B45" s="2"/>
      <c r="C45" s="2"/>
      <c r="D45" s="2"/>
      <c r="E45" s="2"/>
      <c r="F45" s="2"/>
      <c r="G45" s="9" t="s">
        <v>1</v>
      </c>
      <c r="H45" s="16" t="s">
        <v>1</v>
      </c>
      <c r="I45" s="16" t="s">
        <v>1</v>
      </c>
      <c r="J45" s="15" t="s">
        <v>1</v>
      </c>
      <c r="K45" s="16" t="s">
        <v>1</v>
      </c>
      <c r="L45" s="12"/>
      <c r="M45" s="16"/>
      <c r="N45" s="16"/>
      <c r="O45" s="15"/>
      <c r="P45" s="2"/>
      <c r="Q45" s="2"/>
      <c r="R45" s="2"/>
      <c r="S45" s="2"/>
      <c r="T45" s="2"/>
      <c r="U45" s="2"/>
      <c r="V45" s="2"/>
      <c r="W45" s="2"/>
      <c r="X45" s="2"/>
      <c r="Y45" s="2"/>
      <c r="Z45" s="28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1:53" ht="12.75">
      <c r="A46" s="2" t="s">
        <v>12</v>
      </c>
      <c r="B46" s="2"/>
      <c r="C46" s="2"/>
      <c r="D46" s="2"/>
      <c r="E46" s="2"/>
      <c r="F46" s="3" t="s">
        <v>53</v>
      </c>
      <c r="G46" s="30">
        <f>+G47+G57+G60</f>
        <v>2135610000</v>
      </c>
      <c r="H46" s="31">
        <f>SUM(H47+H57+H60)</f>
        <v>0</v>
      </c>
      <c r="I46" s="31">
        <f>+G46+H46</f>
        <v>2135610000</v>
      </c>
      <c r="J46" s="31">
        <f>SUM(J47+J57+J60)</f>
        <v>1370605803</v>
      </c>
      <c r="K46" s="31">
        <f>SUM(K47+K57+K60)</f>
        <v>1370605803</v>
      </c>
      <c r="L46" s="11">
        <f aca="true" t="shared" si="8" ref="L46:L61">+I46-J46</f>
        <v>765004197</v>
      </c>
      <c r="M46" s="33">
        <f aca="true" t="shared" si="9" ref="M46:M61">+J46/I46*100</f>
        <v>64.17865635579531</v>
      </c>
      <c r="N46" s="33">
        <f>+K46/I46*100</f>
        <v>64.17865635579531</v>
      </c>
      <c r="O46" s="33"/>
      <c r="P46" s="2"/>
      <c r="Q46" s="2"/>
      <c r="R46" s="2"/>
      <c r="S46" s="30">
        <f>+S47+S57+S60</f>
        <v>1779694302</v>
      </c>
      <c r="T46" s="30">
        <f>SUM(T47+T57+T60)</f>
        <v>1992589498</v>
      </c>
      <c r="U46" s="30">
        <f>SUM(U47+U57+U60)</f>
        <v>1992589498</v>
      </c>
      <c r="V46" s="30">
        <f>SUM(V47+V57+V60)</f>
        <v>1992589498</v>
      </c>
      <c r="W46" s="30">
        <f>SUM(W47+W57+W60)</f>
        <v>1988613298</v>
      </c>
      <c r="X46" s="32">
        <f aca="true" t="shared" si="10" ref="X46:X61">+I46-T46</f>
        <v>143020502</v>
      </c>
      <c r="Y46" s="2"/>
      <c r="Z46" s="28">
        <f aca="true" t="shared" si="11" ref="Z46:Z58">+T46/I46*100</f>
        <v>93.30306085849008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1:53" ht="12.75">
      <c r="A47" s="2" t="s">
        <v>12</v>
      </c>
      <c r="B47" s="2">
        <v>1</v>
      </c>
      <c r="C47" s="2">
        <v>1</v>
      </c>
      <c r="D47" s="2">
        <v>0</v>
      </c>
      <c r="E47" s="2">
        <v>0</v>
      </c>
      <c r="F47" s="3" t="s">
        <v>13</v>
      </c>
      <c r="G47" s="30">
        <f>+G48+G53+G54+G55+G56</f>
        <v>2101005000</v>
      </c>
      <c r="H47" s="31">
        <f>+H48+H53+H54+H55+H56</f>
        <v>0</v>
      </c>
      <c r="I47" s="31">
        <f>+I48+I53+I54+I55+I56</f>
        <v>2101005000</v>
      </c>
      <c r="J47" s="30">
        <f>+J48+J53+J54+J55+J56</f>
        <v>1346538803</v>
      </c>
      <c r="K47" s="30">
        <f>+K48+K53+K54+K55+K56</f>
        <v>1346538803</v>
      </c>
      <c r="L47" s="11">
        <f t="shared" si="8"/>
        <v>754466197</v>
      </c>
      <c r="M47" s="33">
        <f t="shared" si="9"/>
        <v>64.0902236310718</v>
      </c>
      <c r="N47" s="33">
        <f aca="true" t="shared" si="12" ref="N47:N61">+K47/I47*100</f>
        <v>64.0902236310718</v>
      </c>
      <c r="O47" s="33"/>
      <c r="P47" s="2"/>
      <c r="Q47" s="2"/>
      <c r="R47" s="2"/>
      <c r="S47" s="30">
        <f>+S48+S53+S54+S55+S56</f>
        <v>1755627302</v>
      </c>
      <c r="T47" s="31">
        <f>+T48+T53+T54+T55+T56</f>
        <v>1968522498</v>
      </c>
      <c r="U47" s="30">
        <f>+U48+U53+U54+U55+U56</f>
        <v>1968522498</v>
      </c>
      <c r="V47" s="31">
        <f>+V48+V53+V54+V55+V56</f>
        <v>1968522498</v>
      </c>
      <c r="W47" s="31">
        <f>+W48+W53+W54+W55+W56</f>
        <v>1968522498</v>
      </c>
      <c r="X47" s="32">
        <f t="shared" si="10"/>
        <v>132482502</v>
      </c>
      <c r="Y47" s="2"/>
      <c r="Z47" s="28">
        <f t="shared" si="11"/>
        <v>93.6943271434385</v>
      </c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1:53" ht="12.75">
      <c r="A48" s="2" t="s">
        <v>12</v>
      </c>
      <c r="B48" s="2">
        <v>1</v>
      </c>
      <c r="C48" s="2">
        <v>1</v>
      </c>
      <c r="D48" s="2">
        <v>1</v>
      </c>
      <c r="E48" s="2">
        <v>0</v>
      </c>
      <c r="F48" s="8" t="s">
        <v>14</v>
      </c>
      <c r="G48" s="32">
        <f>SUM(G49:G52)</f>
        <v>1764317000</v>
      </c>
      <c r="H48" s="11">
        <f>SUM(H49:H52)</f>
        <v>0</v>
      </c>
      <c r="I48" s="11">
        <f>SUM(I49:I52)</f>
        <v>1764317000</v>
      </c>
      <c r="J48" s="11">
        <f>SUM(J49:J52)</f>
        <v>1097699750</v>
      </c>
      <c r="K48" s="11">
        <f>SUM(K49:K52)</f>
        <v>1097699750</v>
      </c>
      <c r="L48" s="11">
        <f t="shared" si="8"/>
        <v>666617250</v>
      </c>
      <c r="M48" s="33">
        <f t="shared" si="9"/>
        <v>62.216696319312234</v>
      </c>
      <c r="N48" s="33">
        <f t="shared" si="12"/>
        <v>62.216696319312234</v>
      </c>
      <c r="O48" s="15"/>
      <c r="P48" s="2"/>
      <c r="Q48" s="2"/>
      <c r="R48" s="2"/>
      <c r="S48" s="32">
        <f>SUM(S49:S52)</f>
        <v>1418939302</v>
      </c>
      <c r="T48" s="11">
        <f>SUM(T49:T52)</f>
        <v>1632374498</v>
      </c>
      <c r="U48" s="32">
        <f>+T48</f>
        <v>1632374498</v>
      </c>
      <c r="V48" s="11">
        <f>SUM(V49:V52)</f>
        <v>1632374498</v>
      </c>
      <c r="W48" s="11">
        <f>SUM(W49:W52)</f>
        <v>1632374498</v>
      </c>
      <c r="X48" s="32">
        <f t="shared" si="10"/>
        <v>131942502</v>
      </c>
      <c r="Y48" s="2"/>
      <c r="Z48" s="28">
        <f t="shared" si="11"/>
        <v>92.52161023217484</v>
      </c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1:53" ht="12.75">
      <c r="A49" s="2" t="s">
        <v>12</v>
      </c>
      <c r="B49" s="2">
        <v>1</v>
      </c>
      <c r="C49" s="2">
        <v>1</v>
      </c>
      <c r="D49" s="2">
        <v>1</v>
      </c>
      <c r="E49" s="2">
        <v>1</v>
      </c>
      <c r="F49" s="2" t="s">
        <v>15</v>
      </c>
      <c r="G49" s="32">
        <v>1381203000</v>
      </c>
      <c r="H49" s="11">
        <v>0</v>
      </c>
      <c r="I49" s="11">
        <f>+G49+H49</f>
        <v>1381203000</v>
      </c>
      <c r="J49" s="31">
        <v>910042416</v>
      </c>
      <c r="K49" s="31">
        <v>910042416</v>
      </c>
      <c r="L49" s="11">
        <f t="shared" si="8"/>
        <v>471160584</v>
      </c>
      <c r="M49" s="33">
        <f t="shared" si="9"/>
        <v>65.88766575224642</v>
      </c>
      <c r="N49" s="33">
        <f t="shared" si="12"/>
        <v>65.88766575224642</v>
      </c>
      <c r="O49" s="15"/>
      <c r="P49" s="2"/>
      <c r="Q49" s="2"/>
      <c r="R49" s="2"/>
      <c r="S49" s="32">
        <v>1186166487</v>
      </c>
      <c r="T49" s="32">
        <f>+I49</f>
        <v>1381203000</v>
      </c>
      <c r="U49" s="32">
        <f aca="true" t="shared" si="13" ref="U49:U56">+T49</f>
        <v>1381203000</v>
      </c>
      <c r="V49" s="32">
        <f aca="true" t="shared" si="14" ref="V49:V56">+T49</f>
        <v>1381203000</v>
      </c>
      <c r="W49" s="32">
        <f aca="true" t="shared" si="15" ref="W49:W56">+V49</f>
        <v>1381203000</v>
      </c>
      <c r="X49" s="32">
        <f t="shared" si="10"/>
        <v>0</v>
      </c>
      <c r="Y49" s="2"/>
      <c r="Z49" s="28">
        <f t="shared" si="11"/>
        <v>100</v>
      </c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1:53" ht="12.75">
      <c r="A50" s="2" t="s">
        <v>12</v>
      </c>
      <c r="B50" s="2">
        <v>1</v>
      </c>
      <c r="C50" s="2">
        <v>1</v>
      </c>
      <c r="D50" s="2">
        <v>9</v>
      </c>
      <c r="E50" s="2">
        <v>1</v>
      </c>
      <c r="F50" s="2" t="s">
        <v>54</v>
      </c>
      <c r="G50" s="32">
        <v>1699000</v>
      </c>
      <c r="H50" s="11">
        <v>0</v>
      </c>
      <c r="I50" s="11">
        <f aca="true" t="shared" si="16" ref="I50:I57">+G50+H50</f>
        <v>1699000</v>
      </c>
      <c r="J50" s="31">
        <v>805455</v>
      </c>
      <c r="K50" s="31">
        <v>805455</v>
      </c>
      <c r="L50" s="11">
        <f t="shared" si="8"/>
        <v>893545</v>
      </c>
      <c r="M50" s="33">
        <f t="shared" si="9"/>
        <v>47.40759270158917</v>
      </c>
      <c r="N50" s="33">
        <f t="shared" si="12"/>
        <v>47.40759270158917</v>
      </c>
      <c r="O50" s="15"/>
      <c r="P50" s="2"/>
      <c r="Q50" s="2"/>
      <c r="R50" s="2"/>
      <c r="S50" s="32">
        <v>1068815</v>
      </c>
      <c r="T50" s="32">
        <v>1374323</v>
      </c>
      <c r="U50" s="32">
        <f t="shared" si="13"/>
        <v>1374323</v>
      </c>
      <c r="V50" s="32">
        <f t="shared" si="14"/>
        <v>1374323</v>
      </c>
      <c r="W50" s="32">
        <f t="shared" si="15"/>
        <v>1374323</v>
      </c>
      <c r="X50" s="32">
        <f t="shared" si="10"/>
        <v>324677</v>
      </c>
      <c r="Y50" s="2"/>
      <c r="Z50" s="28">
        <f t="shared" si="11"/>
        <v>80.89011183048852</v>
      </c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1:53" ht="12.75">
      <c r="A51" s="2" t="s">
        <v>12</v>
      </c>
      <c r="B51" s="2">
        <v>1</v>
      </c>
      <c r="C51" s="2">
        <v>1</v>
      </c>
      <c r="D51" s="2">
        <v>4</v>
      </c>
      <c r="E51" s="2">
        <v>2</v>
      </c>
      <c r="F51" s="2" t="s">
        <v>16</v>
      </c>
      <c r="G51" s="32">
        <v>135626000</v>
      </c>
      <c r="H51" s="11">
        <v>0</v>
      </c>
      <c r="I51" s="11">
        <f t="shared" si="16"/>
        <v>135626000</v>
      </c>
      <c r="J51" s="31">
        <v>97076221</v>
      </c>
      <c r="K51" s="31">
        <v>97076221</v>
      </c>
      <c r="L51" s="11">
        <f t="shared" si="8"/>
        <v>38549779</v>
      </c>
      <c r="M51" s="33">
        <f t="shared" si="9"/>
        <v>71.57640939052983</v>
      </c>
      <c r="N51" s="33">
        <f t="shared" si="12"/>
        <v>71.57640939052983</v>
      </c>
      <c r="O51" s="15"/>
      <c r="P51" s="2"/>
      <c r="Q51" s="2"/>
      <c r="R51" s="2"/>
      <c r="S51" s="89">
        <f>+I51</f>
        <v>135626000</v>
      </c>
      <c r="T51" s="32">
        <v>133773175</v>
      </c>
      <c r="U51" s="32">
        <f t="shared" si="13"/>
        <v>133773175</v>
      </c>
      <c r="V51" s="32">
        <f t="shared" si="14"/>
        <v>133773175</v>
      </c>
      <c r="W51" s="32">
        <f t="shared" si="15"/>
        <v>133773175</v>
      </c>
      <c r="X51" s="32">
        <f t="shared" si="10"/>
        <v>1852825</v>
      </c>
      <c r="Y51" s="2"/>
      <c r="Z51" s="28">
        <f t="shared" si="11"/>
        <v>98.63387182398655</v>
      </c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1:53" ht="12.75">
      <c r="A52" s="2" t="s">
        <v>12</v>
      </c>
      <c r="B52" s="2">
        <v>1</v>
      </c>
      <c r="C52" s="2">
        <v>1</v>
      </c>
      <c r="D52" s="2">
        <v>5</v>
      </c>
      <c r="E52" s="2">
        <v>0</v>
      </c>
      <c r="F52" s="2" t="s">
        <v>17</v>
      </c>
      <c r="G52" s="32">
        <v>245789000</v>
      </c>
      <c r="H52" s="11">
        <v>0</v>
      </c>
      <c r="I52" s="11">
        <f t="shared" si="16"/>
        <v>245789000</v>
      </c>
      <c r="J52" s="31">
        <f>11820000+57319500+18076500+2559658</f>
        <v>89775658</v>
      </c>
      <c r="K52" s="31">
        <f>11820000+57319500+18076500+2559658</f>
        <v>89775658</v>
      </c>
      <c r="L52" s="11">
        <f t="shared" si="8"/>
        <v>156013342</v>
      </c>
      <c r="M52" s="33">
        <f t="shared" si="9"/>
        <v>36.52549870010456</v>
      </c>
      <c r="N52" s="33">
        <f t="shared" si="12"/>
        <v>36.52549870010456</v>
      </c>
      <c r="O52" s="15"/>
      <c r="P52" s="2"/>
      <c r="Q52" s="2"/>
      <c r="R52" s="2"/>
      <c r="S52" s="32">
        <f>13000000+62000000+21078000</f>
        <v>96078000</v>
      </c>
      <c r="T52" s="32">
        <f>13715000+36899000+65410000</f>
        <v>116024000</v>
      </c>
      <c r="U52" s="32">
        <f t="shared" si="13"/>
        <v>116024000</v>
      </c>
      <c r="V52" s="32">
        <f t="shared" si="14"/>
        <v>116024000</v>
      </c>
      <c r="W52" s="32">
        <f t="shared" si="15"/>
        <v>116024000</v>
      </c>
      <c r="X52" s="32">
        <f t="shared" si="10"/>
        <v>129765000</v>
      </c>
      <c r="Y52" s="2"/>
      <c r="Z52" s="28">
        <f t="shared" si="11"/>
        <v>47.2047162403525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1:53" ht="12.75">
      <c r="A53" s="2" t="s">
        <v>12</v>
      </c>
      <c r="B53" s="2">
        <v>1</v>
      </c>
      <c r="C53" s="2">
        <v>5</v>
      </c>
      <c r="D53" s="2">
        <v>0</v>
      </c>
      <c r="E53" s="2">
        <v>1</v>
      </c>
      <c r="F53" s="2" t="s">
        <v>18</v>
      </c>
      <c r="G53" s="32">
        <v>87565000</v>
      </c>
      <c r="H53" s="11">
        <v>0</v>
      </c>
      <c r="I53" s="11">
        <f t="shared" si="16"/>
        <v>87565000</v>
      </c>
      <c r="J53" s="31">
        <f>+I53</f>
        <v>87565000</v>
      </c>
      <c r="K53" s="31">
        <f>+J53</f>
        <v>87565000</v>
      </c>
      <c r="L53" s="11">
        <f t="shared" si="8"/>
        <v>0</v>
      </c>
      <c r="M53" s="33">
        <f t="shared" si="9"/>
        <v>100</v>
      </c>
      <c r="N53" s="33">
        <f t="shared" si="12"/>
        <v>100</v>
      </c>
      <c r="O53" s="15"/>
      <c r="P53" s="2"/>
      <c r="Q53" s="2"/>
      <c r="R53" s="2"/>
      <c r="S53" s="32">
        <f>+I53</f>
        <v>87565000</v>
      </c>
      <c r="T53" s="32">
        <v>87565000</v>
      </c>
      <c r="U53" s="32">
        <f>+T53</f>
        <v>87565000</v>
      </c>
      <c r="V53" s="32">
        <f t="shared" si="14"/>
        <v>87565000</v>
      </c>
      <c r="W53" s="32">
        <f t="shared" si="15"/>
        <v>87565000</v>
      </c>
      <c r="X53" s="32">
        <f t="shared" si="10"/>
        <v>0</v>
      </c>
      <c r="Y53" s="2"/>
      <c r="Z53" s="28">
        <f t="shared" si="11"/>
        <v>100</v>
      </c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1:53" ht="12.75">
      <c r="A54" s="2" t="s">
        <v>12</v>
      </c>
      <c r="B54" s="2">
        <v>1</v>
      </c>
      <c r="C54" s="2">
        <v>5</v>
      </c>
      <c r="D54" s="2">
        <v>0</v>
      </c>
      <c r="E54" s="2">
        <v>2</v>
      </c>
      <c r="F54" s="2" t="s">
        <v>19</v>
      </c>
      <c r="G54" s="4">
        <f>249123000-27345600-27345600</f>
        <v>194431800</v>
      </c>
      <c r="H54" s="11">
        <v>0</v>
      </c>
      <c r="I54" s="11">
        <f t="shared" si="16"/>
        <v>194431800</v>
      </c>
      <c r="J54" s="31">
        <v>121440353</v>
      </c>
      <c r="K54" s="31">
        <v>121440353</v>
      </c>
      <c r="L54" s="11">
        <f t="shared" si="8"/>
        <v>72991447</v>
      </c>
      <c r="M54" s="33">
        <f t="shared" si="9"/>
        <v>62.45910031178028</v>
      </c>
      <c r="N54" s="33">
        <f t="shared" si="12"/>
        <v>62.45910031178028</v>
      </c>
      <c r="O54" s="15"/>
      <c r="P54" s="2"/>
      <c r="Q54" s="2"/>
      <c r="R54" s="2"/>
      <c r="S54" s="4">
        <f>+I54</f>
        <v>194431800</v>
      </c>
      <c r="T54" s="32">
        <v>193891800</v>
      </c>
      <c r="U54" s="32">
        <f t="shared" si="13"/>
        <v>193891800</v>
      </c>
      <c r="V54" s="32">
        <f t="shared" si="14"/>
        <v>193891800</v>
      </c>
      <c r="W54" s="32">
        <f t="shared" si="15"/>
        <v>193891800</v>
      </c>
      <c r="X54" s="32">
        <f t="shared" si="10"/>
        <v>540000</v>
      </c>
      <c r="Y54" s="2"/>
      <c r="Z54" s="28">
        <f t="shared" si="11"/>
        <v>99.72226765374799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1:53" ht="12.75">
      <c r="A55" s="2" t="s">
        <v>12</v>
      </c>
      <c r="B55" s="2">
        <v>1</v>
      </c>
      <c r="C55" s="2">
        <v>5</v>
      </c>
      <c r="D55" s="2">
        <v>0</v>
      </c>
      <c r="E55" s="2">
        <v>6</v>
      </c>
      <c r="F55" s="2" t="s">
        <v>37</v>
      </c>
      <c r="G55" s="32">
        <v>27345600</v>
      </c>
      <c r="H55" s="11">
        <v>0</v>
      </c>
      <c r="I55" s="11">
        <f t="shared" si="16"/>
        <v>27345600</v>
      </c>
      <c r="J55" s="31">
        <v>22149500</v>
      </c>
      <c r="K55" s="31">
        <v>22149500</v>
      </c>
      <c r="L55" s="11">
        <f t="shared" si="8"/>
        <v>5196100</v>
      </c>
      <c r="M55" s="33">
        <f t="shared" si="9"/>
        <v>80.99840559358726</v>
      </c>
      <c r="N55" s="33">
        <f t="shared" si="12"/>
        <v>80.99840559358726</v>
      </c>
      <c r="O55" s="15"/>
      <c r="P55" s="2"/>
      <c r="Q55" s="2"/>
      <c r="R55" s="2"/>
      <c r="S55" s="32">
        <f>+I55</f>
        <v>27345600</v>
      </c>
      <c r="T55" s="32">
        <f>+I55</f>
        <v>27345600</v>
      </c>
      <c r="U55" s="32">
        <f t="shared" si="13"/>
        <v>27345600</v>
      </c>
      <c r="V55" s="32">
        <f t="shared" si="14"/>
        <v>27345600</v>
      </c>
      <c r="W55" s="32">
        <f t="shared" si="15"/>
        <v>27345600</v>
      </c>
      <c r="X55" s="32">
        <f t="shared" si="10"/>
        <v>0</v>
      </c>
      <c r="Y55" s="2"/>
      <c r="Z55" s="28">
        <f t="shared" si="11"/>
        <v>100</v>
      </c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1:53" ht="12.75">
      <c r="A56" s="2" t="s">
        <v>12</v>
      </c>
      <c r="B56" s="2">
        <v>1</v>
      </c>
      <c r="C56" s="2">
        <v>5</v>
      </c>
      <c r="D56" s="2">
        <v>0</v>
      </c>
      <c r="E56" s="2">
        <v>7</v>
      </c>
      <c r="F56" s="2" t="s">
        <v>38</v>
      </c>
      <c r="G56" s="32">
        <v>27345600</v>
      </c>
      <c r="H56" s="11">
        <v>0</v>
      </c>
      <c r="I56" s="11">
        <f t="shared" si="16"/>
        <v>27345600</v>
      </c>
      <c r="J56" s="31">
        <v>17684200</v>
      </c>
      <c r="K56" s="31">
        <v>17684200</v>
      </c>
      <c r="L56" s="11">
        <f t="shared" si="8"/>
        <v>9661400</v>
      </c>
      <c r="M56" s="33">
        <f t="shared" si="9"/>
        <v>64.6692703762214</v>
      </c>
      <c r="N56" s="33">
        <f t="shared" si="12"/>
        <v>64.6692703762214</v>
      </c>
      <c r="O56" s="15"/>
      <c r="P56" s="2"/>
      <c r="Q56" s="2"/>
      <c r="R56" s="2"/>
      <c r="S56" s="32">
        <f>+I56</f>
        <v>27345600</v>
      </c>
      <c r="T56" s="32">
        <f>+I56</f>
        <v>27345600</v>
      </c>
      <c r="U56" s="32">
        <f t="shared" si="13"/>
        <v>27345600</v>
      </c>
      <c r="V56" s="32">
        <f t="shared" si="14"/>
        <v>27345600</v>
      </c>
      <c r="W56" s="32">
        <f t="shared" si="15"/>
        <v>27345600</v>
      </c>
      <c r="X56" s="32">
        <f t="shared" si="10"/>
        <v>0</v>
      </c>
      <c r="Y56" s="2"/>
      <c r="Z56" s="28">
        <f t="shared" si="11"/>
        <v>100</v>
      </c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1:53" ht="12.75">
      <c r="A57" s="2" t="s">
        <v>12</v>
      </c>
      <c r="B57" s="2">
        <v>2</v>
      </c>
      <c r="C57" s="2">
        <v>0</v>
      </c>
      <c r="D57" s="2">
        <v>0</v>
      </c>
      <c r="E57" s="2">
        <v>0</v>
      </c>
      <c r="F57" s="3" t="s">
        <v>20</v>
      </c>
      <c r="G57" s="30">
        <f>SUM(G58:G59)</f>
        <v>24067000</v>
      </c>
      <c r="H57" s="31">
        <f>SUM(H58:H59)</f>
        <v>0</v>
      </c>
      <c r="I57" s="31">
        <f t="shared" si="16"/>
        <v>24067000</v>
      </c>
      <c r="J57" s="31">
        <f>+J58+J59</f>
        <v>24067000</v>
      </c>
      <c r="K57" s="31">
        <f>+K58+K59</f>
        <v>24067000</v>
      </c>
      <c r="L57" s="11">
        <f t="shared" si="8"/>
        <v>0</v>
      </c>
      <c r="M57" s="33">
        <f t="shared" si="9"/>
        <v>100</v>
      </c>
      <c r="N57" s="33">
        <f t="shared" si="12"/>
        <v>100</v>
      </c>
      <c r="O57" s="33"/>
      <c r="P57" s="2"/>
      <c r="Q57" s="2"/>
      <c r="R57" s="2"/>
      <c r="S57" s="30">
        <f>SUM(S58:S59)</f>
        <v>24067000</v>
      </c>
      <c r="T57" s="30">
        <f>SUM(T58:T59)</f>
        <v>24067000</v>
      </c>
      <c r="U57" s="30">
        <f>SUM(U58:U59)</f>
        <v>24067000</v>
      </c>
      <c r="V57" s="30">
        <f>SUM(V58:V59)</f>
        <v>24067000</v>
      </c>
      <c r="W57" s="30">
        <f>SUM(W58:W59)</f>
        <v>20090800</v>
      </c>
      <c r="X57" s="32">
        <f t="shared" si="10"/>
        <v>0</v>
      </c>
      <c r="Y57" s="2"/>
      <c r="Z57" s="28">
        <f t="shared" si="11"/>
        <v>100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1:53" ht="12.75">
      <c r="A58" s="2" t="s">
        <v>12</v>
      </c>
      <c r="B58" s="2">
        <v>2</v>
      </c>
      <c r="C58" s="2">
        <v>0</v>
      </c>
      <c r="D58" s="2">
        <v>4</v>
      </c>
      <c r="E58" s="2">
        <v>0</v>
      </c>
      <c r="F58" s="2" t="s">
        <v>21</v>
      </c>
      <c r="G58" s="32">
        <v>22601000</v>
      </c>
      <c r="H58" s="11">
        <v>0</v>
      </c>
      <c r="I58" s="11">
        <f>+G58+H58</f>
        <v>22601000</v>
      </c>
      <c r="J58" s="31">
        <f>+I58</f>
        <v>22601000</v>
      </c>
      <c r="K58" s="31">
        <f>+J58</f>
        <v>22601000</v>
      </c>
      <c r="L58" s="11">
        <f t="shared" si="8"/>
        <v>0</v>
      </c>
      <c r="M58" s="33">
        <f t="shared" si="9"/>
        <v>100</v>
      </c>
      <c r="N58" s="33">
        <f t="shared" si="12"/>
        <v>100</v>
      </c>
      <c r="O58" s="15"/>
      <c r="P58" s="2"/>
      <c r="Q58" s="2"/>
      <c r="R58" s="2"/>
      <c r="S58" s="32">
        <f>+I58</f>
        <v>22601000</v>
      </c>
      <c r="T58" s="32">
        <f>+I58</f>
        <v>22601000</v>
      </c>
      <c r="U58" s="32">
        <f>+T58</f>
        <v>22601000</v>
      </c>
      <c r="V58" s="32">
        <f>+T58</f>
        <v>22601000</v>
      </c>
      <c r="W58" s="32">
        <v>18624800</v>
      </c>
      <c r="X58" s="32">
        <f t="shared" si="10"/>
        <v>0</v>
      </c>
      <c r="Y58" s="2"/>
      <c r="Z58" s="28">
        <f t="shared" si="11"/>
        <v>100</v>
      </c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  <row r="59" spans="1:53" ht="12.75">
      <c r="A59" s="2" t="s">
        <v>12</v>
      </c>
      <c r="B59" s="2">
        <v>2</v>
      </c>
      <c r="C59" s="2">
        <v>0</v>
      </c>
      <c r="D59" s="2">
        <v>3</v>
      </c>
      <c r="E59" s="2">
        <v>50</v>
      </c>
      <c r="F59" s="2" t="s">
        <v>22</v>
      </c>
      <c r="G59" s="32">
        <v>1466000</v>
      </c>
      <c r="H59" s="11">
        <v>0</v>
      </c>
      <c r="I59" s="11">
        <f>+G59+H59</f>
        <v>1466000</v>
      </c>
      <c r="J59" s="31">
        <f>+I59</f>
        <v>1466000</v>
      </c>
      <c r="K59" s="31">
        <f>+J59</f>
        <v>1466000</v>
      </c>
      <c r="L59" s="11">
        <f t="shared" si="8"/>
        <v>0</v>
      </c>
      <c r="M59" s="33">
        <f t="shared" si="9"/>
        <v>100</v>
      </c>
      <c r="N59" s="33">
        <f t="shared" si="12"/>
        <v>100</v>
      </c>
      <c r="O59" s="15"/>
      <c r="P59" s="2"/>
      <c r="Q59" s="2"/>
      <c r="R59" s="2"/>
      <c r="S59" s="32">
        <f>+I59</f>
        <v>1466000</v>
      </c>
      <c r="T59" s="32">
        <f>+I59</f>
        <v>1466000</v>
      </c>
      <c r="U59" s="32">
        <f>+T59</f>
        <v>1466000</v>
      </c>
      <c r="V59" s="32">
        <f>+T59</f>
        <v>1466000</v>
      </c>
      <c r="W59" s="32">
        <f>+V59</f>
        <v>1466000</v>
      </c>
      <c r="X59" s="32">
        <f t="shared" si="10"/>
        <v>0</v>
      </c>
      <c r="Y59" s="2"/>
      <c r="Z59" s="28">
        <v>0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</row>
    <row r="60" spans="1:53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2">
        <f>+G61</f>
        <v>10538000</v>
      </c>
      <c r="H60" s="11">
        <f>+H61</f>
        <v>0</v>
      </c>
      <c r="I60" s="11">
        <f>+G60+H60</f>
        <v>10538000</v>
      </c>
      <c r="J60" s="31">
        <f>+J61</f>
        <v>0</v>
      </c>
      <c r="K60" s="31">
        <f>+K61</f>
        <v>0</v>
      </c>
      <c r="L60" s="11">
        <f t="shared" si="8"/>
        <v>10538000</v>
      </c>
      <c r="M60" s="33">
        <f t="shared" si="9"/>
        <v>0</v>
      </c>
      <c r="N60" s="33">
        <f t="shared" si="12"/>
        <v>0</v>
      </c>
      <c r="O60" s="15"/>
      <c r="P60" s="2"/>
      <c r="Q60" s="2"/>
      <c r="R60" s="2"/>
      <c r="S60" s="32">
        <f>+S61</f>
        <v>0</v>
      </c>
      <c r="T60" s="32">
        <f>+T61</f>
        <v>0</v>
      </c>
      <c r="U60" s="32">
        <f>+U61</f>
        <v>0</v>
      </c>
      <c r="V60" s="32">
        <f>+V61</f>
        <v>0</v>
      </c>
      <c r="W60" s="32">
        <f>+W61</f>
        <v>0</v>
      </c>
      <c r="X60" s="32">
        <f t="shared" si="10"/>
        <v>10538000</v>
      </c>
      <c r="Y60" s="2"/>
      <c r="Z60" s="28">
        <v>0</v>
      </c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</row>
    <row r="61" spans="1:53" ht="12.75">
      <c r="A61" s="2" t="s">
        <v>12</v>
      </c>
      <c r="B61" s="2">
        <v>3</v>
      </c>
      <c r="C61" s="2">
        <v>2</v>
      </c>
      <c r="D61" s="2">
        <v>1</v>
      </c>
      <c r="E61" s="2">
        <v>1</v>
      </c>
      <c r="F61" s="2" t="s">
        <v>23</v>
      </c>
      <c r="G61" s="32">
        <v>10538000</v>
      </c>
      <c r="H61" s="11">
        <v>0</v>
      </c>
      <c r="I61" s="11">
        <f>+G61+H61</f>
        <v>10538000</v>
      </c>
      <c r="J61" s="31">
        <v>0</v>
      </c>
      <c r="K61" s="31">
        <v>0</v>
      </c>
      <c r="L61" s="11">
        <f t="shared" si="8"/>
        <v>10538000</v>
      </c>
      <c r="M61" s="33">
        <f t="shared" si="9"/>
        <v>0</v>
      </c>
      <c r="N61" s="33">
        <f t="shared" si="12"/>
        <v>0</v>
      </c>
      <c r="O61" s="15"/>
      <c r="P61" s="2"/>
      <c r="Q61" s="2"/>
      <c r="R61" s="2"/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f t="shared" si="10"/>
        <v>10538000</v>
      </c>
      <c r="Y61" s="2"/>
      <c r="Z61" s="28">
        <v>0</v>
      </c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1:53" ht="12.75">
      <c r="A62" s="8" t="s">
        <v>1</v>
      </c>
      <c r="B62" s="8" t="s">
        <v>1</v>
      </c>
      <c r="C62" s="8" t="s">
        <v>1</v>
      </c>
      <c r="D62" s="8" t="s">
        <v>1</v>
      </c>
      <c r="E62" s="8" t="s">
        <v>1</v>
      </c>
      <c r="F62" s="8" t="s">
        <v>26</v>
      </c>
      <c r="G62" s="4" t="s">
        <v>1</v>
      </c>
      <c r="H62" s="13" t="s">
        <v>1</v>
      </c>
      <c r="I62" s="13" t="s">
        <v>1</v>
      </c>
      <c r="J62" s="31" t="s">
        <v>1</v>
      </c>
      <c r="K62" s="31"/>
      <c r="L62" s="12"/>
      <c r="M62" s="33" t="s">
        <v>1</v>
      </c>
      <c r="N62" s="15"/>
      <c r="O62" s="15"/>
      <c r="P62" s="2"/>
      <c r="Q62" s="2"/>
      <c r="R62" s="2"/>
      <c r="S62" s="2"/>
      <c r="T62" s="2"/>
      <c r="U62" s="2"/>
      <c r="V62" s="2"/>
      <c r="W62" s="2"/>
      <c r="X62" s="2"/>
      <c r="Y62" s="2"/>
      <c r="Z62" s="28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7:53" ht="12.75">
      <c r="G63" s="34" t="s">
        <v>1</v>
      </c>
      <c r="H63" s="79" t="s">
        <v>1</v>
      </c>
      <c r="I63" s="78" t="s">
        <v>1</v>
      </c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7:53" ht="12.75">
      <c r="G64" s="34"/>
      <c r="H64" s="82"/>
      <c r="I64" s="83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96"/>
      <c r="U64" s="85"/>
      <c r="V64" s="85"/>
      <c r="W64" s="85"/>
      <c r="X64" s="96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7:53" ht="15">
      <c r="G65" s="7"/>
      <c r="H65" s="84"/>
      <c r="I65" s="97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1"/>
      <c r="Z65" s="1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7:53" ht="12.75">
      <c r="G66" s="7"/>
      <c r="H66" s="84"/>
      <c r="I66" s="83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1"/>
      <c r="Z66" s="1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7:53" ht="12.75">
      <c r="G67" s="1"/>
      <c r="H67" s="84"/>
      <c r="I67" s="84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1"/>
      <c r="Z67" s="1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7:53" ht="12.75">
      <c r="G68" s="7"/>
      <c r="H68" s="84"/>
      <c r="I68" s="84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1"/>
      <c r="Z68" s="1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7:53" ht="12.75">
      <c r="G69" s="1"/>
      <c r="H69" s="84"/>
      <c r="I69" s="84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84"/>
      <c r="U69" s="84"/>
      <c r="V69" s="84"/>
      <c r="W69" s="84"/>
      <c r="X69" s="58"/>
      <c r="Y69" s="1"/>
      <c r="Z69" s="1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7:53" ht="12.75">
      <c r="G70" s="1"/>
      <c r="H70" s="84"/>
      <c r="I70" s="84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84"/>
      <c r="U70" s="84"/>
      <c r="V70" s="84"/>
      <c r="W70" s="84"/>
      <c r="X70" s="58"/>
      <c r="Y70" s="1"/>
      <c r="Z70" s="1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7:53" ht="12.75">
      <c r="G71" s="1"/>
      <c r="H71" s="84"/>
      <c r="I71" s="83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84"/>
      <c r="U71" s="84"/>
      <c r="V71" s="84"/>
      <c r="W71" s="84"/>
      <c r="X71" s="58"/>
      <c r="Y71" s="1"/>
      <c r="Z71" s="1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72" spans="7:53" ht="12.75">
      <c r="G72" s="1"/>
      <c r="H72" s="84"/>
      <c r="I72" s="83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84"/>
      <c r="U72" s="84"/>
      <c r="V72" s="84"/>
      <c r="W72" s="84"/>
      <c r="X72" s="58"/>
      <c r="Y72" s="1"/>
      <c r="Z72" s="1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</row>
    <row r="73" spans="7:53" ht="12.75">
      <c r="G73" s="1"/>
      <c r="H73" s="84"/>
      <c r="I73" s="83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83"/>
      <c r="U73" s="83"/>
      <c r="V73" s="83"/>
      <c r="W73" s="83"/>
      <c r="X73" s="58"/>
      <c r="Y73" s="1"/>
      <c r="Z73" s="1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</row>
    <row r="74" spans="7:53" ht="12.75">
      <c r="G74" s="1"/>
      <c r="H74" s="84"/>
      <c r="I74" s="84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1"/>
      <c r="Z74" s="1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</row>
    <row r="75" spans="7:53" ht="12.75">
      <c r="G75" s="1"/>
      <c r="H75" s="84"/>
      <c r="I75" s="84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1"/>
      <c r="Z75" s="1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</row>
    <row r="76" spans="7:53" ht="12.75">
      <c r="G76" s="1"/>
      <c r="H76" s="84"/>
      <c r="I76" s="84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1"/>
      <c r="Z76" s="1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</row>
    <row r="77" spans="7:53" ht="12.75">
      <c r="G77" s="1"/>
      <c r="H77" s="84"/>
      <c r="I77" s="83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99"/>
      <c r="U77" s="58"/>
      <c r="V77" s="58"/>
      <c r="W77" s="58"/>
      <c r="X77" s="58"/>
      <c r="Y77" s="1"/>
      <c r="Z77" s="1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7:53" ht="12.75">
      <c r="G78" s="1"/>
      <c r="H78" s="84"/>
      <c r="I78" s="84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1"/>
      <c r="Z78" s="1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</row>
    <row r="79" spans="7:53" ht="12.75">
      <c r="G79" s="1"/>
      <c r="H79" s="98"/>
      <c r="I79" s="9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</row>
    <row r="80" spans="7:53" ht="12.75">
      <c r="G80" s="1"/>
      <c r="H80" s="98"/>
      <c r="I80" s="9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</row>
    <row r="81" spans="7:53" ht="12.75">
      <c r="G81" s="1"/>
      <c r="H81" s="98"/>
      <c r="I81" s="9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</row>
    <row r="82" spans="7:53" ht="12.75">
      <c r="G82" s="1"/>
      <c r="H82" s="98"/>
      <c r="I82" s="9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</row>
    <row r="83" spans="7:53" ht="12.75">
      <c r="G83" s="1"/>
      <c r="H83" s="98"/>
      <c r="I83" s="9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</row>
    <row r="84" spans="7:53" ht="12.75">
      <c r="G84" s="1"/>
      <c r="H84" s="98"/>
      <c r="I84" s="9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</row>
    <row r="85" spans="7:53" ht="12.75">
      <c r="G85" s="1"/>
      <c r="H85" s="98"/>
      <c r="I85" s="9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</row>
    <row r="86" spans="7:53" ht="12.75">
      <c r="G86" s="1"/>
      <c r="H86" s="98"/>
      <c r="I86" s="9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</row>
    <row r="87" spans="7:53" ht="12.75">
      <c r="G87" s="1"/>
      <c r="H87" s="98"/>
      <c r="I87" s="9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</row>
    <row r="88" spans="7:53" ht="12.75">
      <c r="G88" s="1"/>
      <c r="H88" s="98"/>
      <c r="I88" s="9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</row>
    <row r="89" spans="7:53" ht="12.75">
      <c r="G89" s="1"/>
      <c r="H89" s="98"/>
      <c r="I89" s="9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</row>
    <row r="90" spans="7:53" ht="12.75">
      <c r="G90" s="1"/>
      <c r="H90" s="98"/>
      <c r="I90" s="9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</row>
    <row r="91" spans="7:53" ht="12.75">
      <c r="G91" s="1"/>
      <c r="H91" s="98"/>
      <c r="I91" s="9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</row>
    <row r="92" spans="7:53" ht="12.75">
      <c r="G92" s="1"/>
      <c r="H92" s="98"/>
      <c r="I92" s="9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</row>
    <row r="93" spans="7:53" ht="12.75">
      <c r="G93" s="1"/>
      <c r="H93" s="98"/>
      <c r="I93" s="9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7:53" ht="12.75">
      <c r="G94" s="1"/>
      <c r="H94" s="98"/>
      <c r="I94" s="9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</row>
    <row r="95" spans="7:53" ht="12.75">
      <c r="G95" s="1"/>
      <c r="H95" s="98"/>
      <c r="I95" s="9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</row>
    <row r="96" spans="7:53" ht="12.75">
      <c r="G96" s="1"/>
      <c r="H96" s="98"/>
      <c r="I96" s="9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</row>
    <row r="97" spans="7:53" ht="12.75">
      <c r="G97" s="1"/>
      <c r="H97" s="98"/>
      <c r="I97" s="9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</row>
    <row r="98" spans="7:53" ht="12.75">
      <c r="G98" s="1"/>
      <c r="H98" s="98"/>
      <c r="I98" s="9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</row>
    <row r="99" spans="7:53" ht="12.75">
      <c r="G99" s="1"/>
      <c r="H99" s="98"/>
      <c r="I99" s="9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</row>
    <row r="100" spans="7:53" ht="12.75">
      <c r="G100" s="1"/>
      <c r="H100" s="98"/>
      <c r="I100" s="9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</row>
    <row r="101" spans="7:53" ht="12.75">
      <c r="G101" s="1"/>
      <c r="H101" s="98"/>
      <c r="I101" s="9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</row>
    <row r="102" spans="7:53" ht="12.75">
      <c r="G102" s="1"/>
      <c r="H102" s="98"/>
      <c r="I102" s="9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</row>
    <row r="103" spans="7:53" ht="12.75">
      <c r="G103" s="1"/>
      <c r="H103" s="98"/>
      <c r="I103" s="9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</row>
    <row r="104" spans="7:53" ht="12.75">
      <c r="G104" s="1"/>
      <c r="H104" s="98"/>
      <c r="I104" s="9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</row>
    <row r="105" spans="7:53" ht="12.75">
      <c r="G105" s="1"/>
      <c r="H105" s="98"/>
      <c r="I105" s="9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</row>
    <row r="106" spans="7:53" ht="12.75">
      <c r="G106" s="1"/>
      <c r="H106" s="98"/>
      <c r="I106" s="9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</row>
    <row r="107" spans="7:26" ht="12.75">
      <c r="G107" s="1"/>
      <c r="H107" s="98"/>
      <c r="I107" s="9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7:26" ht="12.75">
      <c r="G108" s="1"/>
      <c r="H108" s="98"/>
      <c r="I108" s="9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7:26" ht="12.75">
      <c r="G109" s="1"/>
      <c r="H109" s="98"/>
      <c r="I109" s="9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7:26" ht="12.75">
      <c r="G110" s="1"/>
      <c r="H110" s="98"/>
      <c r="I110" s="9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7:26" ht="12.75">
      <c r="G111" s="1"/>
      <c r="H111" s="98"/>
      <c r="I111" s="9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7:26" ht="12.75">
      <c r="G112" s="1"/>
      <c r="H112" s="98"/>
      <c r="I112" s="9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7:26" ht="12.75">
      <c r="G113" s="1"/>
      <c r="H113" s="98"/>
      <c r="I113" s="9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7:26" ht="12.75">
      <c r="G114" s="1"/>
      <c r="H114" s="98"/>
      <c r="I114" s="9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7:26" ht="12.75">
      <c r="G115" s="1"/>
      <c r="H115" s="98"/>
      <c r="I115" s="9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7:26" ht="12.75">
      <c r="G116" s="1"/>
      <c r="H116" s="98"/>
      <c r="I116" s="9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</sheetData>
  <sheetProtection/>
  <mergeCells count="6">
    <mergeCell ref="A39:Z39"/>
    <mergeCell ref="A1:Z1"/>
    <mergeCell ref="A2:Z2"/>
    <mergeCell ref="A3:Z3"/>
    <mergeCell ref="A38:Z38"/>
    <mergeCell ref="A37:Z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0"/>
  <sheetViews>
    <sheetView zoomScalePageLayoutView="0" workbookViewId="0" topLeftCell="A1">
      <selection activeCell="A35" sqref="A35"/>
    </sheetView>
  </sheetViews>
  <sheetFormatPr defaultColWidth="11.421875" defaultRowHeight="12.75"/>
  <cols>
    <col min="1" max="1" width="54.7109375" style="0" customWidth="1"/>
    <col min="2" max="2" width="19.8515625" style="0" customWidth="1"/>
    <col min="3" max="3" width="22.00390625" style="0" customWidth="1"/>
    <col min="4" max="4" width="17.7109375" style="0" customWidth="1"/>
    <col min="5" max="5" width="22.57421875" style="0" customWidth="1"/>
    <col min="6" max="6" width="15.28125" style="0" customWidth="1"/>
    <col min="8" max="8" width="13.7109375" style="0" bestFit="1" customWidth="1"/>
    <col min="9" max="9" width="13.28125" style="0" bestFit="1" customWidth="1"/>
    <col min="10" max="10" width="13.7109375" style="0" bestFit="1" customWidth="1"/>
    <col min="11" max="11" width="16.57421875" style="0" customWidth="1"/>
  </cols>
  <sheetData>
    <row r="2" spans="2:8" ht="12.75">
      <c r="B2" s="55" t="s">
        <v>131</v>
      </c>
      <c r="H2" s="55" t="s">
        <v>132</v>
      </c>
    </row>
    <row r="3" spans="1:12" ht="12.75">
      <c r="A3" t="s">
        <v>103</v>
      </c>
      <c r="B3" s="1">
        <f>SUM(B6:B13)</f>
        <v>203784164</v>
      </c>
      <c r="C3" s="1">
        <f>SUM(C6:C13)</f>
        <v>43500000</v>
      </c>
      <c r="D3" s="1">
        <f>+B3+C3</f>
        <v>247284164</v>
      </c>
      <c r="E3" s="1">
        <f>SUM(E6:E13)</f>
        <v>245322873</v>
      </c>
      <c r="F3" s="1">
        <f>+D3-E3</f>
        <v>1961291</v>
      </c>
      <c r="G3" s="1"/>
      <c r="H3" s="1">
        <f>SUM(H6:H12)</f>
        <v>219078000</v>
      </c>
      <c r="I3" s="1">
        <f>SUM(I6:I12)</f>
        <v>-22867271</v>
      </c>
      <c r="J3" s="1">
        <f>SUM(J6:J12)</f>
        <v>196210729</v>
      </c>
      <c r="K3" s="1">
        <f>SUM(K6:K12)</f>
        <v>196210729</v>
      </c>
      <c r="L3" s="1"/>
    </row>
    <row r="4" spans="2:12" ht="12.75">
      <c r="B4" s="1"/>
      <c r="C4" s="1"/>
      <c r="D4" s="7" t="s">
        <v>1</v>
      </c>
      <c r="E4" s="1"/>
      <c r="F4" s="1"/>
      <c r="G4" s="1"/>
      <c r="H4" s="1"/>
      <c r="I4" s="1"/>
      <c r="J4" s="1"/>
      <c r="K4" s="1"/>
      <c r="L4" s="1"/>
    </row>
    <row r="5" spans="2:12" ht="12.75">
      <c r="B5" s="1"/>
      <c r="C5" s="1"/>
      <c r="D5" s="7" t="s">
        <v>1</v>
      </c>
      <c r="E5" s="1"/>
      <c r="F5" s="1"/>
      <c r="G5" s="1"/>
      <c r="H5" s="1"/>
      <c r="I5" s="1"/>
      <c r="J5" s="1"/>
      <c r="K5" s="1"/>
      <c r="L5" s="1"/>
    </row>
    <row r="6" spans="1:12" ht="12.75">
      <c r="A6" t="s">
        <v>104</v>
      </c>
      <c r="B6" s="1">
        <v>43434833</v>
      </c>
      <c r="C6" s="1">
        <v>100000</v>
      </c>
      <c r="D6" s="1">
        <f aca="true" t="shared" si="0" ref="D6:D69">+B6+C6</f>
        <v>43534833</v>
      </c>
      <c r="E6" s="1">
        <v>43491295</v>
      </c>
      <c r="F6" s="1">
        <f aca="true" t="shared" si="1" ref="F6:F49">+D6-E6</f>
        <v>43538</v>
      </c>
      <c r="G6" s="1"/>
      <c r="H6" s="1">
        <v>13000000</v>
      </c>
      <c r="I6" s="1"/>
      <c r="J6" s="1">
        <f aca="true" t="shared" si="2" ref="J6:J11">+H6-I6</f>
        <v>13000000</v>
      </c>
      <c r="K6" s="1">
        <f>+J6</f>
        <v>13000000</v>
      </c>
      <c r="L6" s="1"/>
    </row>
    <row r="7" spans="1:12" ht="12.75">
      <c r="A7" t="s">
        <v>105</v>
      </c>
      <c r="B7" s="1">
        <v>9196054</v>
      </c>
      <c r="C7" s="1">
        <v>2100000</v>
      </c>
      <c r="D7" s="1">
        <f t="shared" si="0"/>
        <v>11296054</v>
      </c>
      <c r="E7" s="1">
        <v>11239919</v>
      </c>
      <c r="F7" s="1">
        <f t="shared" si="1"/>
        <v>56135</v>
      </c>
      <c r="G7" s="1"/>
      <c r="H7" s="1"/>
      <c r="I7" s="1"/>
      <c r="J7" s="1">
        <f t="shared" si="2"/>
        <v>0</v>
      </c>
      <c r="K7" s="1"/>
      <c r="L7" s="1"/>
    </row>
    <row r="8" spans="1:12" ht="12.75">
      <c r="A8" t="s">
        <v>106</v>
      </c>
      <c r="B8" s="1">
        <v>6569244</v>
      </c>
      <c r="C8" s="1"/>
      <c r="D8" s="1">
        <f t="shared" si="0"/>
        <v>6569244</v>
      </c>
      <c r="E8" s="1">
        <v>6489558</v>
      </c>
      <c r="F8" s="1">
        <f t="shared" si="1"/>
        <v>79686</v>
      </c>
      <c r="G8" s="1"/>
      <c r="H8" s="1"/>
      <c r="I8" s="1"/>
      <c r="J8" s="1">
        <f t="shared" si="2"/>
        <v>0</v>
      </c>
      <c r="K8" s="1"/>
      <c r="L8" s="1"/>
    </row>
    <row r="9" spans="1:12" ht="12.75">
      <c r="A9" t="s">
        <v>107</v>
      </c>
      <c r="B9" s="1">
        <v>6216000</v>
      </c>
      <c r="C9" s="1"/>
      <c r="D9" s="1">
        <f t="shared" si="0"/>
        <v>6216000</v>
      </c>
      <c r="E9" s="1">
        <v>5873557</v>
      </c>
      <c r="F9" s="1">
        <f t="shared" si="1"/>
        <v>342443</v>
      </c>
      <c r="G9" s="1"/>
      <c r="H9" s="1"/>
      <c r="I9" s="1"/>
      <c r="J9" s="1">
        <f t="shared" si="2"/>
        <v>0</v>
      </c>
      <c r="K9" s="1"/>
      <c r="L9" s="1"/>
    </row>
    <row r="10" spans="1:12" ht="12.75">
      <c r="A10" t="s">
        <v>108</v>
      </c>
      <c r="B10" s="1">
        <v>19078981</v>
      </c>
      <c r="C10" s="1">
        <v>-4400000</v>
      </c>
      <c r="D10" s="1">
        <f t="shared" si="0"/>
        <v>14678981</v>
      </c>
      <c r="E10" s="1">
        <v>14654699</v>
      </c>
      <c r="F10" s="1">
        <f t="shared" si="1"/>
        <v>24282</v>
      </c>
      <c r="G10" s="1"/>
      <c r="H10" s="1">
        <v>62000000</v>
      </c>
      <c r="I10" s="1"/>
      <c r="J10" s="1">
        <f t="shared" si="2"/>
        <v>62000000</v>
      </c>
      <c r="K10" s="1">
        <f>+J10</f>
        <v>62000000</v>
      </c>
      <c r="L10" s="1"/>
    </row>
    <row r="11" spans="1:12" ht="12.75">
      <c r="A11" t="s">
        <v>109</v>
      </c>
      <c r="B11" s="1">
        <v>63379272</v>
      </c>
      <c r="C11" s="1">
        <f>76379272-B11</f>
        <v>13000000</v>
      </c>
      <c r="D11" s="1">
        <f t="shared" si="0"/>
        <v>76379272</v>
      </c>
      <c r="E11" s="1">
        <v>76316713</v>
      </c>
      <c r="F11" s="1">
        <f t="shared" si="1"/>
        <v>62559</v>
      </c>
      <c r="G11" s="1"/>
      <c r="H11" s="1">
        <v>21078000</v>
      </c>
      <c r="I11" s="1"/>
      <c r="J11" s="1">
        <f t="shared" si="2"/>
        <v>21078000</v>
      </c>
      <c r="K11" s="1">
        <f>+J11</f>
        <v>21078000</v>
      </c>
      <c r="L11" s="1"/>
    </row>
    <row r="12" spans="1:12" ht="12.75">
      <c r="A12" t="s">
        <v>110</v>
      </c>
      <c r="B12" s="1">
        <v>45505525</v>
      </c>
      <c r="C12" s="1">
        <f>23000000+6000000</f>
        <v>29000000</v>
      </c>
      <c r="D12" s="1">
        <f t="shared" si="0"/>
        <v>74505525</v>
      </c>
      <c r="E12" s="1">
        <v>74399452</v>
      </c>
      <c r="F12" s="1">
        <f t="shared" si="1"/>
        <v>106073</v>
      </c>
      <c r="G12" s="1"/>
      <c r="H12" s="1">
        <f>100132729+22867271</f>
        <v>123000000</v>
      </c>
      <c r="I12" s="1">
        <v>-22867271</v>
      </c>
      <c r="J12" s="1">
        <f>+H12+I12</f>
        <v>100132729</v>
      </c>
      <c r="K12" s="1">
        <f>+J12</f>
        <v>100132729</v>
      </c>
      <c r="L12" s="1"/>
    </row>
    <row r="13" spans="1:12" ht="12.75">
      <c r="A13" t="s">
        <v>111</v>
      </c>
      <c r="B13" s="1">
        <v>10404255</v>
      </c>
      <c r="C13" s="1">
        <v>3700000</v>
      </c>
      <c r="D13" s="1">
        <f t="shared" si="0"/>
        <v>14104255</v>
      </c>
      <c r="E13" s="1">
        <v>12857680</v>
      </c>
      <c r="F13" s="1">
        <f t="shared" si="1"/>
        <v>1246575</v>
      </c>
      <c r="G13" s="1"/>
      <c r="H13" s="1"/>
      <c r="I13" s="1"/>
      <c r="J13" s="1"/>
      <c r="K13" s="1"/>
      <c r="L13" s="1"/>
    </row>
    <row r="14" spans="2:12" ht="12.75">
      <c r="B14" s="1"/>
      <c r="C14" s="1"/>
      <c r="D14" s="1">
        <f t="shared" si="0"/>
        <v>0</v>
      </c>
      <c r="E14" s="1"/>
      <c r="F14" s="1">
        <f t="shared" si="1"/>
        <v>0</v>
      </c>
      <c r="G14" s="1"/>
      <c r="H14" s="1"/>
      <c r="I14" s="1"/>
      <c r="J14" s="1"/>
      <c r="K14" s="1"/>
      <c r="L14" s="1"/>
    </row>
    <row r="15" spans="1:12" ht="12.75">
      <c r="A15" s="55" t="s">
        <v>112</v>
      </c>
      <c r="B15" s="1">
        <f>SUM(B17:B19)</f>
        <v>517824251</v>
      </c>
      <c r="C15" s="1">
        <f>SUM(C17:C19)</f>
        <v>329196000</v>
      </c>
      <c r="D15" s="1">
        <f t="shared" si="0"/>
        <v>847020251</v>
      </c>
      <c r="E15" s="1">
        <f>SUM(E17:E19)</f>
        <v>730893787</v>
      </c>
      <c r="F15" s="1">
        <f t="shared" si="1"/>
        <v>116126464</v>
      </c>
      <c r="G15" s="1"/>
      <c r="H15" s="1"/>
      <c r="I15" s="1"/>
      <c r="J15" s="1"/>
      <c r="K15" s="1"/>
      <c r="L15" s="1"/>
    </row>
    <row r="16" spans="2:12" ht="12.75">
      <c r="B16" s="1"/>
      <c r="C16" s="1"/>
      <c r="D16" s="1">
        <f t="shared" si="0"/>
        <v>0</v>
      </c>
      <c r="E16" s="1"/>
      <c r="F16" s="1">
        <f t="shared" si="1"/>
        <v>0</v>
      </c>
      <c r="G16" s="1"/>
      <c r="H16" s="1"/>
      <c r="I16" s="1"/>
      <c r="J16" s="1"/>
      <c r="K16" s="1"/>
      <c r="L16" s="1"/>
    </row>
    <row r="17" spans="1:12" ht="12.75">
      <c r="A17" s="55" t="s">
        <v>113</v>
      </c>
      <c r="B17" s="1">
        <v>95268751</v>
      </c>
      <c r="C17" s="1"/>
      <c r="D17" s="1">
        <f t="shared" si="0"/>
        <v>95268751</v>
      </c>
      <c r="E17" s="1">
        <v>61089546</v>
      </c>
      <c r="F17" s="1">
        <f t="shared" si="1"/>
        <v>34179205</v>
      </c>
      <c r="G17" s="1"/>
      <c r="H17" s="1"/>
      <c r="I17" s="1"/>
      <c r="J17" s="1"/>
      <c r="K17" s="1"/>
      <c r="L17" s="1"/>
    </row>
    <row r="18" spans="1:12" ht="12.75">
      <c r="A18" s="55" t="s">
        <v>114</v>
      </c>
      <c r="B18" s="1">
        <v>19076000</v>
      </c>
      <c r="C18" s="1"/>
      <c r="D18" s="1">
        <f t="shared" si="0"/>
        <v>19076000</v>
      </c>
      <c r="E18" s="1">
        <v>17038572</v>
      </c>
      <c r="F18" s="1">
        <f t="shared" si="1"/>
        <v>2037428</v>
      </c>
      <c r="G18" s="1"/>
      <c r="H18" s="1"/>
      <c r="I18" s="1"/>
      <c r="J18" s="1"/>
      <c r="K18" s="1"/>
      <c r="L18" s="1"/>
    </row>
    <row r="19" spans="1:12" ht="12.75">
      <c r="A19" s="55" t="s">
        <v>115</v>
      </c>
      <c r="B19" s="1">
        <v>403479500</v>
      </c>
      <c r="C19" s="1">
        <f>545696000-159000000-57500000</f>
        <v>329196000</v>
      </c>
      <c r="D19" s="1">
        <f t="shared" si="0"/>
        <v>732675500</v>
      </c>
      <c r="E19" s="1">
        <v>652765669</v>
      </c>
      <c r="F19" s="1">
        <f t="shared" si="1"/>
        <v>79909831</v>
      </c>
      <c r="G19" s="1"/>
      <c r="H19" s="1"/>
      <c r="I19" s="1"/>
      <c r="J19" s="1"/>
      <c r="K19" s="1"/>
      <c r="L19" s="1"/>
    </row>
    <row r="20" spans="2:12" ht="12.75">
      <c r="B20" s="1"/>
      <c r="C20" s="1"/>
      <c r="D20" s="1">
        <f t="shared" si="0"/>
        <v>0</v>
      </c>
      <c r="E20" s="1"/>
      <c r="F20" s="7" t="s">
        <v>1</v>
      </c>
      <c r="G20" s="1"/>
      <c r="H20" s="1"/>
      <c r="I20" s="1"/>
      <c r="J20" s="1"/>
      <c r="K20" s="1"/>
      <c r="L20" s="1"/>
    </row>
    <row r="21" spans="2:12" ht="12.75">
      <c r="B21" s="1"/>
      <c r="C21" s="1"/>
      <c r="D21" s="1">
        <f t="shared" si="0"/>
        <v>0</v>
      </c>
      <c r="E21" s="1"/>
      <c r="F21" s="7" t="s">
        <v>1</v>
      </c>
      <c r="G21" s="1"/>
      <c r="H21" s="1"/>
      <c r="I21" s="1"/>
      <c r="J21" s="1"/>
      <c r="K21" s="1"/>
      <c r="L21" s="1"/>
    </row>
    <row r="22" spans="1:12" ht="12.75">
      <c r="A22" s="55" t="s">
        <v>120</v>
      </c>
      <c r="B22" s="1">
        <f>+B24+B29+B41</f>
        <v>1097571531</v>
      </c>
      <c r="C22" s="1">
        <f>+C24+C29+C41</f>
        <v>111800000</v>
      </c>
      <c r="D22" s="1">
        <f>+D24+D29+D41</f>
        <v>1209371531</v>
      </c>
      <c r="E22" s="1">
        <f>+E24+E29+E41</f>
        <v>1036440588</v>
      </c>
      <c r="F22" s="1">
        <f t="shared" si="1"/>
        <v>172930943</v>
      </c>
      <c r="G22" s="1"/>
      <c r="H22" s="1"/>
      <c r="I22" s="1"/>
      <c r="J22" s="1"/>
      <c r="K22" s="1"/>
      <c r="L22" s="1"/>
    </row>
    <row r="23" spans="2:12" ht="12.75">
      <c r="B23" s="1"/>
      <c r="C23" s="1"/>
      <c r="D23" s="1"/>
      <c r="E23" s="1"/>
      <c r="F23" s="1">
        <f t="shared" si="1"/>
        <v>0</v>
      </c>
      <c r="G23" s="1"/>
      <c r="H23" s="1"/>
      <c r="I23" s="1"/>
      <c r="J23" s="1"/>
      <c r="K23" s="1"/>
      <c r="L23" s="1"/>
    </row>
    <row r="24" spans="1:12" ht="12.75">
      <c r="A24" s="55" t="s">
        <v>116</v>
      </c>
      <c r="B24" s="1">
        <f>+B26+B27</f>
        <v>210512500</v>
      </c>
      <c r="C24" s="1">
        <f>+C26+C27</f>
        <v>167800000</v>
      </c>
      <c r="D24" s="1">
        <f>+D26+D27</f>
        <v>378312500</v>
      </c>
      <c r="E24" s="1">
        <f>+E26+E27</f>
        <v>231490846</v>
      </c>
      <c r="F24" s="1">
        <f t="shared" si="1"/>
        <v>146821654</v>
      </c>
      <c r="G24" s="1"/>
      <c r="H24" s="1"/>
      <c r="I24" s="1"/>
      <c r="J24" s="1"/>
      <c r="K24" s="1"/>
      <c r="L24" s="1"/>
    </row>
    <row r="25" spans="2:12" ht="12.75">
      <c r="B25" s="1"/>
      <c r="C25" s="1"/>
      <c r="D25" s="7" t="s">
        <v>1</v>
      </c>
      <c r="E25" s="1"/>
      <c r="F25" s="7" t="s">
        <v>1</v>
      </c>
      <c r="G25" s="1"/>
      <c r="H25" s="1"/>
      <c r="I25" s="1"/>
      <c r="J25" s="1"/>
      <c r="K25" s="1"/>
      <c r="L25" s="1"/>
    </row>
    <row r="26" spans="1:12" ht="12.75">
      <c r="A26" s="55" t="s">
        <v>117</v>
      </c>
      <c r="B26" s="1">
        <v>60240000</v>
      </c>
      <c r="C26" s="1">
        <f>415000000-139000000-84000000</f>
        <v>192000000</v>
      </c>
      <c r="D26" s="1">
        <f t="shared" si="0"/>
        <v>252240000</v>
      </c>
      <c r="E26" s="1">
        <v>111422744</v>
      </c>
      <c r="F26" s="1">
        <f t="shared" si="1"/>
        <v>140817256</v>
      </c>
      <c r="G26" s="1"/>
      <c r="H26" s="1">
        <f>475240000-223000000</f>
        <v>252240000</v>
      </c>
      <c r="I26" s="1"/>
      <c r="J26" s="1"/>
      <c r="K26" s="1"/>
      <c r="L26" s="1"/>
    </row>
    <row r="27" spans="1:12" ht="12.75">
      <c r="A27" s="55" t="s">
        <v>118</v>
      </c>
      <c r="B27" s="1">
        <v>150272500</v>
      </c>
      <c r="C27" s="1">
        <f>-52500000+32000000-3700000</f>
        <v>-24200000</v>
      </c>
      <c r="D27" s="1">
        <f t="shared" si="0"/>
        <v>126072500</v>
      </c>
      <c r="E27" s="1">
        <v>120068102</v>
      </c>
      <c r="F27" s="1">
        <f t="shared" si="1"/>
        <v>6004398</v>
      </c>
      <c r="G27" s="1"/>
      <c r="H27" s="1">
        <f>182272500-56200000</f>
        <v>126072500</v>
      </c>
      <c r="I27" s="1"/>
      <c r="J27" s="1"/>
      <c r="K27" s="1"/>
      <c r="L27" s="1"/>
    </row>
    <row r="28" spans="2:12" ht="12.75">
      <c r="B28" s="1"/>
      <c r="C28" s="1"/>
      <c r="D28" s="7" t="s">
        <v>1</v>
      </c>
      <c r="E28" s="1"/>
      <c r="F28" s="7" t="s">
        <v>1</v>
      </c>
      <c r="G28" s="1"/>
      <c r="H28" s="1">
        <f>+H26+H27</f>
        <v>378312500</v>
      </c>
      <c r="I28" s="1"/>
      <c r="J28" s="1"/>
      <c r="K28" s="1"/>
      <c r="L28" s="1"/>
    </row>
    <row r="29" spans="1:12" ht="12.75">
      <c r="A29" s="55" t="s">
        <v>119</v>
      </c>
      <c r="B29" s="1">
        <f>SUM(B31:B39)</f>
        <v>838339281</v>
      </c>
      <c r="C29" s="1">
        <f>SUM(C31:C39)</f>
        <v>-66000000</v>
      </c>
      <c r="D29" s="1">
        <f>SUM(D31:D39)</f>
        <v>772339281</v>
      </c>
      <c r="E29" s="1">
        <f>SUM(E31:E39)</f>
        <v>747797131</v>
      </c>
      <c r="F29" s="1">
        <f t="shared" si="1"/>
        <v>24542150</v>
      </c>
      <c r="G29" s="1"/>
      <c r="H29" s="1"/>
      <c r="I29" s="1"/>
      <c r="J29" s="1"/>
      <c r="K29" s="1"/>
      <c r="L29" s="1"/>
    </row>
    <row r="30" spans="2:12" ht="12.75">
      <c r="B30" s="1"/>
      <c r="C30" s="1"/>
      <c r="D30" s="1">
        <f t="shared" si="0"/>
        <v>0</v>
      </c>
      <c r="E30" s="1"/>
      <c r="F30" s="1">
        <f t="shared" si="1"/>
        <v>0</v>
      </c>
      <c r="G30" s="1"/>
      <c r="H30" s="1"/>
      <c r="I30" s="1"/>
      <c r="J30" s="1"/>
      <c r="K30" s="1"/>
      <c r="L30" s="1"/>
    </row>
    <row r="31" spans="1:12" ht="12.75">
      <c r="A31" s="55" t="s">
        <v>121</v>
      </c>
      <c r="B31" s="1">
        <v>186815351</v>
      </c>
      <c r="C31" s="1">
        <f>10000000+6000000</f>
        <v>16000000</v>
      </c>
      <c r="D31" s="1">
        <f t="shared" si="0"/>
        <v>202815351</v>
      </c>
      <c r="E31" s="1">
        <v>201812201</v>
      </c>
      <c r="F31" s="1">
        <f t="shared" si="1"/>
        <v>1003150</v>
      </c>
      <c r="G31" s="1"/>
      <c r="H31" s="1"/>
      <c r="I31" s="1"/>
      <c r="J31" s="1"/>
      <c r="K31" s="1"/>
      <c r="L31" s="1"/>
    </row>
    <row r="32" spans="1:12" ht="12.75">
      <c r="A32" s="55" t="s">
        <v>122</v>
      </c>
      <c r="B32" s="1">
        <v>87605500</v>
      </c>
      <c r="C32" s="1"/>
      <c r="D32" s="1">
        <f t="shared" si="0"/>
        <v>87605500</v>
      </c>
      <c r="E32" s="1">
        <v>86974952</v>
      </c>
      <c r="F32" s="1">
        <f t="shared" si="1"/>
        <v>630548</v>
      </c>
      <c r="G32" s="1"/>
      <c r="H32" s="1"/>
      <c r="I32" s="1"/>
      <c r="J32" s="1"/>
      <c r="K32" s="1"/>
      <c r="L32" s="1"/>
    </row>
    <row r="33" spans="1:12" ht="12.75">
      <c r="A33" s="55" t="s">
        <v>123</v>
      </c>
      <c r="B33" s="1">
        <v>57123000</v>
      </c>
      <c r="C33" s="1">
        <f>20000000-60000000</f>
        <v>-40000000</v>
      </c>
      <c r="D33" s="1">
        <f t="shared" si="0"/>
        <v>17123000</v>
      </c>
      <c r="E33" s="1">
        <v>16093678</v>
      </c>
      <c r="F33" s="1">
        <f t="shared" si="1"/>
        <v>1029322</v>
      </c>
      <c r="G33" s="1"/>
      <c r="H33" s="1"/>
      <c r="I33" s="1"/>
      <c r="J33" s="1"/>
      <c r="K33" s="1"/>
      <c r="L33" s="1"/>
    </row>
    <row r="34" spans="1:12" ht="12.75">
      <c r="A34" s="55" t="s">
        <v>124</v>
      </c>
      <c r="B34" s="1">
        <v>174659780</v>
      </c>
      <c r="C34" s="1"/>
      <c r="D34" s="1">
        <f t="shared" si="0"/>
        <v>174659780</v>
      </c>
      <c r="E34" s="1">
        <v>162483117</v>
      </c>
      <c r="F34" s="1">
        <f t="shared" si="1"/>
        <v>12176663</v>
      </c>
      <c r="G34" s="1"/>
      <c r="H34" s="1">
        <f>+D34-199736779</f>
        <v>-25076999</v>
      </c>
      <c r="I34" s="1"/>
      <c r="J34" s="1"/>
      <c r="K34" s="1"/>
      <c r="L34" s="1"/>
    </row>
    <row r="35" spans="1:12" ht="12.75">
      <c r="A35" s="55" t="s">
        <v>125</v>
      </c>
      <c r="B35" s="1">
        <v>73500000</v>
      </c>
      <c r="C35" s="1">
        <v>-22000000</v>
      </c>
      <c r="D35" s="1">
        <f t="shared" si="0"/>
        <v>51500000</v>
      </c>
      <c r="E35" s="1">
        <v>50929093</v>
      </c>
      <c r="F35" s="1">
        <f t="shared" si="1"/>
        <v>570907</v>
      </c>
      <c r="G35" s="1"/>
      <c r="H35" s="1">
        <v>23790220</v>
      </c>
      <c r="I35" s="1"/>
      <c r="J35" s="1">
        <f>+H35</f>
        <v>23790220</v>
      </c>
      <c r="K35" s="1">
        <f>+J35</f>
        <v>23790220</v>
      </c>
      <c r="L35" s="1"/>
    </row>
    <row r="36" spans="1:12" ht="12.75">
      <c r="A36" s="55" t="s">
        <v>126</v>
      </c>
      <c r="B36" s="1">
        <v>37700000</v>
      </c>
      <c r="C36" s="1">
        <v>-2000000</v>
      </c>
      <c r="D36" s="1">
        <f t="shared" si="0"/>
        <v>35700000</v>
      </c>
      <c r="E36" s="1">
        <v>34887478</v>
      </c>
      <c r="F36" s="1">
        <f t="shared" si="1"/>
        <v>812522</v>
      </c>
      <c r="G36" s="1"/>
      <c r="H36" s="1"/>
      <c r="I36" s="1"/>
      <c r="J36" s="1"/>
      <c r="K36" s="1"/>
      <c r="L36" s="1"/>
    </row>
    <row r="37" spans="1:12" ht="12.75">
      <c r="A37" s="55" t="s">
        <v>127</v>
      </c>
      <c r="B37" s="1">
        <v>126000000</v>
      </c>
      <c r="C37" s="1">
        <v>24000000</v>
      </c>
      <c r="D37" s="1">
        <f t="shared" si="0"/>
        <v>150000000</v>
      </c>
      <c r="E37" s="1">
        <v>142971368</v>
      </c>
      <c r="F37" s="1">
        <f t="shared" si="1"/>
        <v>7028632</v>
      </c>
      <c r="G37" s="1"/>
      <c r="H37" s="1"/>
      <c r="I37" s="1"/>
      <c r="J37" s="1"/>
      <c r="K37" s="1"/>
      <c r="L37" s="1"/>
    </row>
    <row r="38" spans="1:12" ht="12.75">
      <c r="A38" s="55" t="s">
        <v>128</v>
      </c>
      <c r="B38" s="1">
        <v>5000000</v>
      </c>
      <c r="C38" s="1">
        <v>-4000000</v>
      </c>
      <c r="D38" s="1">
        <f t="shared" si="0"/>
        <v>1000000</v>
      </c>
      <c r="E38" s="1">
        <v>602400</v>
      </c>
      <c r="F38" s="1">
        <f t="shared" si="1"/>
        <v>397600</v>
      </c>
      <c r="G38" s="1"/>
      <c r="H38" s="1"/>
      <c r="I38" s="1"/>
      <c r="J38" s="1"/>
      <c r="K38" s="1"/>
      <c r="L38" s="1"/>
    </row>
    <row r="39" spans="1:12" ht="12.75">
      <c r="A39" s="55" t="s">
        <v>129</v>
      </c>
      <c r="B39" s="1">
        <f>28350000+61585650</f>
        <v>89935650</v>
      </c>
      <c r="C39" s="1">
        <v>-38000000</v>
      </c>
      <c r="D39" s="1">
        <f t="shared" si="0"/>
        <v>51935650</v>
      </c>
      <c r="E39" s="1">
        <v>51042844</v>
      </c>
      <c r="F39" s="1">
        <f t="shared" si="1"/>
        <v>892806</v>
      </c>
      <c r="G39" s="1"/>
      <c r="H39" s="1"/>
      <c r="I39" s="1"/>
      <c r="J39" s="1"/>
      <c r="K39" s="1"/>
      <c r="L39" s="1"/>
    </row>
    <row r="40" spans="2:12" ht="12.75">
      <c r="B40" s="1"/>
      <c r="C40" s="1"/>
      <c r="D40" s="1">
        <f t="shared" si="0"/>
        <v>0</v>
      </c>
      <c r="E40" s="1"/>
      <c r="F40" s="1">
        <f t="shared" si="1"/>
        <v>0</v>
      </c>
      <c r="G40" s="1"/>
      <c r="H40" s="1"/>
      <c r="I40" s="1"/>
      <c r="J40" s="1"/>
      <c r="K40" s="1"/>
      <c r="L40" s="1"/>
    </row>
    <row r="41" spans="1:12" ht="12.75">
      <c r="A41" s="55" t="s">
        <v>130</v>
      </c>
      <c r="B41" s="1">
        <v>48719750</v>
      </c>
      <c r="C41" s="1">
        <v>10000000</v>
      </c>
      <c r="D41" s="1">
        <f t="shared" si="0"/>
        <v>58719750</v>
      </c>
      <c r="E41" s="1">
        <v>57152611</v>
      </c>
      <c r="F41" s="1">
        <f t="shared" si="1"/>
        <v>1567139</v>
      </c>
      <c r="G41" s="1"/>
      <c r="H41" s="1">
        <v>1423000</v>
      </c>
      <c r="I41" s="1"/>
      <c r="J41" s="1">
        <f>+H41+I41</f>
        <v>1423000</v>
      </c>
      <c r="K41" s="1">
        <f>+J41</f>
        <v>1423000</v>
      </c>
      <c r="L41" s="1"/>
    </row>
    <row r="42" spans="2:12" ht="12.75">
      <c r="B42" s="1"/>
      <c r="C42" s="1"/>
      <c r="D42" s="1">
        <f t="shared" si="0"/>
        <v>0</v>
      </c>
      <c r="E42" s="1"/>
      <c r="F42" s="1">
        <f t="shared" si="1"/>
        <v>0</v>
      </c>
      <c r="G42" s="1"/>
      <c r="H42" s="1"/>
      <c r="I42" s="1"/>
      <c r="J42" s="1"/>
      <c r="K42" s="1"/>
      <c r="L42" s="1"/>
    </row>
    <row r="43" spans="2:12" ht="12.75">
      <c r="B43" s="1"/>
      <c r="C43" s="1"/>
      <c r="D43" s="1">
        <f t="shared" si="0"/>
        <v>0</v>
      </c>
      <c r="E43" s="1"/>
      <c r="F43" s="1">
        <f t="shared" si="1"/>
        <v>0</v>
      </c>
      <c r="G43" s="1"/>
      <c r="H43" s="1"/>
      <c r="I43" s="1"/>
      <c r="J43" s="1"/>
      <c r="K43" s="1"/>
      <c r="L43" s="1"/>
    </row>
    <row r="44" spans="2:12" ht="12.75">
      <c r="B44" s="1"/>
      <c r="C44" s="1"/>
      <c r="D44" s="1">
        <f t="shared" si="0"/>
        <v>0</v>
      </c>
      <c r="E44" s="1"/>
      <c r="F44" s="1">
        <f t="shared" si="1"/>
        <v>0</v>
      </c>
      <c r="G44" s="1"/>
      <c r="H44" s="1"/>
      <c r="I44" s="1"/>
      <c r="J44" s="1"/>
      <c r="K44" s="1"/>
      <c r="L44" s="1"/>
    </row>
    <row r="45" spans="2:12" ht="12.75">
      <c r="B45" s="1"/>
      <c r="C45" s="1"/>
      <c r="D45" s="1">
        <f t="shared" si="0"/>
        <v>0</v>
      </c>
      <c r="E45" s="1"/>
      <c r="F45" s="1">
        <f t="shared" si="1"/>
        <v>0</v>
      </c>
      <c r="G45" s="1"/>
      <c r="H45" s="1"/>
      <c r="I45" s="1"/>
      <c r="J45" s="1"/>
      <c r="K45" s="1"/>
      <c r="L45" s="1"/>
    </row>
    <row r="46" spans="2:12" ht="12.75">
      <c r="B46" s="1"/>
      <c r="C46" s="1"/>
      <c r="D46" s="1">
        <f t="shared" si="0"/>
        <v>0</v>
      </c>
      <c r="E46" s="1"/>
      <c r="F46" s="1">
        <f t="shared" si="1"/>
        <v>0</v>
      </c>
      <c r="G46" s="1"/>
      <c r="H46" s="1"/>
      <c r="I46" s="1"/>
      <c r="J46" s="1"/>
      <c r="K46" s="1"/>
      <c r="L46" s="1"/>
    </row>
    <row r="47" spans="2:12" ht="12.75">
      <c r="B47" s="1"/>
      <c r="C47" s="1"/>
      <c r="D47" s="1">
        <f t="shared" si="0"/>
        <v>0</v>
      </c>
      <c r="E47" s="1"/>
      <c r="F47" s="1">
        <f t="shared" si="1"/>
        <v>0</v>
      </c>
      <c r="G47" s="1"/>
      <c r="H47" s="1"/>
      <c r="I47" s="1"/>
      <c r="J47" s="1"/>
      <c r="K47" s="1"/>
      <c r="L47" s="1"/>
    </row>
    <row r="48" spans="2:12" ht="12.75">
      <c r="B48" s="1"/>
      <c r="C48" s="1"/>
      <c r="D48" s="1">
        <f t="shared" si="0"/>
        <v>0</v>
      </c>
      <c r="E48" s="1"/>
      <c r="F48" s="1">
        <f t="shared" si="1"/>
        <v>0</v>
      </c>
      <c r="G48" s="1"/>
      <c r="H48" s="1"/>
      <c r="I48" s="1"/>
      <c r="J48" s="1"/>
      <c r="K48" s="1"/>
      <c r="L48" s="1"/>
    </row>
    <row r="49" spans="2:12" ht="12.75">
      <c r="B49" s="1"/>
      <c r="C49" s="1"/>
      <c r="D49" s="1">
        <f t="shared" si="0"/>
        <v>0</v>
      </c>
      <c r="E49" s="1"/>
      <c r="F49" s="1">
        <f t="shared" si="1"/>
        <v>0</v>
      </c>
      <c r="G49" s="1"/>
      <c r="H49" s="1"/>
      <c r="I49" s="1"/>
      <c r="J49" s="1"/>
      <c r="K49" s="1"/>
      <c r="L49" s="1"/>
    </row>
    <row r="50" spans="2:12" ht="12.75">
      <c r="B50" s="1"/>
      <c r="C50" s="1"/>
      <c r="D50" s="1">
        <f t="shared" si="0"/>
        <v>0</v>
      </c>
      <c r="E50" s="1"/>
      <c r="F50" s="1"/>
      <c r="G50" s="1"/>
      <c r="H50" s="1"/>
      <c r="I50" s="1"/>
      <c r="J50" s="1"/>
      <c r="K50" s="1"/>
      <c r="L50" s="1"/>
    </row>
    <row r="51" spans="2:12" ht="12.75">
      <c r="B51" s="1"/>
      <c r="C51" s="1"/>
      <c r="D51" s="1">
        <f t="shared" si="0"/>
        <v>0</v>
      </c>
      <c r="E51" s="1"/>
      <c r="F51" s="1"/>
      <c r="G51" s="1"/>
      <c r="H51" s="1"/>
      <c r="I51" s="1"/>
      <c r="J51" s="1"/>
      <c r="K51" s="1"/>
      <c r="L51" s="1"/>
    </row>
    <row r="52" spans="2:12" ht="12.75">
      <c r="B52" s="1"/>
      <c r="C52" s="1"/>
      <c r="D52" s="1">
        <f t="shared" si="0"/>
        <v>0</v>
      </c>
      <c r="E52" s="1"/>
      <c r="F52" s="1"/>
      <c r="G52" s="1"/>
      <c r="H52" s="1"/>
      <c r="I52" s="1"/>
      <c r="J52" s="1"/>
      <c r="K52" s="1"/>
      <c r="L52" s="1"/>
    </row>
    <row r="53" spans="2:12" ht="12.75">
      <c r="B53" s="1"/>
      <c r="C53" s="1"/>
      <c r="D53" s="1">
        <f t="shared" si="0"/>
        <v>0</v>
      </c>
      <c r="E53" s="1"/>
      <c r="F53" s="1"/>
      <c r="G53" s="1"/>
      <c r="H53" s="1"/>
      <c r="I53" s="1"/>
      <c r="J53" s="1"/>
      <c r="K53" s="1"/>
      <c r="L53" s="1"/>
    </row>
    <row r="54" spans="2:12" ht="12.75">
      <c r="B54" s="1"/>
      <c r="C54" s="1"/>
      <c r="D54" s="1">
        <f t="shared" si="0"/>
        <v>0</v>
      </c>
      <c r="E54" s="1"/>
      <c r="F54" s="1"/>
      <c r="G54" s="1"/>
      <c r="H54" s="1"/>
      <c r="I54" s="1"/>
      <c r="J54" s="1"/>
      <c r="K54" s="1"/>
      <c r="L54" s="1"/>
    </row>
    <row r="55" spans="2:12" ht="12.75">
      <c r="B55" s="1"/>
      <c r="C55" s="1"/>
      <c r="D55" s="1">
        <f t="shared" si="0"/>
        <v>0</v>
      </c>
      <c r="E55" s="1"/>
      <c r="F55" s="1"/>
      <c r="G55" s="1"/>
      <c r="H55" s="1"/>
      <c r="I55" s="1"/>
      <c r="J55" s="1"/>
      <c r="K55" s="1"/>
      <c r="L55" s="1"/>
    </row>
    <row r="56" spans="2:12" ht="12.75">
      <c r="B56" s="1"/>
      <c r="C56" s="1"/>
      <c r="D56" s="1">
        <f t="shared" si="0"/>
        <v>0</v>
      </c>
      <c r="E56" s="1"/>
      <c r="F56" s="1"/>
      <c r="G56" s="1"/>
      <c r="H56" s="1"/>
      <c r="I56" s="1"/>
      <c r="J56" s="1"/>
      <c r="K56" s="1"/>
      <c r="L56" s="1"/>
    </row>
    <row r="57" spans="2:12" ht="12.75">
      <c r="B57" s="1"/>
      <c r="C57" s="1"/>
      <c r="D57" s="1">
        <f t="shared" si="0"/>
        <v>0</v>
      </c>
      <c r="E57" s="1"/>
      <c r="F57" s="1"/>
      <c r="G57" s="1"/>
      <c r="H57" s="1"/>
      <c r="I57" s="1"/>
      <c r="J57" s="1"/>
      <c r="K57" s="1"/>
      <c r="L57" s="1"/>
    </row>
    <row r="58" spans="2:12" ht="12.75">
      <c r="B58" s="1"/>
      <c r="C58" s="1"/>
      <c r="D58" s="1">
        <f t="shared" si="0"/>
        <v>0</v>
      </c>
      <c r="E58" s="1"/>
      <c r="F58" s="1"/>
      <c r="G58" s="1"/>
      <c r="H58" s="1"/>
      <c r="I58" s="1"/>
      <c r="J58" s="1"/>
      <c r="K58" s="1"/>
      <c r="L58" s="1"/>
    </row>
    <row r="59" spans="2:12" ht="12.75">
      <c r="B59" s="1"/>
      <c r="C59" s="1"/>
      <c r="D59" s="1">
        <f t="shared" si="0"/>
        <v>0</v>
      </c>
      <c r="E59" s="1"/>
      <c r="F59" s="1"/>
      <c r="G59" s="1"/>
      <c r="H59" s="1"/>
      <c r="I59" s="1"/>
      <c r="J59" s="1"/>
      <c r="K59" s="1"/>
      <c r="L59" s="1"/>
    </row>
    <row r="60" spans="2:12" ht="12.75">
      <c r="B60" s="1"/>
      <c r="C60" s="1"/>
      <c r="D60" s="1">
        <f t="shared" si="0"/>
        <v>0</v>
      </c>
      <c r="E60" s="1"/>
      <c r="F60" s="1"/>
      <c r="G60" s="1"/>
      <c r="H60" s="1"/>
      <c r="I60" s="1"/>
      <c r="J60" s="1"/>
      <c r="K60" s="1"/>
      <c r="L60" s="1"/>
    </row>
    <row r="61" spans="2:12" ht="12.75">
      <c r="B61" s="1"/>
      <c r="C61" s="1"/>
      <c r="D61" s="1">
        <f t="shared" si="0"/>
        <v>0</v>
      </c>
      <c r="E61" s="1"/>
      <c r="F61" s="1"/>
      <c r="G61" s="1"/>
      <c r="H61" s="1"/>
      <c r="I61" s="1"/>
      <c r="J61" s="1"/>
      <c r="K61" s="1"/>
      <c r="L61" s="1"/>
    </row>
    <row r="62" spans="2:12" ht="12.75">
      <c r="B62" s="1"/>
      <c r="C62" s="1"/>
      <c r="D62" s="1">
        <f t="shared" si="0"/>
        <v>0</v>
      </c>
      <c r="E62" s="1"/>
      <c r="F62" s="1"/>
      <c r="G62" s="1"/>
      <c r="H62" s="1"/>
      <c r="I62" s="1"/>
      <c r="J62" s="1"/>
      <c r="K62" s="1"/>
      <c r="L62" s="1"/>
    </row>
    <row r="63" spans="2:12" ht="12.75">
      <c r="B63" s="1"/>
      <c r="C63" s="1"/>
      <c r="D63" s="1">
        <f t="shared" si="0"/>
        <v>0</v>
      </c>
      <c r="E63" s="1"/>
      <c r="F63" s="1"/>
      <c r="G63" s="1"/>
      <c r="H63" s="1"/>
      <c r="I63" s="1"/>
      <c r="J63" s="1"/>
      <c r="K63" s="1"/>
      <c r="L63" s="1"/>
    </row>
    <row r="64" spans="2:12" ht="12.75">
      <c r="B64" s="1"/>
      <c r="C64" s="1"/>
      <c r="D64" s="1">
        <f t="shared" si="0"/>
        <v>0</v>
      </c>
      <c r="E64" s="1"/>
      <c r="F64" s="1"/>
      <c r="G64" s="1"/>
      <c r="H64" s="1"/>
      <c r="I64" s="1"/>
      <c r="J64" s="1"/>
      <c r="K64" s="1"/>
      <c r="L64" s="1"/>
    </row>
    <row r="65" spans="2:12" ht="12.75">
      <c r="B65" s="1"/>
      <c r="C65" s="1"/>
      <c r="D65" s="1">
        <f t="shared" si="0"/>
        <v>0</v>
      </c>
      <c r="E65" s="1"/>
      <c r="F65" s="1"/>
      <c r="G65" s="1"/>
      <c r="H65" s="1"/>
      <c r="I65" s="1"/>
      <c r="J65" s="1"/>
      <c r="K65" s="1"/>
      <c r="L65" s="1"/>
    </row>
    <row r="66" spans="2:12" ht="12.75">
      <c r="B66" s="1"/>
      <c r="C66" s="1"/>
      <c r="D66" s="1">
        <f t="shared" si="0"/>
        <v>0</v>
      </c>
      <c r="E66" s="1"/>
      <c r="F66" s="1"/>
      <c r="G66" s="1"/>
      <c r="H66" s="1"/>
      <c r="I66" s="1"/>
      <c r="J66" s="1"/>
      <c r="K66" s="1"/>
      <c r="L66" s="1"/>
    </row>
    <row r="67" spans="2:12" ht="12.75">
      <c r="B67" s="1"/>
      <c r="C67" s="1"/>
      <c r="D67" s="1">
        <f t="shared" si="0"/>
        <v>0</v>
      </c>
      <c r="E67" s="1"/>
      <c r="F67" s="1"/>
      <c r="G67" s="1"/>
      <c r="H67" s="1"/>
      <c r="I67" s="1"/>
      <c r="J67" s="1"/>
      <c r="K67" s="1"/>
      <c r="L67" s="1"/>
    </row>
    <row r="68" spans="2:12" ht="12.75">
      <c r="B68" s="1"/>
      <c r="C68" s="1"/>
      <c r="D68" s="1">
        <f t="shared" si="0"/>
        <v>0</v>
      </c>
      <c r="E68" s="1"/>
      <c r="F68" s="1"/>
      <c r="G68" s="1"/>
      <c r="H68" s="1"/>
      <c r="I68" s="1"/>
      <c r="J68" s="1"/>
      <c r="K68" s="1"/>
      <c r="L68" s="1"/>
    </row>
    <row r="69" spans="2:12" ht="12.75">
      <c r="B69" s="1"/>
      <c r="C69" s="1"/>
      <c r="D69" s="1">
        <f t="shared" si="0"/>
        <v>0</v>
      </c>
      <c r="E69" s="1"/>
      <c r="F69" s="1"/>
      <c r="G69" s="1"/>
      <c r="H69" s="1"/>
      <c r="I69" s="1"/>
      <c r="J69" s="1"/>
      <c r="K69" s="1"/>
      <c r="L69" s="1"/>
    </row>
    <row r="70" spans="2:12" ht="12.75">
      <c r="B70" s="1"/>
      <c r="C70" s="1"/>
      <c r="D70" s="1">
        <f aca="true" t="shared" si="3" ref="D70:D92">+B70+C70</f>
        <v>0</v>
      </c>
      <c r="E70" s="1"/>
      <c r="F70" s="1"/>
      <c r="G70" s="1"/>
      <c r="H70" s="1"/>
      <c r="I70" s="1"/>
      <c r="J70" s="1"/>
      <c r="K70" s="1"/>
      <c r="L70" s="1"/>
    </row>
    <row r="71" spans="2:12" ht="12.75">
      <c r="B71" s="1"/>
      <c r="C71" s="1"/>
      <c r="D71" s="1">
        <f t="shared" si="3"/>
        <v>0</v>
      </c>
      <c r="E71" s="1"/>
      <c r="F71" s="1"/>
      <c r="G71" s="1"/>
      <c r="H71" s="1"/>
      <c r="I71" s="1"/>
      <c r="J71" s="1"/>
      <c r="K71" s="1"/>
      <c r="L71" s="1"/>
    </row>
    <row r="72" spans="2:12" ht="12.75">
      <c r="B72" s="1"/>
      <c r="C72" s="1"/>
      <c r="D72" s="1">
        <f t="shared" si="3"/>
        <v>0</v>
      </c>
      <c r="E72" s="1"/>
      <c r="F72" s="1"/>
      <c r="G72" s="1"/>
      <c r="H72" s="1"/>
      <c r="I72" s="1"/>
      <c r="J72" s="1"/>
      <c r="K72" s="1"/>
      <c r="L72" s="1"/>
    </row>
    <row r="73" spans="2:12" ht="12.75">
      <c r="B73" s="1"/>
      <c r="C73" s="1"/>
      <c r="D73" s="1">
        <f t="shared" si="3"/>
        <v>0</v>
      </c>
      <c r="E73" s="1"/>
      <c r="F73" s="1"/>
      <c r="G73" s="1"/>
      <c r="H73" s="1"/>
      <c r="I73" s="1"/>
      <c r="J73" s="1"/>
      <c r="K73" s="1"/>
      <c r="L73" s="1"/>
    </row>
    <row r="74" spans="2:12" ht="12.75">
      <c r="B74" s="1"/>
      <c r="C74" s="1"/>
      <c r="D74" s="1">
        <f t="shared" si="3"/>
        <v>0</v>
      </c>
      <c r="E74" s="1"/>
      <c r="F74" s="1"/>
      <c r="G74" s="1"/>
      <c r="H74" s="1"/>
      <c r="I74" s="1"/>
      <c r="J74" s="1"/>
      <c r="K74" s="1"/>
      <c r="L74" s="1"/>
    </row>
    <row r="75" spans="2:12" ht="12.75">
      <c r="B75" s="1"/>
      <c r="C75" s="1"/>
      <c r="D75" s="1">
        <f t="shared" si="3"/>
        <v>0</v>
      </c>
      <c r="E75" s="1"/>
      <c r="F75" s="1"/>
      <c r="G75" s="1"/>
      <c r="H75" s="1"/>
      <c r="I75" s="1"/>
      <c r="J75" s="1"/>
      <c r="K75" s="1"/>
      <c r="L75" s="1"/>
    </row>
    <row r="76" spans="2:12" ht="12.75">
      <c r="B76" s="1"/>
      <c r="C76" s="1"/>
      <c r="D76" s="1">
        <f t="shared" si="3"/>
        <v>0</v>
      </c>
      <c r="E76" s="1"/>
      <c r="F76" s="1"/>
      <c r="G76" s="1"/>
      <c r="H76" s="1"/>
      <c r="I76" s="1"/>
      <c r="J76" s="1"/>
      <c r="K76" s="1"/>
      <c r="L76" s="1"/>
    </row>
    <row r="77" spans="2:12" ht="12.75">
      <c r="B77" s="1"/>
      <c r="C77" s="1"/>
      <c r="D77" s="1">
        <f t="shared" si="3"/>
        <v>0</v>
      </c>
      <c r="E77" s="1"/>
      <c r="F77" s="1"/>
      <c r="G77" s="1"/>
      <c r="H77" s="1"/>
      <c r="I77" s="1"/>
      <c r="J77" s="1"/>
      <c r="K77" s="1"/>
      <c r="L77" s="1"/>
    </row>
    <row r="78" spans="2:12" ht="12.75">
      <c r="B78" s="1"/>
      <c r="C78" s="1"/>
      <c r="D78" s="1">
        <f t="shared" si="3"/>
        <v>0</v>
      </c>
      <c r="E78" s="1"/>
      <c r="F78" s="1"/>
      <c r="G78" s="1"/>
      <c r="H78" s="1"/>
      <c r="I78" s="1"/>
      <c r="J78" s="1"/>
      <c r="K78" s="1"/>
      <c r="L78" s="1"/>
    </row>
    <row r="79" spans="2:12" ht="12.75">
      <c r="B79" s="1"/>
      <c r="C79" s="1"/>
      <c r="D79" s="1">
        <f t="shared" si="3"/>
        <v>0</v>
      </c>
      <c r="E79" s="1"/>
      <c r="F79" s="1"/>
      <c r="G79" s="1"/>
      <c r="H79" s="1"/>
      <c r="I79" s="1"/>
      <c r="J79" s="1"/>
      <c r="K79" s="1"/>
      <c r="L79" s="1"/>
    </row>
    <row r="80" spans="2:12" ht="12.75">
      <c r="B80" s="1"/>
      <c r="C80" s="1"/>
      <c r="D80" s="1">
        <f t="shared" si="3"/>
        <v>0</v>
      </c>
      <c r="E80" s="1"/>
      <c r="F80" s="1"/>
      <c r="G80" s="1"/>
      <c r="H80" s="1"/>
      <c r="I80" s="1"/>
      <c r="J80" s="1"/>
      <c r="K80" s="1"/>
      <c r="L80" s="1"/>
    </row>
    <row r="81" spans="2:12" ht="12.75">
      <c r="B81" s="1"/>
      <c r="C81" s="1"/>
      <c r="D81" s="1">
        <f t="shared" si="3"/>
        <v>0</v>
      </c>
      <c r="E81" s="1"/>
      <c r="F81" s="1"/>
      <c r="G81" s="1"/>
      <c r="H81" s="1"/>
      <c r="I81" s="1"/>
      <c r="J81" s="1"/>
      <c r="K81" s="1"/>
      <c r="L81" s="1"/>
    </row>
    <row r="82" spans="2:12" ht="12.75">
      <c r="B82" s="1"/>
      <c r="C82" s="1"/>
      <c r="D82" s="1">
        <f t="shared" si="3"/>
        <v>0</v>
      </c>
      <c r="E82" s="1"/>
      <c r="F82" s="1"/>
      <c r="G82" s="1"/>
      <c r="H82" s="1"/>
      <c r="I82" s="1"/>
      <c r="J82" s="1"/>
      <c r="K82" s="1"/>
      <c r="L82" s="1"/>
    </row>
    <row r="83" spans="2:12" ht="12.75">
      <c r="B83" s="1"/>
      <c r="C83" s="1"/>
      <c r="D83" s="1">
        <f t="shared" si="3"/>
        <v>0</v>
      </c>
      <c r="E83" s="1"/>
      <c r="F83" s="1"/>
      <c r="G83" s="1"/>
      <c r="H83" s="1"/>
      <c r="I83" s="1"/>
      <c r="J83" s="1"/>
      <c r="K83" s="1"/>
      <c r="L83" s="1"/>
    </row>
    <row r="84" spans="2:12" ht="12.75">
      <c r="B84" s="1"/>
      <c r="C84" s="1"/>
      <c r="D84" s="1">
        <f t="shared" si="3"/>
        <v>0</v>
      </c>
      <c r="E84" s="1"/>
      <c r="F84" s="1"/>
      <c r="G84" s="1"/>
      <c r="H84" s="1"/>
      <c r="I84" s="1"/>
      <c r="J84" s="1"/>
      <c r="K84" s="1"/>
      <c r="L84" s="1"/>
    </row>
    <row r="85" spans="2:12" ht="12.75">
      <c r="B85" s="1"/>
      <c r="C85" s="1"/>
      <c r="D85" s="1">
        <f t="shared" si="3"/>
        <v>0</v>
      </c>
      <c r="E85" s="1"/>
      <c r="F85" s="1"/>
      <c r="G85" s="1"/>
      <c r="H85" s="1"/>
      <c r="I85" s="1"/>
      <c r="J85" s="1"/>
      <c r="K85" s="1"/>
      <c r="L85" s="1"/>
    </row>
    <row r="86" spans="2:12" ht="12.75">
      <c r="B86" s="1"/>
      <c r="C86" s="1"/>
      <c r="D86" s="1">
        <f t="shared" si="3"/>
        <v>0</v>
      </c>
      <c r="E86" s="1"/>
      <c r="F86" s="1"/>
      <c r="G86" s="1"/>
      <c r="H86" s="1"/>
      <c r="I86" s="1"/>
      <c r="J86" s="1"/>
      <c r="K86" s="1"/>
      <c r="L86" s="1"/>
    </row>
    <row r="87" spans="2:12" ht="12.75">
      <c r="B87" s="1"/>
      <c r="C87" s="1"/>
      <c r="D87" s="1">
        <f t="shared" si="3"/>
        <v>0</v>
      </c>
      <c r="E87" s="1"/>
      <c r="F87" s="1"/>
      <c r="G87" s="1"/>
      <c r="H87" s="1"/>
      <c r="I87" s="1"/>
      <c r="J87" s="1"/>
      <c r="K87" s="1"/>
      <c r="L87" s="1"/>
    </row>
    <row r="88" spans="2:12" ht="12.75">
      <c r="B88" s="1"/>
      <c r="C88" s="1"/>
      <c r="D88" s="1">
        <f t="shared" si="3"/>
        <v>0</v>
      </c>
      <c r="E88" s="1"/>
      <c r="F88" s="1"/>
      <c r="G88" s="1"/>
      <c r="H88" s="1"/>
      <c r="I88" s="1"/>
      <c r="J88" s="1"/>
      <c r="K88" s="1"/>
      <c r="L88" s="1"/>
    </row>
    <row r="89" spans="2:12" ht="12.75">
      <c r="B89" s="1"/>
      <c r="C89" s="1"/>
      <c r="D89" s="1">
        <f t="shared" si="3"/>
        <v>0</v>
      </c>
      <c r="E89" s="1"/>
      <c r="F89" s="1"/>
      <c r="G89" s="1"/>
      <c r="H89" s="1"/>
      <c r="I89" s="1"/>
      <c r="J89" s="1"/>
      <c r="K89" s="1"/>
      <c r="L89" s="1"/>
    </row>
    <row r="90" spans="2:12" ht="12.75">
      <c r="B90" s="1"/>
      <c r="C90" s="1"/>
      <c r="D90" s="1">
        <f t="shared" si="3"/>
        <v>0</v>
      </c>
      <c r="E90" s="1"/>
      <c r="F90" s="1"/>
      <c r="G90" s="1"/>
      <c r="H90" s="1"/>
      <c r="I90" s="1"/>
      <c r="J90" s="1"/>
      <c r="K90" s="1"/>
      <c r="L90" s="1"/>
    </row>
    <row r="91" spans="2:12" ht="12.75">
      <c r="B91" s="1"/>
      <c r="C91" s="1"/>
      <c r="D91" s="1">
        <f t="shared" si="3"/>
        <v>0</v>
      </c>
      <c r="E91" s="1"/>
      <c r="F91" s="1"/>
      <c r="G91" s="1"/>
      <c r="H91" s="1"/>
      <c r="I91" s="1"/>
      <c r="J91" s="1"/>
      <c r="K91" s="1"/>
      <c r="L91" s="1"/>
    </row>
    <row r="92" spans="2:12" ht="12.75">
      <c r="B92" s="1"/>
      <c r="C92" s="1"/>
      <c r="D92" s="1">
        <f t="shared" si="3"/>
        <v>0</v>
      </c>
      <c r="E92" s="1"/>
      <c r="F92" s="1"/>
      <c r="G92" s="1"/>
      <c r="H92" s="1"/>
      <c r="I92" s="1"/>
      <c r="J92" s="1"/>
      <c r="K92" s="1"/>
      <c r="L92" s="1"/>
    </row>
    <row r="93" spans="2:12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2:12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2:12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2:12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2:12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2:12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2:12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2:12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1"/>
  <sheetViews>
    <sheetView zoomScaleSheetLayoutView="100" zoomScalePageLayoutView="0" workbookViewId="0" topLeftCell="A15">
      <selection activeCell="AA44" sqref="AA44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6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1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5" width="16.7109375" style="0" hidden="1" customWidth="1"/>
    <col min="26" max="28" width="17.8515625" style="0" customWidth="1"/>
    <col min="29" max="29" width="16.140625" style="0" customWidth="1"/>
    <col min="30" max="30" width="16.28125" style="0" hidden="1" customWidth="1"/>
    <col min="31" max="31" width="16.7109375" style="0" customWidth="1"/>
    <col min="32" max="32" width="15.28125" style="1" bestFit="1" customWidth="1"/>
    <col min="33" max="33" width="22.8515625" style="0" customWidth="1"/>
  </cols>
  <sheetData>
    <row r="1" spans="1:31" ht="12.75">
      <c r="A1" s="127"/>
      <c r="B1" s="128"/>
      <c r="C1" s="129" t="s">
        <v>1</v>
      </c>
      <c r="D1" s="130" t="s">
        <v>1</v>
      </c>
      <c r="E1" s="149" t="s">
        <v>0</v>
      </c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31"/>
    </row>
    <row r="2" spans="1:31" ht="12.75">
      <c r="A2" s="132"/>
      <c r="B2" s="2"/>
      <c r="C2" s="47" t="s">
        <v>1</v>
      </c>
      <c r="D2" s="48" t="s">
        <v>1</v>
      </c>
      <c r="E2" s="148" t="s">
        <v>169</v>
      </c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33"/>
    </row>
    <row r="3" spans="1:31" ht="12.75">
      <c r="A3" s="132"/>
      <c r="B3" s="2"/>
      <c r="C3" s="2"/>
      <c r="D3" s="2"/>
      <c r="E3" s="48"/>
      <c r="F3" s="48"/>
      <c r="G3" s="48" t="s">
        <v>1</v>
      </c>
      <c r="H3" s="9" t="s">
        <v>1</v>
      </c>
      <c r="I3" s="49" t="s">
        <v>1</v>
      </c>
      <c r="J3" s="12"/>
      <c r="K3" s="12"/>
      <c r="L3" s="12"/>
      <c r="M3" s="12"/>
      <c r="N3" s="12"/>
      <c r="O3" s="49"/>
      <c r="P3" s="49"/>
      <c r="Q3" s="49"/>
      <c r="R3" s="49"/>
      <c r="S3" s="49"/>
      <c r="T3" s="49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  <c r="AE3" s="133"/>
    </row>
    <row r="4" spans="1:31" ht="12.75">
      <c r="A4" s="132"/>
      <c r="B4" s="2"/>
      <c r="C4" s="2"/>
      <c r="D4" s="2"/>
      <c r="E4" s="48"/>
      <c r="F4" s="2"/>
      <c r="G4" s="8" t="s">
        <v>1</v>
      </c>
      <c r="H4" s="9" t="s">
        <v>1</v>
      </c>
      <c r="I4" s="50" t="s">
        <v>1</v>
      </c>
      <c r="J4" s="12"/>
      <c r="K4" s="12"/>
      <c r="L4" s="12"/>
      <c r="M4" s="12"/>
      <c r="N4" s="12"/>
      <c r="O4" s="51"/>
      <c r="P4" s="51"/>
      <c r="Q4" s="51"/>
      <c r="R4" s="51"/>
      <c r="S4" s="51"/>
      <c r="T4" s="51"/>
      <c r="U4" s="11" t="s">
        <v>1</v>
      </c>
      <c r="V4" s="15"/>
      <c r="W4" s="15"/>
      <c r="X4" s="2"/>
      <c r="Y4" s="2"/>
      <c r="Z4" s="2"/>
      <c r="AA4" s="2"/>
      <c r="AB4" s="2"/>
      <c r="AC4" s="4" t="s">
        <v>1</v>
      </c>
      <c r="AD4" s="2"/>
      <c r="AE4" s="133"/>
    </row>
    <row r="5" spans="1:31" ht="38.25" customHeight="1">
      <c r="A5" s="134"/>
      <c r="B5" s="36"/>
      <c r="C5" s="37"/>
      <c r="D5" s="37"/>
      <c r="E5" s="38" t="s">
        <v>25</v>
      </c>
      <c r="F5" s="39" t="s">
        <v>70</v>
      </c>
      <c r="G5" s="40" t="s">
        <v>2</v>
      </c>
      <c r="H5" s="40" t="s">
        <v>71</v>
      </c>
      <c r="I5" s="42"/>
      <c r="J5" s="23"/>
      <c r="K5" s="42"/>
      <c r="L5" s="42"/>
      <c r="M5" s="42"/>
      <c r="N5" s="42" t="s">
        <v>1</v>
      </c>
      <c r="O5" s="42"/>
      <c r="P5" s="43"/>
      <c r="Q5" s="42"/>
      <c r="R5" s="42"/>
      <c r="S5" s="42"/>
      <c r="T5" s="42"/>
      <c r="U5" s="42" t="s">
        <v>1</v>
      </c>
      <c r="V5" s="42"/>
      <c r="W5" s="44"/>
      <c r="X5" s="45" t="s">
        <v>72</v>
      </c>
      <c r="Y5" s="45" t="s">
        <v>76</v>
      </c>
      <c r="Z5" s="46" t="s">
        <v>35</v>
      </c>
      <c r="AA5" s="46" t="s">
        <v>167</v>
      </c>
      <c r="AB5" s="46" t="s">
        <v>86</v>
      </c>
      <c r="AC5" s="46" t="s">
        <v>83</v>
      </c>
      <c r="AD5" s="46" t="s">
        <v>73</v>
      </c>
      <c r="AE5" s="135" t="s">
        <v>47</v>
      </c>
    </row>
    <row r="6" spans="1:31" ht="38.25" customHeight="1">
      <c r="A6" s="134"/>
      <c r="B6" s="36"/>
      <c r="C6" s="37"/>
      <c r="D6" s="37"/>
      <c r="E6" s="119"/>
      <c r="F6" s="39"/>
      <c r="G6" s="40"/>
      <c r="H6" s="40" t="s">
        <v>1</v>
      </c>
      <c r="I6" s="42"/>
      <c r="J6" s="23"/>
      <c r="K6" s="42"/>
      <c r="L6" s="42"/>
      <c r="M6" s="42"/>
      <c r="N6" s="42"/>
      <c r="O6" s="42"/>
      <c r="P6" s="43"/>
      <c r="Q6" s="42"/>
      <c r="R6" s="42"/>
      <c r="S6" s="42"/>
      <c r="T6" s="42"/>
      <c r="U6" s="42"/>
      <c r="V6" s="42"/>
      <c r="W6" s="44"/>
      <c r="X6" s="45"/>
      <c r="Y6" s="45"/>
      <c r="Z6" s="46"/>
      <c r="AA6" s="46"/>
      <c r="AB6" s="46"/>
      <c r="AC6" s="46"/>
      <c r="AD6" s="46"/>
      <c r="AE6" s="135"/>
    </row>
    <row r="7" spans="1:33" ht="22.5" customHeight="1">
      <c r="A7" s="60" t="s">
        <v>24</v>
      </c>
      <c r="B7" s="5"/>
      <c r="C7" s="17"/>
      <c r="D7" s="6"/>
      <c r="E7" s="112" t="s">
        <v>154</v>
      </c>
      <c r="F7" s="94">
        <f>1742000000+0</f>
        <v>1742000000</v>
      </c>
      <c r="G7" s="94">
        <f>693752201+909671930+200000000+69218708+277713467+2286533</f>
        <v>2152642839</v>
      </c>
      <c r="H7" s="24">
        <f>+F7+G7</f>
        <v>3894642839</v>
      </c>
      <c r="I7" s="21"/>
      <c r="J7" s="23"/>
      <c r="K7" s="21"/>
      <c r="L7" s="21"/>
      <c r="M7" s="21"/>
      <c r="N7" s="21"/>
      <c r="O7" s="21"/>
      <c r="P7" s="22"/>
      <c r="Q7" s="21"/>
      <c r="R7" s="21"/>
      <c r="S7" s="21"/>
      <c r="T7" s="21"/>
      <c r="U7" s="22"/>
      <c r="V7" s="21"/>
      <c r="W7" s="24"/>
      <c r="X7" s="92"/>
      <c r="Y7" s="92">
        <v>3214239602</v>
      </c>
      <c r="Z7" s="120">
        <v>1984895908</v>
      </c>
      <c r="AA7" s="120">
        <f>486207045*1.004</f>
        <v>488151873.18</v>
      </c>
      <c r="AB7" s="120">
        <f>476857045*1.004</f>
        <v>478764473.18</v>
      </c>
      <c r="AC7" s="80">
        <f aca="true" t="shared" si="0" ref="AC7:AC19">+H7-Z7</f>
        <v>1909746931</v>
      </c>
      <c r="AD7" s="81">
        <f aca="true" t="shared" si="1" ref="AD7:AD19">+X7/H7*100</f>
        <v>0</v>
      </c>
      <c r="AE7" s="136">
        <f aca="true" t="shared" si="2" ref="AE7:AE17">+Z7/H7*100</f>
        <v>50.96477366611742</v>
      </c>
      <c r="AF7" s="7" t="s">
        <v>1</v>
      </c>
      <c r="AG7" s="1"/>
    </row>
    <row r="8" spans="1:33" ht="22.5" customHeight="1">
      <c r="A8" s="60" t="s">
        <v>24</v>
      </c>
      <c r="B8" s="5"/>
      <c r="C8" s="17"/>
      <c r="D8" s="6"/>
      <c r="E8" s="112" t="s">
        <v>155</v>
      </c>
      <c r="F8" s="94">
        <f>4451034381+0</f>
        <v>4451034381</v>
      </c>
      <c r="G8" s="94">
        <f>540863200+881892465+979738025+12000000+18661115+53196674</f>
        <v>2486351479</v>
      </c>
      <c r="H8" s="24">
        <f aca="true" t="shared" si="3" ref="H8:H19">+F8+G8</f>
        <v>6937385860</v>
      </c>
      <c r="I8" s="21"/>
      <c r="J8" s="23"/>
      <c r="K8" s="21"/>
      <c r="L8" s="21"/>
      <c r="M8" s="21"/>
      <c r="N8" s="21"/>
      <c r="O8" s="21"/>
      <c r="P8" s="22"/>
      <c r="Q8" s="21"/>
      <c r="R8" s="21"/>
      <c r="S8" s="21"/>
      <c r="T8" s="21"/>
      <c r="U8" s="22"/>
      <c r="V8" s="21"/>
      <c r="W8" s="24"/>
      <c r="X8" s="92"/>
      <c r="Y8" s="92">
        <v>4419101489</v>
      </c>
      <c r="Z8" s="120">
        <v>2994927512</v>
      </c>
      <c r="AA8" s="120">
        <f>2628854490*1.004</f>
        <v>2639369907.96</v>
      </c>
      <c r="AB8" s="120">
        <f>+AA8</f>
        <v>2639369907.96</v>
      </c>
      <c r="AC8" s="80">
        <f t="shared" si="0"/>
        <v>3942458348</v>
      </c>
      <c r="AD8" s="81">
        <f t="shared" si="1"/>
        <v>0</v>
      </c>
      <c r="AE8" s="136">
        <f t="shared" si="2"/>
        <v>43.17083657214938</v>
      </c>
      <c r="AF8" s="7" t="s">
        <v>1</v>
      </c>
      <c r="AG8" s="1"/>
    </row>
    <row r="9" spans="1:33" ht="22.5" customHeight="1">
      <c r="A9" s="60" t="s">
        <v>24</v>
      </c>
      <c r="B9" s="5"/>
      <c r="C9" s="17"/>
      <c r="D9" s="6"/>
      <c r="E9" s="112" t="s">
        <v>156</v>
      </c>
      <c r="F9" s="94">
        <v>1391137675</v>
      </c>
      <c r="G9" s="94">
        <v>874215</v>
      </c>
      <c r="H9" s="24">
        <f t="shared" si="3"/>
        <v>1392011890</v>
      </c>
      <c r="I9" s="21"/>
      <c r="J9" s="23"/>
      <c r="K9" s="21"/>
      <c r="L9" s="21"/>
      <c r="M9" s="21"/>
      <c r="N9" s="21"/>
      <c r="O9" s="21"/>
      <c r="P9" s="22"/>
      <c r="Q9" s="21"/>
      <c r="R9" s="21"/>
      <c r="S9" s="21"/>
      <c r="T9" s="21"/>
      <c r="U9" s="22"/>
      <c r="V9" s="21"/>
      <c r="W9" s="24"/>
      <c r="X9" s="92"/>
      <c r="Y9" s="92">
        <v>1177233207</v>
      </c>
      <c r="Z9" s="120">
        <v>1260063229</v>
      </c>
      <c r="AA9" s="120">
        <f>1247906497*1.004</f>
        <v>1252898122.988</v>
      </c>
      <c r="AB9" s="120">
        <f>+AA9</f>
        <v>1252898122.988</v>
      </c>
      <c r="AC9" s="80">
        <f t="shared" si="0"/>
        <v>131948661</v>
      </c>
      <c r="AD9" s="81">
        <f t="shared" si="1"/>
        <v>0</v>
      </c>
      <c r="AE9" s="136">
        <f t="shared" si="2"/>
        <v>90.52101049223079</v>
      </c>
      <c r="AF9" s="7" t="s">
        <v>1</v>
      </c>
      <c r="AG9" s="1"/>
    </row>
    <row r="10" spans="1:33" ht="22.5" customHeight="1">
      <c r="A10" s="60" t="s">
        <v>24</v>
      </c>
      <c r="B10" s="5"/>
      <c r="C10" s="17"/>
      <c r="D10" s="6"/>
      <c r="E10" s="112" t="s">
        <v>157</v>
      </c>
      <c r="F10" s="94">
        <f>1425000000+0</f>
        <v>1425000000</v>
      </c>
      <c r="G10" s="94">
        <f>99601594-100000000+100000000+116537518-100000000</f>
        <v>116139112</v>
      </c>
      <c r="H10" s="24">
        <f t="shared" si="3"/>
        <v>1541139112</v>
      </c>
      <c r="I10" s="21"/>
      <c r="J10" s="23"/>
      <c r="K10" s="21"/>
      <c r="L10" s="21"/>
      <c r="M10" s="21"/>
      <c r="N10" s="21"/>
      <c r="O10" s="21"/>
      <c r="P10" s="22"/>
      <c r="Q10" s="21"/>
      <c r="R10" s="21"/>
      <c r="S10" s="21"/>
      <c r="T10" s="21"/>
      <c r="U10" s="22"/>
      <c r="V10" s="21"/>
      <c r="W10" s="24"/>
      <c r="X10" s="92"/>
      <c r="Y10" s="92">
        <v>105456683</v>
      </c>
      <c r="Z10" s="120">
        <v>1374725804</v>
      </c>
      <c r="AA10" s="120">
        <f>103872335*1.004</f>
        <v>104287824.34</v>
      </c>
      <c r="AB10" s="120">
        <f>+AA10</f>
        <v>104287824.34</v>
      </c>
      <c r="AC10" s="80">
        <f t="shared" si="0"/>
        <v>166413308</v>
      </c>
      <c r="AD10" s="81">
        <f t="shared" si="1"/>
        <v>0</v>
      </c>
      <c r="AE10" s="136">
        <f t="shared" si="2"/>
        <v>89.20192819037351</v>
      </c>
      <c r="AF10" s="7" t="s">
        <v>1</v>
      </c>
      <c r="AG10" s="1"/>
    </row>
    <row r="11" spans="1:33" ht="22.5" customHeight="1">
      <c r="A11" s="60" t="s">
        <v>24</v>
      </c>
      <c r="B11" s="5"/>
      <c r="C11" s="17"/>
      <c r="D11" s="6"/>
      <c r="E11" s="112" t="s">
        <v>158</v>
      </c>
      <c r="F11" s="94">
        <f>1203342537+0</f>
        <v>1203342537</v>
      </c>
      <c r="G11" s="94">
        <f>-128260000+30000000+63000000+65260000+170954462</f>
        <v>200954462</v>
      </c>
      <c r="H11" s="24">
        <f t="shared" si="3"/>
        <v>1404296999</v>
      </c>
      <c r="I11" s="21"/>
      <c r="J11" s="23"/>
      <c r="K11" s="21"/>
      <c r="L11" s="21"/>
      <c r="M11" s="21"/>
      <c r="N11" s="21"/>
      <c r="O11" s="21"/>
      <c r="P11" s="22"/>
      <c r="Q11" s="21"/>
      <c r="R11" s="21"/>
      <c r="S11" s="21"/>
      <c r="T11" s="21"/>
      <c r="U11" s="22"/>
      <c r="V11" s="21"/>
      <c r="W11" s="24"/>
      <c r="X11" s="92"/>
      <c r="Y11" s="92">
        <v>589361612</v>
      </c>
      <c r="Z11" s="120">
        <v>537805648</v>
      </c>
      <c r="AA11" s="120">
        <f>42770696*1.004</f>
        <v>42941778.784</v>
      </c>
      <c r="AB11" s="120">
        <f>39270696*1.004</f>
        <v>39427778.784</v>
      </c>
      <c r="AC11" s="80">
        <f t="shared" si="0"/>
        <v>866491351</v>
      </c>
      <c r="AD11" s="81">
        <f t="shared" si="1"/>
        <v>0</v>
      </c>
      <c r="AE11" s="136">
        <f t="shared" si="2"/>
        <v>38.29714429233783</v>
      </c>
      <c r="AF11" s="7"/>
      <c r="AG11" s="1"/>
    </row>
    <row r="12" spans="1:33" ht="22.5" customHeight="1">
      <c r="A12" s="60" t="s">
        <v>24</v>
      </c>
      <c r="B12" s="5"/>
      <c r="C12" s="17"/>
      <c r="D12" s="6"/>
      <c r="E12" s="112" t="s">
        <v>159</v>
      </c>
      <c r="F12" s="94">
        <f>700000000+0</f>
        <v>700000000</v>
      </c>
      <c r="G12" s="94">
        <f>20000000+3728552934-3728552394+100432040</f>
        <v>120432580</v>
      </c>
      <c r="H12" s="24">
        <f t="shared" si="3"/>
        <v>820432580</v>
      </c>
      <c r="I12" s="21"/>
      <c r="J12" s="23"/>
      <c r="K12" s="21"/>
      <c r="L12" s="21"/>
      <c r="M12" s="21"/>
      <c r="N12" s="21"/>
      <c r="O12" s="21"/>
      <c r="P12" s="22"/>
      <c r="Q12" s="21"/>
      <c r="R12" s="21"/>
      <c r="S12" s="21"/>
      <c r="T12" s="21"/>
      <c r="U12" s="22"/>
      <c r="V12" s="21"/>
      <c r="W12" s="24"/>
      <c r="X12" s="92"/>
      <c r="Y12" s="92">
        <v>4620016737</v>
      </c>
      <c r="Z12" s="120">
        <v>311871523</v>
      </c>
      <c r="AA12" s="120">
        <f>56407139*1.004</f>
        <v>56632767.556</v>
      </c>
      <c r="AB12" s="120">
        <f>53207139*1.004</f>
        <v>53419967.556</v>
      </c>
      <c r="AC12" s="80">
        <f t="shared" si="0"/>
        <v>508561057</v>
      </c>
      <c r="AD12" s="81">
        <f t="shared" si="1"/>
        <v>0</v>
      </c>
      <c r="AE12" s="136">
        <f t="shared" si="2"/>
        <v>38.013059281482946</v>
      </c>
      <c r="AF12" s="7"/>
      <c r="AG12" s="1"/>
    </row>
    <row r="13" spans="1:33" ht="22.5" customHeight="1">
      <c r="A13" s="60" t="s">
        <v>24</v>
      </c>
      <c r="B13" s="5"/>
      <c r="C13" s="17"/>
      <c r="D13" s="6"/>
      <c r="E13" s="112" t="s">
        <v>166</v>
      </c>
      <c r="F13" s="94">
        <v>0</v>
      </c>
      <c r="G13" s="94">
        <v>3728552394</v>
      </c>
      <c r="H13" s="24">
        <f>+F13+G13</f>
        <v>3728552394</v>
      </c>
      <c r="I13" s="21"/>
      <c r="J13" s="23"/>
      <c r="K13" s="21"/>
      <c r="L13" s="21"/>
      <c r="M13" s="21"/>
      <c r="N13" s="21"/>
      <c r="O13" s="21"/>
      <c r="P13" s="22"/>
      <c r="Q13" s="21"/>
      <c r="R13" s="21"/>
      <c r="S13" s="21"/>
      <c r="T13" s="21"/>
      <c r="U13" s="22"/>
      <c r="V13" s="21"/>
      <c r="W13" s="24"/>
      <c r="X13" s="92"/>
      <c r="Y13" s="92">
        <v>4620016737</v>
      </c>
      <c r="Z13" s="120">
        <v>1227311814</v>
      </c>
      <c r="AA13" s="120">
        <v>0</v>
      </c>
      <c r="AB13" s="120"/>
      <c r="AC13" s="80">
        <f>+H13-Z13</f>
        <v>2501240580</v>
      </c>
      <c r="AD13" s="81">
        <f>+X13/H13*100</f>
        <v>0</v>
      </c>
      <c r="AE13" s="136">
        <f>+Z13/H13*100</f>
        <v>32.91657684561425</v>
      </c>
      <c r="AF13" s="7"/>
      <c r="AG13" s="1"/>
    </row>
    <row r="14" spans="1:33" ht="22.5" customHeight="1">
      <c r="A14" s="60" t="s">
        <v>24</v>
      </c>
      <c r="B14" s="5"/>
      <c r="C14" s="17"/>
      <c r="D14" s="6"/>
      <c r="E14" s="112" t="s">
        <v>160</v>
      </c>
      <c r="F14" s="94">
        <f>500000000+0</f>
        <v>500000000</v>
      </c>
      <c r="G14" s="94">
        <f>-53000000+53000000</f>
        <v>0</v>
      </c>
      <c r="H14" s="24">
        <f t="shared" si="3"/>
        <v>500000000</v>
      </c>
      <c r="I14" s="21"/>
      <c r="J14" s="23"/>
      <c r="K14" s="21"/>
      <c r="L14" s="21"/>
      <c r="M14" s="21"/>
      <c r="N14" s="21"/>
      <c r="O14" s="21"/>
      <c r="P14" s="22"/>
      <c r="Q14" s="21"/>
      <c r="R14" s="21"/>
      <c r="S14" s="21"/>
      <c r="T14" s="21"/>
      <c r="U14" s="22"/>
      <c r="V14" s="21"/>
      <c r="W14" s="24"/>
      <c r="X14" s="92"/>
      <c r="Y14" s="92">
        <v>850659482</v>
      </c>
      <c r="Z14" s="120">
        <v>94020466</v>
      </c>
      <c r="AA14" s="120">
        <f>2103626*1.004</f>
        <v>2112040.504</v>
      </c>
      <c r="AB14" s="120">
        <f>+AA14</f>
        <v>2112040.504</v>
      </c>
      <c r="AC14" s="80">
        <f t="shared" si="0"/>
        <v>405979534</v>
      </c>
      <c r="AD14" s="81">
        <f t="shared" si="1"/>
        <v>0</v>
      </c>
      <c r="AE14" s="136">
        <f t="shared" si="2"/>
        <v>18.8040932</v>
      </c>
      <c r="AG14" s="1"/>
    </row>
    <row r="15" spans="1:33" ht="22.5" customHeight="1">
      <c r="A15" s="60" t="s">
        <v>24</v>
      </c>
      <c r="B15" s="5"/>
      <c r="C15" s="17"/>
      <c r="D15" s="6"/>
      <c r="E15" s="112" t="s">
        <v>161</v>
      </c>
      <c r="F15" s="94">
        <f>2379994504+0</f>
        <v>2379994504</v>
      </c>
      <c r="G15" s="94">
        <v>443974400</v>
      </c>
      <c r="H15" s="24">
        <f t="shared" si="3"/>
        <v>2823968904</v>
      </c>
      <c r="I15" s="21"/>
      <c r="J15" s="23"/>
      <c r="K15" s="21"/>
      <c r="L15" s="21"/>
      <c r="M15" s="21"/>
      <c r="N15" s="21"/>
      <c r="O15" s="21"/>
      <c r="P15" s="22"/>
      <c r="Q15" s="21"/>
      <c r="R15" s="21"/>
      <c r="S15" s="21"/>
      <c r="T15" s="21"/>
      <c r="U15" s="22"/>
      <c r="V15" s="21"/>
      <c r="W15" s="24"/>
      <c r="X15" s="92"/>
      <c r="Y15" s="92">
        <v>169389594</v>
      </c>
      <c r="Z15" s="120">
        <f>2255276783-12580000</f>
        <v>2242696783</v>
      </c>
      <c r="AA15" s="146">
        <f>+(562338184-1947059)*1.004</f>
        <v>562632689.5</v>
      </c>
      <c r="AB15" s="120">
        <f>+(529408970-3000000)*1.004</f>
        <v>528514605.88</v>
      </c>
      <c r="AC15" s="80">
        <f t="shared" si="0"/>
        <v>581272121</v>
      </c>
      <c r="AD15" s="81">
        <f t="shared" si="1"/>
        <v>0</v>
      </c>
      <c r="AE15" s="136">
        <f t="shared" si="2"/>
        <v>79.41648294438868</v>
      </c>
      <c r="AG15" s="1"/>
    </row>
    <row r="16" spans="1:33" ht="22.5" customHeight="1">
      <c r="A16" s="60" t="s">
        <v>24</v>
      </c>
      <c r="B16" s="5"/>
      <c r="C16" s="17"/>
      <c r="D16" s="6"/>
      <c r="E16" s="112" t="s">
        <v>162</v>
      </c>
      <c r="F16" s="94">
        <f>596500000+0</f>
        <v>596500000</v>
      </c>
      <c r="G16" s="94">
        <f>-418729200+210229200+313444894</f>
        <v>104944894</v>
      </c>
      <c r="H16" s="24">
        <f t="shared" si="3"/>
        <v>701444894</v>
      </c>
      <c r="I16" s="21"/>
      <c r="J16" s="23"/>
      <c r="K16" s="21"/>
      <c r="L16" s="21"/>
      <c r="M16" s="21"/>
      <c r="N16" s="21"/>
      <c r="O16" s="21"/>
      <c r="P16" s="22"/>
      <c r="Q16" s="21"/>
      <c r="R16" s="21"/>
      <c r="S16" s="21"/>
      <c r="T16" s="21"/>
      <c r="U16" s="22"/>
      <c r="V16" s="21"/>
      <c r="W16" s="24"/>
      <c r="X16" s="92"/>
      <c r="Y16" s="92">
        <v>218654899</v>
      </c>
      <c r="Z16" s="120">
        <v>184961730</v>
      </c>
      <c r="AA16" s="120">
        <f>47520666*1.004</f>
        <v>47710748.664</v>
      </c>
      <c r="AB16" s="120">
        <f>+AA16</f>
        <v>47710748.664</v>
      </c>
      <c r="AC16" s="80">
        <f t="shared" si="0"/>
        <v>516483164</v>
      </c>
      <c r="AD16" s="81">
        <f t="shared" si="1"/>
        <v>0</v>
      </c>
      <c r="AE16" s="136">
        <f t="shared" si="2"/>
        <v>26.36867579793089</v>
      </c>
      <c r="AG16" s="1"/>
    </row>
    <row r="17" spans="1:33" ht="22.5" customHeight="1">
      <c r="A17" s="60" t="s">
        <v>24</v>
      </c>
      <c r="B17" s="5"/>
      <c r="C17" s="17"/>
      <c r="D17" s="6"/>
      <c r="E17" s="112" t="s">
        <v>163</v>
      </c>
      <c r="F17" s="94">
        <f>926000000+0</f>
        <v>926000000</v>
      </c>
      <c r="G17" s="94">
        <f>214218708+100000000-269218708</f>
        <v>45000000</v>
      </c>
      <c r="H17" s="24">
        <f t="shared" si="3"/>
        <v>971000000</v>
      </c>
      <c r="I17" s="21"/>
      <c r="J17" s="23"/>
      <c r="K17" s="21"/>
      <c r="L17" s="21"/>
      <c r="M17" s="21"/>
      <c r="N17" s="21"/>
      <c r="O17" s="21"/>
      <c r="P17" s="22"/>
      <c r="Q17" s="21"/>
      <c r="R17" s="21"/>
      <c r="S17" s="21"/>
      <c r="T17" s="21"/>
      <c r="U17" s="22"/>
      <c r="V17" s="21"/>
      <c r="W17" s="24"/>
      <c r="X17" s="92"/>
      <c r="Y17" s="92">
        <v>1180795963</v>
      </c>
      <c r="Z17" s="120">
        <v>678396625</v>
      </c>
      <c r="AA17" s="120">
        <f>390173876*1.004</f>
        <v>391734571.504</v>
      </c>
      <c r="AB17" s="120">
        <f>387852210*1.004</f>
        <v>389403618.84</v>
      </c>
      <c r="AC17" s="80">
        <f t="shared" si="0"/>
        <v>292603375</v>
      </c>
      <c r="AD17" s="81">
        <f t="shared" si="1"/>
        <v>0</v>
      </c>
      <c r="AE17" s="136">
        <f t="shared" si="2"/>
        <v>69.86576982492276</v>
      </c>
      <c r="AF17" s="7"/>
      <c r="AG17" s="1"/>
    </row>
    <row r="18" spans="1:33" ht="22.5" customHeight="1">
      <c r="A18" s="60" t="s">
        <v>24</v>
      </c>
      <c r="B18" s="5"/>
      <c r="C18" s="17"/>
      <c r="D18" s="6"/>
      <c r="E18" s="112" t="s">
        <v>164</v>
      </c>
      <c r="F18" s="94">
        <f>1679443034+0</f>
        <v>1679443034</v>
      </c>
      <c r="G18" s="94">
        <f>83250101+86255250-280000000</f>
        <v>-110494649</v>
      </c>
      <c r="H18" s="24">
        <f t="shared" si="3"/>
        <v>1568948385</v>
      </c>
      <c r="I18" s="21"/>
      <c r="J18" s="23"/>
      <c r="K18" s="21"/>
      <c r="L18" s="21"/>
      <c r="M18" s="21"/>
      <c r="N18" s="21"/>
      <c r="O18" s="21"/>
      <c r="P18" s="22"/>
      <c r="Q18" s="21"/>
      <c r="R18" s="21"/>
      <c r="S18" s="21"/>
      <c r="T18" s="21"/>
      <c r="U18" s="22"/>
      <c r="V18" s="21"/>
      <c r="W18" s="24"/>
      <c r="X18" s="92"/>
      <c r="Y18" s="92"/>
      <c r="Z18" s="120">
        <v>1064191837</v>
      </c>
      <c r="AA18" s="120">
        <f>479517814*1.004</f>
        <v>481435885.256</v>
      </c>
      <c r="AB18" s="120">
        <f>472270714*1.004</f>
        <v>474159796.856</v>
      </c>
      <c r="AC18" s="80">
        <f t="shared" si="0"/>
        <v>504756548</v>
      </c>
      <c r="AD18" s="81">
        <f t="shared" si="1"/>
        <v>0</v>
      </c>
      <c r="AE18" s="137" t="s">
        <v>1</v>
      </c>
      <c r="AG18" s="1"/>
    </row>
    <row r="19" spans="1:33" ht="22.5" customHeight="1">
      <c r="A19" s="60" t="s">
        <v>24</v>
      </c>
      <c r="B19" s="5"/>
      <c r="C19" s="17"/>
      <c r="D19" s="6"/>
      <c r="E19" s="112" t="s">
        <v>165</v>
      </c>
      <c r="F19" s="94">
        <f>1420000000+0</f>
        <v>1420000000</v>
      </c>
      <c r="G19" s="94">
        <f>-534626201+703302583+333640467</f>
        <v>502316849</v>
      </c>
      <c r="H19" s="24">
        <f t="shared" si="3"/>
        <v>1922316849</v>
      </c>
      <c r="I19" s="61">
        <f aca="true" t="shared" si="4" ref="I19:Y19">SUM(I7:I18)</f>
        <v>0</v>
      </c>
      <c r="J19" s="61">
        <f t="shared" si="4"/>
        <v>0</v>
      </c>
      <c r="K19" s="61">
        <f t="shared" si="4"/>
        <v>0</v>
      </c>
      <c r="L19" s="61">
        <f t="shared" si="4"/>
        <v>0</v>
      </c>
      <c r="M19" s="61">
        <f t="shared" si="4"/>
        <v>0</v>
      </c>
      <c r="N19" s="61">
        <f t="shared" si="4"/>
        <v>0</v>
      </c>
      <c r="O19" s="61">
        <f t="shared" si="4"/>
        <v>0</v>
      </c>
      <c r="P19" s="61">
        <f t="shared" si="4"/>
        <v>0</v>
      </c>
      <c r="Q19" s="61">
        <f t="shared" si="4"/>
        <v>0</v>
      </c>
      <c r="R19" s="61">
        <f t="shared" si="4"/>
        <v>0</v>
      </c>
      <c r="S19" s="61">
        <f t="shared" si="4"/>
        <v>0</v>
      </c>
      <c r="T19" s="61">
        <f t="shared" si="4"/>
        <v>0</v>
      </c>
      <c r="U19" s="61">
        <f t="shared" si="4"/>
        <v>0</v>
      </c>
      <c r="V19" s="61">
        <f t="shared" si="4"/>
        <v>0</v>
      </c>
      <c r="W19" s="61">
        <f t="shared" si="4"/>
        <v>0</v>
      </c>
      <c r="X19" s="61">
        <f t="shared" si="4"/>
        <v>0</v>
      </c>
      <c r="Y19" s="61">
        <f t="shared" si="4"/>
        <v>21164926005</v>
      </c>
      <c r="Z19" s="120">
        <v>679930018</v>
      </c>
      <c r="AA19" s="120">
        <f>90241960*1.004</f>
        <v>90602927.84</v>
      </c>
      <c r="AB19" s="120">
        <f>84741960*1.004</f>
        <v>85080927.84</v>
      </c>
      <c r="AC19" s="80">
        <f t="shared" si="0"/>
        <v>1242386831</v>
      </c>
      <c r="AD19" s="81">
        <f t="shared" si="1"/>
        <v>0</v>
      </c>
      <c r="AE19" s="136">
        <f>+Z19/H19*100</f>
        <v>35.37034065709321</v>
      </c>
      <c r="AG19" s="1"/>
    </row>
    <row r="20" spans="1:33" ht="22.5" customHeight="1">
      <c r="A20" s="60" t="s">
        <v>1</v>
      </c>
      <c r="B20" s="5"/>
      <c r="C20" s="17"/>
      <c r="D20" s="6"/>
      <c r="E20" s="62"/>
      <c r="F20" s="61"/>
      <c r="G20" s="57" t="s">
        <v>1</v>
      </c>
      <c r="H20" s="24" t="s">
        <v>1</v>
      </c>
      <c r="I20" s="21"/>
      <c r="J20" s="23"/>
      <c r="K20" s="21"/>
      <c r="L20" s="21"/>
      <c r="M20" s="21"/>
      <c r="N20" s="21"/>
      <c r="O20" s="21"/>
      <c r="P20" s="22"/>
      <c r="Q20" s="21"/>
      <c r="R20" s="21"/>
      <c r="S20" s="21"/>
      <c r="T20" s="21"/>
      <c r="U20" s="21"/>
      <c r="V20" s="21"/>
      <c r="W20" s="24"/>
      <c r="X20" s="11"/>
      <c r="Y20" s="11"/>
      <c r="Z20" s="11"/>
      <c r="AA20" s="11"/>
      <c r="AB20" s="11"/>
      <c r="AC20" s="80">
        <v>0</v>
      </c>
      <c r="AD20" s="16" t="s">
        <v>1</v>
      </c>
      <c r="AE20" s="137" t="s">
        <v>1</v>
      </c>
      <c r="AG20" s="1"/>
    </row>
    <row r="21" spans="1:33" ht="22.5" customHeight="1" thickBot="1">
      <c r="A21" s="63"/>
      <c r="B21" s="64"/>
      <c r="C21" s="65"/>
      <c r="D21" s="66"/>
      <c r="E21" s="67" t="s">
        <v>69</v>
      </c>
      <c r="F21" s="68">
        <f>SUM(F7:F19)</f>
        <v>18414452131</v>
      </c>
      <c r="G21" s="68">
        <f>SUM(G7:G19)</f>
        <v>9791688575</v>
      </c>
      <c r="H21" s="68">
        <f>SUM(H7:H19)</f>
        <v>28206140706</v>
      </c>
      <c r="I21" s="68" t="e">
        <f>+I19+#REF!</f>
        <v>#REF!</v>
      </c>
      <c r="J21" s="68" t="e">
        <f>+J19+#REF!</f>
        <v>#REF!</v>
      </c>
      <c r="K21" s="68" t="e">
        <f>+K19+#REF!</f>
        <v>#REF!</v>
      </c>
      <c r="L21" s="68" t="e">
        <f>+L19+#REF!</f>
        <v>#REF!</v>
      </c>
      <c r="M21" s="68" t="e">
        <f>+M19+#REF!</f>
        <v>#REF!</v>
      </c>
      <c r="N21" s="68" t="e">
        <f>+N19+#REF!</f>
        <v>#REF!</v>
      </c>
      <c r="O21" s="68" t="e">
        <f>+O19+#REF!</f>
        <v>#REF!</v>
      </c>
      <c r="P21" s="68" t="e">
        <f>+P19+#REF!</f>
        <v>#REF!</v>
      </c>
      <c r="Q21" s="68" t="e">
        <f>+Q19+#REF!</f>
        <v>#REF!</v>
      </c>
      <c r="R21" s="68" t="e">
        <f>+R19+#REF!</f>
        <v>#REF!</v>
      </c>
      <c r="S21" s="68" t="e">
        <f>+S19+#REF!</f>
        <v>#REF!</v>
      </c>
      <c r="T21" s="68" t="e">
        <f>+T19+#REF!</f>
        <v>#REF!</v>
      </c>
      <c r="U21" s="68" t="e">
        <f>+U19+#REF!</f>
        <v>#REF!</v>
      </c>
      <c r="V21" s="68" t="e">
        <f>+V19+#REF!</f>
        <v>#REF!</v>
      </c>
      <c r="W21" s="68" t="e">
        <f>+W19+#REF!</f>
        <v>#REF!</v>
      </c>
      <c r="X21" s="68" t="e">
        <f>+X19+#REF!</f>
        <v>#REF!</v>
      </c>
      <c r="Y21" s="68" t="e">
        <f>+Y19+#REF!</f>
        <v>#REF!</v>
      </c>
      <c r="Z21" s="68">
        <f>SUM(Z7:Z19)</f>
        <v>14635798897</v>
      </c>
      <c r="AA21" s="68">
        <f>SUM(AA7:AA19)</f>
        <v>6160511138.075999</v>
      </c>
      <c r="AB21" s="68">
        <f>SUM(AB7:AB19)</f>
        <v>6095149813.392</v>
      </c>
      <c r="AC21" s="138">
        <f>+H21-Z21</f>
        <v>13570341809</v>
      </c>
      <c r="AD21" s="139" t="e">
        <f>+X21/H21*100</f>
        <v>#REF!</v>
      </c>
      <c r="AE21" s="140">
        <f>+Z21/H21*100</f>
        <v>51.888697037828635</v>
      </c>
      <c r="AG21" s="1"/>
    </row>
    <row r="22" spans="6:33" ht="12.75">
      <c r="F22" s="34" t="s">
        <v>1</v>
      </c>
      <c r="G22" s="34"/>
      <c r="H22" s="7"/>
      <c r="Z22" s="34"/>
      <c r="AA22" s="34" t="s">
        <v>1</v>
      </c>
      <c r="AB22" s="34" t="s">
        <v>1</v>
      </c>
      <c r="AC22" s="34" t="s">
        <v>1</v>
      </c>
      <c r="AD22" s="52"/>
      <c r="AE22" s="52" t="s">
        <v>1</v>
      </c>
      <c r="AG22" s="1"/>
    </row>
    <row r="23" spans="6:33" ht="12.75">
      <c r="F23" s="34" t="s">
        <v>1</v>
      </c>
      <c r="G23" s="7"/>
      <c r="H23" s="7"/>
      <c r="X23" s="25"/>
      <c r="Y23" s="25"/>
      <c r="Z23" s="34"/>
      <c r="AA23" s="34"/>
      <c r="AB23" s="34" t="s">
        <v>1</v>
      </c>
      <c r="AC23" s="25" t="s">
        <v>1</v>
      </c>
      <c r="AD23" s="25" t="e">
        <f>+H23-#REF!</f>
        <v>#REF!</v>
      </c>
      <c r="AG23" s="1"/>
    </row>
    <row r="24" spans="7:33" ht="12.75">
      <c r="G24" s="7"/>
      <c r="H24" s="2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7"/>
      <c r="AA24" s="7"/>
      <c r="AB24" s="7"/>
      <c r="AC24" s="1"/>
      <c r="AD24" s="1"/>
      <c r="AE24" s="1"/>
      <c r="AG24" s="1"/>
    </row>
    <row r="25" spans="7:33" ht="12.75">
      <c r="G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G25" s="1"/>
    </row>
    <row r="26" spans="1:33" ht="12.75">
      <c r="A26" s="2"/>
      <c r="B26" s="2"/>
      <c r="C26" s="2"/>
      <c r="D26" s="2"/>
      <c r="E26" s="150" t="s">
        <v>0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2"/>
      <c r="AE26" s="53"/>
      <c r="AG26" s="1"/>
    </row>
    <row r="27" spans="1:33" ht="12.75">
      <c r="A27" s="2"/>
      <c r="B27" s="2"/>
      <c r="C27" s="2"/>
      <c r="D27" s="2"/>
      <c r="E27" s="150" t="s">
        <v>170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2"/>
      <c r="AE27" s="53"/>
      <c r="AG27" s="1"/>
    </row>
    <row r="28" spans="1:33" ht="12.75">
      <c r="A28" s="2"/>
      <c r="B28" s="2"/>
      <c r="C28" s="2"/>
      <c r="D28" s="2"/>
      <c r="E28" s="32"/>
      <c r="F28" s="32"/>
      <c r="G28" s="4" t="s">
        <v>1</v>
      </c>
      <c r="H28" s="28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53"/>
      <c r="AG28" s="1"/>
    </row>
    <row r="29" spans="1:33" ht="25.5">
      <c r="A29" s="2"/>
      <c r="B29" s="2"/>
      <c r="C29" s="2"/>
      <c r="D29" s="54"/>
      <c r="E29" s="69" t="s">
        <v>25</v>
      </c>
      <c r="F29" s="70" t="s">
        <v>70</v>
      </c>
      <c r="G29" s="41" t="s">
        <v>2</v>
      </c>
      <c r="H29" s="40" t="s">
        <v>71</v>
      </c>
      <c r="I29" s="42"/>
      <c r="J29" s="23"/>
      <c r="K29" s="42"/>
      <c r="L29" s="42"/>
      <c r="M29" s="42"/>
      <c r="N29" s="42" t="s">
        <v>1</v>
      </c>
      <c r="O29" s="42"/>
      <c r="P29" s="43"/>
      <c r="Q29" s="42"/>
      <c r="R29" s="42"/>
      <c r="S29" s="42"/>
      <c r="T29" s="42"/>
      <c r="U29" s="42" t="s">
        <v>1</v>
      </c>
      <c r="V29" s="42"/>
      <c r="W29" s="42"/>
      <c r="X29" s="45" t="s">
        <v>72</v>
      </c>
      <c r="Y29" s="45" t="s">
        <v>76</v>
      </c>
      <c r="Z29" s="46" t="s">
        <v>35</v>
      </c>
      <c r="AA29" s="46" t="s">
        <v>167</v>
      </c>
      <c r="AB29" s="46" t="s">
        <v>86</v>
      </c>
      <c r="AC29" s="46" t="s">
        <v>102</v>
      </c>
      <c r="AD29" s="46" t="s">
        <v>73</v>
      </c>
      <c r="AE29" s="46" t="s">
        <v>47</v>
      </c>
      <c r="AG29" s="1"/>
    </row>
    <row r="30" spans="1:33" ht="12.75">
      <c r="A30" s="2"/>
      <c r="B30" s="2"/>
      <c r="C30" s="2"/>
      <c r="D30" s="2"/>
      <c r="E30" s="69"/>
      <c r="F30" s="70"/>
      <c r="G30" s="41"/>
      <c r="H30" s="40"/>
      <c r="I30" s="42"/>
      <c r="J30" s="23"/>
      <c r="K30" s="42"/>
      <c r="L30" s="42"/>
      <c r="M30" s="42"/>
      <c r="N30" s="42"/>
      <c r="O30" s="42"/>
      <c r="P30" s="43"/>
      <c r="Q30" s="42"/>
      <c r="R30" s="42"/>
      <c r="S30" s="42"/>
      <c r="T30" s="42"/>
      <c r="U30" s="42"/>
      <c r="V30" s="42"/>
      <c r="W30" s="42"/>
      <c r="X30" s="45"/>
      <c r="Y30" s="71"/>
      <c r="Z30" s="71"/>
      <c r="AA30" s="71"/>
      <c r="AB30" s="71"/>
      <c r="AC30" s="71"/>
      <c r="AD30" s="45"/>
      <c r="AE30" s="53"/>
      <c r="AG30" s="1"/>
    </row>
    <row r="31" spans="1:33" ht="25.5">
      <c r="A31" s="8" t="s">
        <v>24</v>
      </c>
      <c r="B31" s="2">
        <v>213</v>
      </c>
      <c r="C31" s="2">
        <v>906</v>
      </c>
      <c r="D31" s="2">
        <v>1</v>
      </c>
      <c r="E31" s="72" t="s">
        <v>75</v>
      </c>
      <c r="F31" s="32">
        <v>1074086189</v>
      </c>
      <c r="G31" s="4">
        <v>0</v>
      </c>
      <c r="H31" s="28">
        <f>+F31+G31</f>
        <v>1074086189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>
        <f>+'[1]013-000-2-906-1'!$E$55-'[1]013-000-2-906-1'!$E$49-'[1]013-000-2-906-1'!$E$50</f>
        <v>-678923032</v>
      </c>
      <c r="Y31" s="95">
        <f>2431158628-88296411</f>
        <v>2342862217</v>
      </c>
      <c r="Z31" s="141">
        <v>0</v>
      </c>
      <c r="AA31" s="141"/>
      <c r="AB31" s="141"/>
      <c r="AC31" s="73">
        <f>+H31-Z31</f>
        <v>1074086189</v>
      </c>
      <c r="AD31" s="28">
        <v>0</v>
      </c>
      <c r="AE31" s="53">
        <f>+Z31/H31*100</f>
        <v>0</v>
      </c>
      <c r="AG31" s="1"/>
    </row>
    <row r="32" spans="1:33" ht="102">
      <c r="A32" s="2" t="s">
        <v>24</v>
      </c>
      <c r="B32" s="2">
        <v>213</v>
      </c>
      <c r="C32" s="2">
        <v>906</v>
      </c>
      <c r="D32" s="2">
        <v>2</v>
      </c>
      <c r="E32" s="147" t="s">
        <v>168</v>
      </c>
      <c r="F32" s="32"/>
      <c r="G32" s="32">
        <v>3500000000</v>
      </c>
      <c r="H32" s="28">
        <f>+G32</f>
        <v>3500000000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74"/>
      <c r="Z32" s="74">
        <v>0</v>
      </c>
      <c r="AA32" s="74">
        <v>0</v>
      </c>
      <c r="AB32" s="74">
        <v>0</v>
      </c>
      <c r="AC32" s="73">
        <f>+H32-Z32</f>
        <v>3500000000</v>
      </c>
      <c r="AD32" s="28"/>
      <c r="AE32" s="53"/>
      <c r="AG32" s="1"/>
    </row>
    <row r="33" spans="1:33" ht="12.75">
      <c r="A33" s="2"/>
      <c r="B33" s="2"/>
      <c r="C33" s="2"/>
      <c r="D33" s="2"/>
      <c r="E33" s="32"/>
      <c r="F33" s="32"/>
      <c r="G33" s="32"/>
      <c r="H33" s="2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74"/>
      <c r="Z33" s="74"/>
      <c r="AA33" s="74"/>
      <c r="AB33" s="74"/>
      <c r="AC33" s="73"/>
      <c r="AD33" s="28"/>
      <c r="AE33" s="53"/>
      <c r="AG33" s="1"/>
    </row>
    <row r="34" spans="1:33" ht="12.75">
      <c r="A34" s="2"/>
      <c r="B34" s="2"/>
      <c r="C34" s="2"/>
      <c r="D34" s="2"/>
      <c r="E34" s="30" t="s">
        <v>69</v>
      </c>
      <c r="F34" s="30">
        <f>+F31</f>
        <v>1074086189</v>
      </c>
      <c r="G34" s="30">
        <f>+G32</f>
        <v>3500000000</v>
      </c>
      <c r="H34" s="75">
        <f>+H32+H31</f>
        <v>4574086189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>
        <f aca="true" t="shared" si="5" ref="X34:AD34">+X31</f>
        <v>-678923032</v>
      </c>
      <c r="Y34" s="142">
        <f t="shared" si="5"/>
        <v>2342862217</v>
      </c>
      <c r="Z34" s="142">
        <f t="shared" si="5"/>
        <v>0</v>
      </c>
      <c r="AA34" s="142">
        <f t="shared" si="5"/>
        <v>0</v>
      </c>
      <c r="AB34" s="142">
        <f t="shared" si="5"/>
        <v>0</v>
      </c>
      <c r="AC34" s="73">
        <f>+H34-Z34</f>
        <v>4574086189</v>
      </c>
      <c r="AD34" s="75">
        <f t="shared" si="5"/>
        <v>0</v>
      </c>
      <c r="AE34" s="143">
        <f>+Z34/H34*100</f>
        <v>0</v>
      </c>
      <c r="AG34" s="1"/>
    </row>
    <row r="35" spans="1:33" ht="12.75">
      <c r="A35" s="2"/>
      <c r="B35" s="2"/>
      <c r="C35" s="2"/>
      <c r="D35" s="2"/>
      <c r="E35" s="32"/>
      <c r="F35" s="32"/>
      <c r="G35" s="32"/>
      <c r="H35" s="28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74"/>
      <c r="Z35" s="74"/>
      <c r="AA35" s="74"/>
      <c r="AB35" s="74"/>
      <c r="AC35" s="74"/>
      <c r="AD35" s="32"/>
      <c r="AE35" s="53"/>
      <c r="AG35" s="1"/>
    </row>
    <row r="36" spans="1:33" ht="12.75">
      <c r="A36" s="2"/>
      <c r="B36" s="2"/>
      <c r="C36" s="2"/>
      <c r="D36" s="2"/>
      <c r="E36" s="32"/>
      <c r="F36" s="32"/>
      <c r="G36" s="32"/>
      <c r="H36" s="28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74"/>
      <c r="Z36" s="100" t="s">
        <v>1</v>
      </c>
      <c r="AA36" s="100"/>
      <c r="AB36" s="100"/>
      <c r="AC36" s="74"/>
      <c r="AD36" s="32"/>
      <c r="AE36" s="53"/>
      <c r="AG36" s="1"/>
    </row>
    <row r="37" spans="1:33" ht="12.75">
      <c r="A37" s="2"/>
      <c r="B37" s="2"/>
      <c r="C37" s="2"/>
      <c r="D37" s="2"/>
      <c r="E37" s="32"/>
      <c r="F37" s="32"/>
      <c r="G37" s="32"/>
      <c r="H37" s="28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74"/>
      <c r="Z37" s="100" t="s">
        <v>1</v>
      </c>
      <c r="AA37" s="100"/>
      <c r="AB37" s="100"/>
      <c r="AC37" s="74"/>
      <c r="AD37" s="32"/>
      <c r="AE37" s="53"/>
      <c r="AG37" s="1"/>
    </row>
    <row r="38" spans="1:33" ht="12.75">
      <c r="A38" s="2"/>
      <c r="B38" s="2"/>
      <c r="C38" s="2"/>
      <c r="D38" s="2"/>
      <c r="E38" s="2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73"/>
      <c r="Z38" s="101" t="s">
        <v>1</v>
      </c>
      <c r="AA38" s="101"/>
      <c r="AB38" s="101"/>
      <c r="AC38" s="73"/>
      <c r="AD38" s="28"/>
      <c r="AE38" s="53"/>
      <c r="AG38" s="1"/>
    </row>
    <row r="39" spans="1:33" ht="12.75">
      <c r="A39" s="2"/>
      <c r="B39" s="2"/>
      <c r="C39" s="2"/>
      <c r="D39" s="2"/>
      <c r="E39" s="2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73"/>
      <c r="Z39" s="73"/>
      <c r="AA39" s="73"/>
      <c r="AB39" s="73"/>
      <c r="AC39" s="73"/>
      <c r="AD39" s="28"/>
      <c r="AE39" s="53"/>
      <c r="AG39" s="1"/>
    </row>
    <row r="40" spans="7:33" ht="12.75">
      <c r="G40" s="1"/>
      <c r="H40" s="7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G40" s="1"/>
    </row>
    <row r="41" spans="7:33" ht="12.75">
      <c r="G41" s="1"/>
      <c r="H41" s="7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7"/>
      <c r="AA41" s="7"/>
      <c r="AB41" s="7"/>
      <c r="AC41" s="1"/>
      <c r="AD41" s="1"/>
      <c r="AE41" s="1"/>
      <c r="AG41" s="1"/>
    </row>
    <row r="42" spans="7:33" ht="12.75">
      <c r="G42" s="1"/>
      <c r="H42" s="7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"/>
      <c r="AA42" s="7"/>
      <c r="AB42" s="7"/>
      <c r="AC42" s="1"/>
      <c r="AD42" s="1"/>
      <c r="AE42" s="1"/>
      <c r="AG42" s="1"/>
    </row>
    <row r="43" spans="6:33" ht="12.75">
      <c r="F43" s="25"/>
      <c r="G43" s="1"/>
      <c r="H43" s="7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"/>
      <c r="AA43" s="7"/>
      <c r="AB43" s="7"/>
      <c r="AC43" s="1"/>
      <c r="AD43" s="1"/>
      <c r="AE43" s="1"/>
      <c r="AG43" s="1"/>
    </row>
    <row r="44" spans="6:33" ht="12.75">
      <c r="F44" s="25"/>
      <c r="G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"/>
      <c r="AA44" s="7"/>
      <c r="AB44" s="7"/>
      <c r="AC44" s="1"/>
      <c r="AD44" s="1"/>
      <c r="AE44" s="1"/>
      <c r="AG44" s="1"/>
    </row>
    <row r="45" spans="7:33" ht="12.75">
      <c r="G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G45" s="1"/>
    </row>
    <row r="46" spans="7:33" ht="12.75">
      <c r="G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G46" s="1"/>
    </row>
    <row r="47" spans="7:33" ht="12.75">
      <c r="G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G47" s="1"/>
    </row>
    <row r="48" spans="7:33" ht="12.75">
      <c r="G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G48" s="1"/>
    </row>
    <row r="49" spans="7:33" ht="12.75">
      <c r="G49" s="1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G49" s="1"/>
    </row>
    <row r="50" spans="26:33" ht="12.75">
      <c r="Z50" s="1"/>
      <c r="AA50" s="1"/>
      <c r="AB50" s="1"/>
      <c r="AG50" s="1"/>
    </row>
    <row r="51" spans="7:33" ht="12.75">
      <c r="G51" s="1"/>
      <c r="AG51" s="1"/>
    </row>
    <row r="52" spans="7:33" ht="12.75">
      <c r="G52" s="25"/>
      <c r="AG52" s="1"/>
    </row>
    <row r="53" spans="26:33" ht="12.75">
      <c r="Z53" s="1"/>
      <c r="AA53" s="1"/>
      <c r="AB53" s="1"/>
      <c r="AG53" s="1"/>
    </row>
    <row r="54" spans="7:33" ht="12.75">
      <c r="G54" s="25"/>
      <c r="Z54" s="1"/>
      <c r="AA54" s="1"/>
      <c r="AB54" s="1"/>
      <c r="AG54" s="1"/>
    </row>
    <row r="55" ht="12.75">
      <c r="AG55" s="1"/>
    </row>
    <row r="56" spans="7:33" ht="12.75">
      <c r="G56" s="25"/>
      <c r="AG56" s="1"/>
    </row>
    <row r="57" spans="7:33" ht="12.75">
      <c r="G57" s="25"/>
      <c r="AG57" s="1"/>
    </row>
    <row r="58" spans="7:33" ht="12.75">
      <c r="G58" s="25"/>
      <c r="AG58" s="1"/>
    </row>
    <row r="59" spans="7:33" ht="12.75">
      <c r="G59" s="25"/>
      <c r="AG59" s="1"/>
    </row>
    <row r="60" ht="12.75">
      <c r="AG60" s="1"/>
    </row>
    <row r="61" ht="12.75">
      <c r="AG61" s="1"/>
    </row>
    <row r="62" ht="12.75">
      <c r="AG62" s="1"/>
    </row>
    <row r="63" ht="12.75">
      <c r="AG63" s="1"/>
    </row>
    <row r="64" ht="12.75">
      <c r="AG64" s="1"/>
    </row>
    <row r="65" ht="12.75">
      <c r="AG65" s="1"/>
    </row>
    <row r="66" ht="12.75">
      <c r="AG66" s="1"/>
    </row>
    <row r="67" ht="12.75">
      <c r="AG67" s="1"/>
    </row>
    <row r="68" ht="12.75">
      <c r="AG68" s="1"/>
    </row>
    <row r="69" ht="12.75">
      <c r="AG69" s="1"/>
    </row>
    <row r="70" ht="12.75">
      <c r="AG70" s="1"/>
    </row>
    <row r="71" ht="12.75">
      <c r="AG71" s="1"/>
    </row>
    <row r="72" ht="12.75">
      <c r="AG72" s="1"/>
    </row>
    <row r="73" ht="12.75">
      <c r="AG73" s="1"/>
    </row>
    <row r="74" ht="12.75">
      <c r="AG74" s="1"/>
    </row>
    <row r="75" ht="12.75">
      <c r="AG75" s="1"/>
    </row>
    <row r="76" ht="12.75">
      <c r="AG76" s="1"/>
    </row>
    <row r="77" ht="12.75">
      <c r="AG77" s="1"/>
    </row>
    <row r="78" ht="12.75">
      <c r="AG78" s="1"/>
    </row>
    <row r="79" ht="12.75">
      <c r="AG79" s="1"/>
    </row>
    <row r="80" ht="12.75">
      <c r="AG80" s="1"/>
    </row>
    <row r="81" ht="12.75">
      <c r="AG81" s="1"/>
    </row>
  </sheetData>
  <sheetProtection/>
  <mergeCells count="4">
    <mergeCell ref="E1:AD1"/>
    <mergeCell ref="E2:AD2"/>
    <mergeCell ref="E26:AD26"/>
    <mergeCell ref="E27:AD27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W181"/>
  <sheetViews>
    <sheetView zoomScalePageLayoutView="0" workbookViewId="0" topLeftCell="I1">
      <selection activeCell="W4" sqref="W4:W11"/>
    </sheetView>
  </sheetViews>
  <sheetFormatPr defaultColWidth="11.421875" defaultRowHeight="12.75"/>
  <cols>
    <col min="1" max="1" width="2.8515625" style="0" customWidth="1"/>
    <col min="2" max="2" width="4.7109375" style="0" customWidth="1"/>
    <col min="3" max="3" width="4.57421875" style="0" customWidth="1"/>
    <col min="4" max="4" width="3.7109375" style="0" customWidth="1"/>
    <col min="5" max="5" width="18.140625" style="0" customWidth="1"/>
    <col min="6" max="6" width="15.00390625" style="0" customWidth="1"/>
    <col min="7" max="7" width="17.140625" style="0" customWidth="1"/>
    <col min="8" max="8" width="16.28125" style="0" customWidth="1"/>
    <col min="9" max="9" width="14.28125" style="0" bestFit="1" customWidth="1"/>
    <col min="10" max="10" width="16.140625" style="0" customWidth="1"/>
    <col min="11" max="11" width="15.28125" style="0" customWidth="1"/>
    <col min="12" max="12" width="16.421875" style="0" bestFit="1" customWidth="1"/>
    <col min="13" max="14" width="15.28125" style="0" bestFit="1" customWidth="1"/>
    <col min="15" max="15" width="18.28125" style="0" customWidth="1"/>
    <col min="16" max="16" width="16.140625" style="0" customWidth="1"/>
    <col min="17" max="17" width="18.00390625" style="0" customWidth="1"/>
    <col min="18" max="18" width="22.140625" style="0" customWidth="1"/>
    <col min="19" max="19" width="15.28125" style="0" bestFit="1" customWidth="1"/>
    <col min="20" max="20" width="16.421875" style="0" bestFit="1" customWidth="1"/>
    <col min="21" max="21" width="17.00390625" style="0" bestFit="1" customWidth="1"/>
    <col min="22" max="22" width="13.7109375" style="0" bestFit="1" customWidth="1"/>
    <col min="23" max="23" width="17.421875" style="0" customWidth="1"/>
  </cols>
  <sheetData>
    <row r="3" spans="1:23" ht="25.5">
      <c r="A3" s="59"/>
      <c r="B3" s="12"/>
      <c r="C3" s="12"/>
      <c r="D3" s="12"/>
      <c r="E3" s="12"/>
      <c r="F3" s="29" t="s">
        <v>133</v>
      </c>
      <c r="G3" s="29" t="s">
        <v>134</v>
      </c>
      <c r="H3" s="29" t="str">
        <f>+G3</f>
        <v>CONTRACREDITO</v>
      </c>
      <c r="I3" s="29" t="str">
        <f>+H3</f>
        <v>CONTRACREDITO</v>
      </c>
      <c r="J3" s="29" t="s">
        <v>135</v>
      </c>
      <c r="K3" s="29" t="str">
        <f>+J3</f>
        <v>ADICIONES</v>
      </c>
      <c r="L3" s="29" t="s">
        <v>136</v>
      </c>
      <c r="M3" s="12" t="str">
        <f>+L3</f>
        <v>CREDITOS</v>
      </c>
      <c r="N3" s="12" t="str">
        <f>+M3</f>
        <v>CREDITOS</v>
      </c>
      <c r="O3" s="109" t="s">
        <v>71</v>
      </c>
      <c r="R3" t="s">
        <v>139</v>
      </c>
      <c r="S3" t="s">
        <v>135</v>
      </c>
      <c r="T3" t="s">
        <v>136</v>
      </c>
      <c r="U3" t="s">
        <v>140</v>
      </c>
      <c r="V3" t="s">
        <v>69</v>
      </c>
      <c r="W3" s="55" t="s">
        <v>153</v>
      </c>
    </row>
    <row r="4" spans="1:23" ht="63.75">
      <c r="A4" s="107" t="s">
        <v>24</v>
      </c>
      <c r="B4" s="102" t="s">
        <v>41</v>
      </c>
      <c r="C4" s="103">
        <v>900</v>
      </c>
      <c r="D4" s="104">
        <v>1</v>
      </c>
      <c r="E4" s="105" t="s">
        <v>55</v>
      </c>
      <c r="F4" s="90">
        <f>1350000000</f>
        <v>1350000000</v>
      </c>
      <c r="G4" s="116">
        <v>-2572702</v>
      </c>
      <c r="H4" s="117">
        <v>-920388624</v>
      </c>
      <c r="I4" s="15"/>
      <c r="J4" s="15"/>
      <c r="K4" s="15"/>
      <c r="L4" s="15"/>
      <c r="M4" s="15"/>
      <c r="N4" s="15"/>
      <c r="O4" s="15">
        <f aca="true" t="shared" si="0" ref="O4:O17">SUM(F4:N4)</f>
        <v>427038674</v>
      </c>
      <c r="P4" t="s">
        <v>137</v>
      </c>
      <c r="Q4" t="s">
        <v>138</v>
      </c>
      <c r="R4" s="25">
        <f>+F7+F8+F9+2680000000</f>
        <v>9085623768</v>
      </c>
      <c r="S4" s="1">
        <f>+J7+J8+J9</f>
        <v>3864980195</v>
      </c>
      <c r="T4" s="1">
        <f>+L21+M21+L22+M22</f>
        <v>10198470609</v>
      </c>
      <c r="U4" s="1">
        <f>+H7+H8+H9+I21</f>
        <v>-10262050165</v>
      </c>
      <c r="V4" s="25">
        <f aca="true" t="shared" si="1" ref="V4:V11">SUM(R4:U4)</f>
        <v>12887024407</v>
      </c>
      <c r="W4" s="1">
        <f>27107074+434026280+2635226410+4336277236+5130460222+10000</f>
        <v>12563107222</v>
      </c>
    </row>
    <row r="5" spans="1:23" ht="53.25">
      <c r="A5" s="107" t="s">
        <v>24</v>
      </c>
      <c r="B5" s="102" t="s">
        <v>41</v>
      </c>
      <c r="C5" s="103">
        <f>+C4</f>
        <v>900</v>
      </c>
      <c r="D5" s="104">
        <v>2</v>
      </c>
      <c r="E5" s="105" t="s">
        <v>56</v>
      </c>
      <c r="F5" s="57">
        <f>350000000</f>
        <v>350000000</v>
      </c>
      <c r="G5" s="118">
        <v>-23894914</v>
      </c>
      <c r="H5" s="115">
        <v>-169213677</v>
      </c>
      <c r="I5" s="15"/>
      <c r="J5" s="15"/>
      <c r="K5" s="15"/>
      <c r="L5" s="15"/>
      <c r="M5" s="15"/>
      <c r="N5" s="15"/>
      <c r="O5" s="15">
        <f t="shared" si="0"/>
        <v>156891409</v>
      </c>
      <c r="P5" t="s">
        <v>141</v>
      </c>
      <c r="Q5" t="s">
        <v>142</v>
      </c>
      <c r="R5" s="25">
        <f>+F4+F5+F6</f>
        <v>2000000000</v>
      </c>
      <c r="S5" s="1">
        <f>+J6</f>
        <v>500000000</v>
      </c>
      <c r="T5" s="1">
        <f>+L24+M24+N24+L25+M25+N25</f>
        <v>1401749473</v>
      </c>
      <c r="U5" s="1">
        <f>+G4+H4+G5+H5+H6+I6</f>
        <v>-1717495442</v>
      </c>
      <c r="V5" s="25">
        <f t="shared" si="1"/>
        <v>2184254031</v>
      </c>
      <c r="W5" s="1">
        <f>408966674+156891409+198574475+223543821+1135936327</f>
        <v>2123912706</v>
      </c>
    </row>
    <row r="6" spans="1:23" ht="42.75">
      <c r="A6" s="107" t="s">
        <v>24</v>
      </c>
      <c r="B6" s="102" t="s">
        <v>41</v>
      </c>
      <c r="C6" s="103">
        <v>900</v>
      </c>
      <c r="D6" s="104">
        <v>3</v>
      </c>
      <c r="E6" s="105" t="s">
        <v>68</v>
      </c>
      <c r="F6" s="57">
        <v>300000000</v>
      </c>
      <c r="G6" s="118">
        <v>0</v>
      </c>
      <c r="H6" s="115">
        <v>-600906843</v>
      </c>
      <c r="I6" s="15">
        <v>-518682</v>
      </c>
      <c r="J6" s="113">
        <v>500000000</v>
      </c>
      <c r="K6" s="15"/>
      <c r="L6" s="15"/>
      <c r="M6" s="15"/>
      <c r="N6" s="15"/>
      <c r="O6" s="15">
        <f t="shared" si="0"/>
        <v>198574475</v>
      </c>
      <c r="P6" t="s">
        <v>143</v>
      </c>
      <c r="Q6" t="s">
        <v>144</v>
      </c>
      <c r="R6" s="25">
        <f>+F10</f>
        <v>1073210483</v>
      </c>
      <c r="S6" s="1">
        <f>+J10</f>
        <v>804022886</v>
      </c>
      <c r="T6" s="1">
        <f>+L23</f>
        <v>1877233369</v>
      </c>
      <c r="U6" s="1">
        <f>+H10</f>
        <v>-1877233369</v>
      </c>
      <c r="V6" s="25">
        <f t="shared" si="1"/>
        <v>1877233369</v>
      </c>
      <c r="W6" s="1">
        <v>1877233207</v>
      </c>
    </row>
    <row r="7" spans="1:23" ht="32.25">
      <c r="A7" s="107" t="s">
        <v>24</v>
      </c>
      <c r="B7" s="102" t="s">
        <v>42</v>
      </c>
      <c r="C7" s="103">
        <v>900</v>
      </c>
      <c r="D7" s="104">
        <v>1</v>
      </c>
      <c r="E7" s="105" t="s">
        <v>57</v>
      </c>
      <c r="F7" s="57">
        <v>3677074400</v>
      </c>
      <c r="G7" s="56">
        <v>0</v>
      </c>
      <c r="H7" s="115">
        <v>-4595103399</v>
      </c>
      <c r="I7" s="15"/>
      <c r="J7" s="113">
        <v>918028999</v>
      </c>
      <c r="K7" s="15"/>
      <c r="L7" s="15"/>
      <c r="M7" s="15"/>
      <c r="N7" s="15"/>
      <c r="O7" s="15">
        <f t="shared" si="0"/>
        <v>0</v>
      </c>
      <c r="P7" t="s">
        <v>145</v>
      </c>
      <c r="Q7" t="s">
        <v>146</v>
      </c>
      <c r="R7" s="25">
        <f>+F14</f>
        <v>520000000</v>
      </c>
      <c r="S7" s="1">
        <f>+J14</f>
        <v>1914662737</v>
      </c>
      <c r="T7" s="1">
        <f>+L31+M31+N31</f>
        <v>2242564208</v>
      </c>
      <c r="U7" s="1">
        <f>+G14+H14</f>
        <v>-2114664208</v>
      </c>
      <c r="V7" s="25">
        <f t="shared" si="1"/>
        <v>2562562737</v>
      </c>
      <c r="W7" s="1">
        <f>319998529+2173142971</f>
        <v>2493141500</v>
      </c>
    </row>
    <row r="8" spans="1:23" ht="32.25">
      <c r="A8" s="107" t="s">
        <v>24</v>
      </c>
      <c r="B8" s="102" t="s">
        <v>42</v>
      </c>
      <c r="C8" s="103">
        <v>900</v>
      </c>
      <c r="D8" s="104">
        <v>2</v>
      </c>
      <c r="E8" s="105" t="s">
        <v>58</v>
      </c>
      <c r="F8" s="57">
        <v>1199818416</v>
      </c>
      <c r="G8" s="57">
        <v>0</v>
      </c>
      <c r="H8" s="115">
        <v>-2566309866</v>
      </c>
      <c r="I8" s="15"/>
      <c r="J8" s="113">
        <v>1393598524</v>
      </c>
      <c r="K8" s="15"/>
      <c r="L8" s="15"/>
      <c r="M8" s="15"/>
      <c r="N8" s="15"/>
      <c r="O8" s="15">
        <f t="shared" si="0"/>
        <v>27107074</v>
      </c>
      <c r="P8" t="s">
        <v>147</v>
      </c>
      <c r="Q8" t="s">
        <v>148</v>
      </c>
      <c r="R8" s="25">
        <f>+F15</f>
        <v>700000000</v>
      </c>
      <c r="S8" s="1">
        <f>+J15</f>
        <v>900000000</v>
      </c>
      <c r="T8" s="1">
        <f>+L32</f>
        <v>1445581568</v>
      </c>
      <c r="U8" s="25">
        <f>+G15</f>
        <v>-1435581568</v>
      </c>
      <c r="V8" s="25">
        <f t="shared" si="1"/>
        <v>1610000000</v>
      </c>
      <c r="W8" s="1">
        <f>164418432+1398378737</f>
        <v>1562797169</v>
      </c>
    </row>
    <row r="9" spans="1:23" ht="42.75">
      <c r="A9" s="107" t="s">
        <v>24</v>
      </c>
      <c r="B9" s="102" t="s">
        <v>42</v>
      </c>
      <c r="C9" s="103">
        <v>900</v>
      </c>
      <c r="D9" s="104">
        <v>3</v>
      </c>
      <c r="E9" s="105" t="s">
        <v>59</v>
      </c>
      <c r="F9" s="57">
        <v>1528730952</v>
      </c>
      <c r="G9" s="57">
        <v>0</v>
      </c>
      <c r="H9" s="115">
        <v>-2648057344</v>
      </c>
      <c r="I9" s="15"/>
      <c r="J9" s="113">
        <v>1553352672</v>
      </c>
      <c r="K9" s="15"/>
      <c r="L9" s="15"/>
      <c r="M9" s="15"/>
      <c r="N9" s="15"/>
      <c r="O9" s="15">
        <f t="shared" si="0"/>
        <v>434026280</v>
      </c>
      <c r="P9" t="s">
        <v>149</v>
      </c>
      <c r="Q9" t="s">
        <v>150</v>
      </c>
      <c r="R9" s="25">
        <f>+F11</f>
        <v>289000000</v>
      </c>
      <c r="S9" s="1">
        <f>+J11+A2</f>
        <v>100000000</v>
      </c>
      <c r="T9" s="1">
        <f>+L29+M29</f>
        <v>368114522</v>
      </c>
      <c r="U9" s="1">
        <f>+G11+H11</f>
        <v>-325075388</v>
      </c>
      <c r="V9" s="25">
        <f t="shared" si="1"/>
        <v>432039134</v>
      </c>
      <c r="W9" s="1">
        <f>63924612+321140379</f>
        <v>385064991</v>
      </c>
    </row>
    <row r="10" spans="1:23" ht="42.75">
      <c r="A10" s="107" t="s">
        <v>24</v>
      </c>
      <c r="B10" s="102" t="s">
        <v>42</v>
      </c>
      <c r="C10" s="103">
        <v>900</v>
      </c>
      <c r="D10" s="104">
        <v>4</v>
      </c>
      <c r="E10" s="105" t="s">
        <v>60</v>
      </c>
      <c r="F10" s="57">
        <v>1073210483</v>
      </c>
      <c r="G10" s="57">
        <v>0</v>
      </c>
      <c r="H10" s="115">
        <v>-1877233369</v>
      </c>
      <c r="I10" s="15"/>
      <c r="J10" s="113">
        <v>804022886</v>
      </c>
      <c r="K10" s="15"/>
      <c r="L10" s="15"/>
      <c r="M10" s="15"/>
      <c r="N10" s="15"/>
      <c r="O10" s="15">
        <f t="shared" si="0"/>
        <v>0</v>
      </c>
      <c r="P10" t="s">
        <v>151</v>
      </c>
      <c r="Q10" t="s">
        <v>103</v>
      </c>
      <c r="R10" s="25">
        <f>+F13+F16+F17+F12</f>
        <v>3582498061</v>
      </c>
      <c r="S10" s="1">
        <f>+J12+J13+J26+J17+K17</f>
        <v>6549602606</v>
      </c>
      <c r="T10" s="1">
        <f>+L26+M26+N26+L27+L30+M30+L28+M28</f>
        <v>7833537833</v>
      </c>
      <c r="U10" s="1">
        <f>+G12+H12+G16+H16+G17+H17+G30+G27+G13+H13</f>
        <v>-7635151442</v>
      </c>
      <c r="V10" s="25">
        <f t="shared" si="1"/>
        <v>10330487058</v>
      </c>
      <c r="W10" s="1">
        <f>48787123+1103588479+108301948+827206544+5080894612+123606170+946809218+1778682334</f>
        <v>10017876428</v>
      </c>
    </row>
    <row r="11" spans="1:23" ht="21.75">
      <c r="A11" s="107" t="s">
        <v>24</v>
      </c>
      <c r="B11" s="102" t="s">
        <v>43</v>
      </c>
      <c r="C11" s="103">
        <v>900</v>
      </c>
      <c r="D11" s="104">
        <v>1</v>
      </c>
      <c r="E11" s="105" t="s">
        <v>61</v>
      </c>
      <c r="F11" s="57">
        <v>289000000</v>
      </c>
      <c r="G11" s="118">
        <v>-320465303</v>
      </c>
      <c r="H11" s="115">
        <v>-4610085</v>
      </c>
      <c r="I11" s="15"/>
      <c r="J11" s="113">
        <v>100000000</v>
      </c>
      <c r="K11" s="15"/>
      <c r="L11" s="15"/>
      <c r="M11" s="15"/>
      <c r="N11" s="15"/>
      <c r="O11" s="15">
        <f t="shared" si="0"/>
        <v>63924612</v>
      </c>
      <c r="Q11" t="s">
        <v>152</v>
      </c>
      <c r="R11" s="25">
        <f>SUM(R4:R10)</f>
        <v>17250332312</v>
      </c>
      <c r="S11" s="25">
        <f>SUM(S4:S10)</f>
        <v>14633268424</v>
      </c>
      <c r="T11" s="25">
        <f>SUM(T4:T10)</f>
        <v>25367251582</v>
      </c>
      <c r="U11" s="25">
        <f>SUM(U4:U10)</f>
        <v>-25367251582</v>
      </c>
      <c r="V11" s="25">
        <f t="shared" si="1"/>
        <v>31883600736</v>
      </c>
      <c r="W11" s="25">
        <f>SUM(W4:W10)</f>
        <v>31023133223</v>
      </c>
    </row>
    <row r="12" spans="1:23" ht="21.75">
      <c r="A12" s="107" t="s">
        <v>24</v>
      </c>
      <c r="B12" s="102" t="s">
        <v>43</v>
      </c>
      <c r="C12" s="103">
        <v>900</v>
      </c>
      <c r="D12" s="104">
        <v>2</v>
      </c>
      <c r="E12" s="105" t="s">
        <v>62</v>
      </c>
      <c r="F12" s="57">
        <v>1000000000</v>
      </c>
      <c r="G12" s="57">
        <v>-1948357768</v>
      </c>
      <c r="H12" s="91">
        <v>-2855109</v>
      </c>
      <c r="I12" s="15"/>
      <c r="J12" s="113">
        <v>1000000000</v>
      </c>
      <c r="K12" s="15"/>
      <c r="L12" s="15"/>
      <c r="M12" s="15"/>
      <c r="N12" s="15"/>
      <c r="O12" s="15">
        <f t="shared" si="0"/>
        <v>48787123</v>
      </c>
      <c r="T12" s="1"/>
      <c r="U12" s="25"/>
      <c r="V12" s="25"/>
      <c r="W12" s="7" t="s">
        <v>1</v>
      </c>
    </row>
    <row r="13" spans="1:23" ht="32.25">
      <c r="A13" s="107" t="s">
        <v>24</v>
      </c>
      <c r="B13" s="102" t="s">
        <v>44</v>
      </c>
      <c r="C13" s="103">
        <v>900</v>
      </c>
      <c r="D13" s="104">
        <v>1</v>
      </c>
      <c r="E13" s="105" t="s">
        <v>63</v>
      </c>
      <c r="F13" s="57">
        <v>2132498061</v>
      </c>
      <c r="G13" s="57">
        <v>-1310392615</v>
      </c>
      <c r="H13" s="91">
        <v>-5190697</v>
      </c>
      <c r="I13" s="15"/>
      <c r="J13" s="113">
        <v>300000000</v>
      </c>
      <c r="K13" s="15"/>
      <c r="L13" s="15"/>
      <c r="M13" s="15"/>
      <c r="N13" s="15"/>
      <c r="O13" s="15">
        <f t="shared" si="0"/>
        <v>1116914749</v>
      </c>
      <c r="T13" s="25"/>
      <c r="V13" s="25"/>
      <c r="W13" s="1" t="e">
        <f>+W12-W11</f>
        <v>#VALUE!</v>
      </c>
    </row>
    <row r="14" spans="1:23" ht="53.25">
      <c r="A14" s="107" t="s">
        <v>24</v>
      </c>
      <c r="B14" s="102" t="s">
        <v>44</v>
      </c>
      <c r="C14" s="103">
        <v>900</v>
      </c>
      <c r="D14" s="104">
        <v>2</v>
      </c>
      <c r="E14" s="105" t="s">
        <v>64</v>
      </c>
      <c r="F14" s="57">
        <v>520000000</v>
      </c>
      <c r="G14" s="118">
        <v>-2114195091</v>
      </c>
      <c r="H14" s="115">
        <v>-469117</v>
      </c>
      <c r="I14" s="15"/>
      <c r="J14" s="113">
        <v>1914662737</v>
      </c>
      <c r="K14" s="15"/>
      <c r="L14" s="15"/>
      <c r="M14" s="15"/>
      <c r="N14" s="15"/>
      <c r="O14" s="15">
        <f t="shared" si="0"/>
        <v>319998529</v>
      </c>
      <c r="V14" s="25"/>
      <c r="W14" s="1"/>
    </row>
    <row r="15" spans="1:23" ht="42.75">
      <c r="A15" s="107" t="s">
        <v>24</v>
      </c>
      <c r="B15" s="102" t="s">
        <v>45</v>
      </c>
      <c r="C15" s="103">
        <v>900</v>
      </c>
      <c r="D15" s="104">
        <v>1</v>
      </c>
      <c r="E15" s="105" t="s">
        <v>65</v>
      </c>
      <c r="F15" s="57">
        <v>700000000</v>
      </c>
      <c r="G15" s="118">
        <v>-1435581568</v>
      </c>
      <c r="H15" s="91">
        <v>0</v>
      </c>
      <c r="I15" s="15"/>
      <c r="J15" s="113">
        <v>900000000</v>
      </c>
      <c r="K15" s="15"/>
      <c r="L15" s="15"/>
      <c r="M15" s="15"/>
      <c r="N15" s="15"/>
      <c r="O15" s="15">
        <f t="shared" si="0"/>
        <v>164418432</v>
      </c>
      <c r="V15" s="25"/>
      <c r="W15" s="1"/>
    </row>
    <row r="16" spans="1:23" ht="53.25">
      <c r="A16" s="107" t="s">
        <v>24</v>
      </c>
      <c r="B16" s="102" t="s">
        <v>46</v>
      </c>
      <c r="C16" s="103">
        <v>900</v>
      </c>
      <c r="D16" s="104">
        <v>1</v>
      </c>
      <c r="E16" s="106" t="s">
        <v>66</v>
      </c>
      <c r="F16" s="57">
        <f>+'[2]Gastos 2016'!$B$16</f>
        <v>250000000</v>
      </c>
      <c r="G16" s="57">
        <v>-573306</v>
      </c>
      <c r="H16" s="91">
        <v>-141124746</v>
      </c>
      <c r="I16" s="15"/>
      <c r="J16" s="15"/>
      <c r="K16" s="15"/>
      <c r="L16" s="15"/>
      <c r="M16" s="15"/>
      <c r="N16" s="15"/>
      <c r="O16" s="15">
        <f t="shared" si="0"/>
        <v>108301948</v>
      </c>
      <c r="V16" s="25"/>
      <c r="W16" s="1"/>
    </row>
    <row r="17" spans="1:23" ht="32.25">
      <c r="A17" s="107" t="s">
        <v>24</v>
      </c>
      <c r="B17" s="102" t="s">
        <v>46</v>
      </c>
      <c r="C17" s="103">
        <v>900</v>
      </c>
      <c r="D17" s="104">
        <v>2</v>
      </c>
      <c r="E17" s="106" t="s">
        <v>67</v>
      </c>
      <c r="F17" s="57">
        <v>200000000</v>
      </c>
      <c r="G17" s="57">
        <v>-3856237256</v>
      </c>
      <c r="H17" s="91">
        <v>-1050578</v>
      </c>
      <c r="I17" s="15"/>
      <c r="J17" s="113">
        <v>3728574777</v>
      </c>
      <c r="K17" s="15">
        <v>771935666</v>
      </c>
      <c r="L17" s="15"/>
      <c r="M17" s="15"/>
      <c r="N17" s="15"/>
      <c r="O17" s="15">
        <f t="shared" si="0"/>
        <v>843222609</v>
      </c>
      <c r="V17" s="25"/>
      <c r="W17" s="1"/>
    </row>
    <row r="18" spans="1:23" ht="21.75">
      <c r="A18" s="107"/>
      <c r="B18" s="102"/>
      <c r="C18" s="103"/>
      <c r="D18" s="104"/>
      <c r="E18" s="106" t="s">
        <v>101</v>
      </c>
      <c r="F18" s="57">
        <f aca="true" t="shared" si="2" ref="F18:O18">SUM(F4:F17)</f>
        <v>14570332312</v>
      </c>
      <c r="G18" s="57">
        <f t="shared" si="2"/>
        <v>-11012270523</v>
      </c>
      <c r="H18" s="57">
        <f t="shared" si="2"/>
        <v>-13532513454</v>
      </c>
      <c r="I18" s="57">
        <f t="shared" si="2"/>
        <v>-518682</v>
      </c>
      <c r="J18" s="57">
        <f t="shared" si="2"/>
        <v>13112240595</v>
      </c>
      <c r="K18" s="57">
        <f t="shared" si="2"/>
        <v>771935666</v>
      </c>
      <c r="L18" s="57">
        <f t="shared" si="2"/>
        <v>0</v>
      </c>
      <c r="M18" s="57">
        <f t="shared" si="2"/>
        <v>0</v>
      </c>
      <c r="N18" s="57">
        <f t="shared" si="2"/>
        <v>0</v>
      </c>
      <c r="O18" s="57">
        <f t="shared" si="2"/>
        <v>3909205914</v>
      </c>
      <c r="V18" s="25"/>
      <c r="W18" s="1"/>
    </row>
    <row r="19" spans="1:23" ht="12.75">
      <c r="A19" s="107"/>
      <c r="B19" s="102"/>
      <c r="C19" s="103"/>
      <c r="D19" s="104"/>
      <c r="E19" s="106"/>
      <c r="F19" s="57"/>
      <c r="G19" s="57"/>
      <c r="H19" s="24"/>
      <c r="I19" s="15"/>
      <c r="J19" s="15"/>
      <c r="K19" s="15"/>
      <c r="L19" s="15"/>
      <c r="M19" s="15"/>
      <c r="N19" s="15"/>
      <c r="O19" s="15">
        <f aca="true" t="shared" si="3" ref="O19:O33">SUM(F19:N19)</f>
        <v>0</v>
      </c>
      <c r="V19" s="25"/>
      <c r="W19" s="1"/>
    </row>
    <row r="20" spans="1:22" ht="22.5">
      <c r="A20" s="107"/>
      <c r="B20" s="102"/>
      <c r="C20" s="103"/>
      <c r="D20" s="104"/>
      <c r="E20" s="110" t="s">
        <v>97</v>
      </c>
      <c r="F20" s="111" t="s">
        <v>1</v>
      </c>
      <c r="G20" s="111" t="s">
        <v>1</v>
      </c>
      <c r="H20" s="111" t="s">
        <v>1</v>
      </c>
      <c r="I20" s="16" t="s">
        <v>1</v>
      </c>
      <c r="J20" s="15"/>
      <c r="K20" s="15"/>
      <c r="L20" s="15"/>
      <c r="M20" s="15"/>
      <c r="N20" s="15"/>
      <c r="O20" s="15">
        <f t="shared" si="3"/>
        <v>0</v>
      </c>
      <c r="V20" s="25"/>
    </row>
    <row r="21" spans="1:15" ht="33.75">
      <c r="A21" s="107" t="s">
        <v>24</v>
      </c>
      <c r="B21" s="102" t="s">
        <v>41</v>
      </c>
      <c r="C21" s="103">
        <v>1</v>
      </c>
      <c r="D21" s="104"/>
      <c r="E21" s="112" t="s">
        <v>87</v>
      </c>
      <c r="F21" s="57">
        <v>0</v>
      </c>
      <c r="G21" s="57">
        <v>0</v>
      </c>
      <c r="H21" s="24">
        <v>0</v>
      </c>
      <c r="I21" s="15">
        <v>-452579556</v>
      </c>
      <c r="J21" s="15"/>
      <c r="K21" s="15"/>
      <c r="L21" s="113">
        <v>4670486343</v>
      </c>
      <c r="M21" s="113">
        <v>350000000</v>
      </c>
      <c r="N21" s="15"/>
      <c r="O21" s="15">
        <f t="shared" si="3"/>
        <v>4567906787</v>
      </c>
    </row>
    <row r="22" spans="1:15" ht="22.5">
      <c r="A22" s="107" t="s">
        <v>24</v>
      </c>
      <c r="B22" s="102" t="s">
        <v>41</v>
      </c>
      <c r="C22" s="103">
        <v>2</v>
      </c>
      <c r="D22" s="104"/>
      <c r="E22" s="112" t="s">
        <v>88</v>
      </c>
      <c r="F22" s="57">
        <v>0</v>
      </c>
      <c r="G22" s="57">
        <v>0</v>
      </c>
      <c r="H22" s="24">
        <v>0</v>
      </c>
      <c r="I22" s="15"/>
      <c r="J22" s="15"/>
      <c r="K22" s="15"/>
      <c r="L22" s="113">
        <v>5138984266</v>
      </c>
      <c r="M22" s="113">
        <v>39000000</v>
      </c>
      <c r="N22" s="15"/>
      <c r="O22" s="15">
        <f t="shared" si="3"/>
        <v>5177984266</v>
      </c>
    </row>
    <row r="23" spans="1:15" ht="22.5">
      <c r="A23" s="107" t="s">
        <v>24</v>
      </c>
      <c r="B23" s="102" t="s">
        <v>41</v>
      </c>
      <c r="C23" s="103">
        <v>3</v>
      </c>
      <c r="D23" s="104"/>
      <c r="E23" s="112" t="s">
        <v>89</v>
      </c>
      <c r="F23" s="57">
        <v>0</v>
      </c>
      <c r="G23" s="57">
        <v>0</v>
      </c>
      <c r="H23" s="24">
        <v>0</v>
      </c>
      <c r="I23" s="15"/>
      <c r="J23" s="15"/>
      <c r="K23" s="15"/>
      <c r="L23" s="113">
        <v>1877233369</v>
      </c>
      <c r="M23" s="15"/>
      <c r="N23" s="15"/>
      <c r="O23" s="15">
        <f t="shared" si="3"/>
        <v>1877233369</v>
      </c>
    </row>
    <row r="24" spans="1:15" ht="45">
      <c r="A24" s="107" t="s">
        <v>24</v>
      </c>
      <c r="B24" s="102" t="s">
        <v>42</v>
      </c>
      <c r="C24" s="103">
        <v>1</v>
      </c>
      <c r="D24" s="104"/>
      <c r="E24" s="112" t="s">
        <v>90</v>
      </c>
      <c r="F24" s="57">
        <v>0</v>
      </c>
      <c r="G24" s="57">
        <v>0</v>
      </c>
      <c r="H24" s="24">
        <v>0</v>
      </c>
      <c r="I24" s="15">
        <v>0</v>
      </c>
      <c r="J24" s="15"/>
      <c r="K24" s="15"/>
      <c r="L24" s="113">
        <v>97010786</v>
      </c>
      <c r="M24" s="113">
        <v>128863196</v>
      </c>
      <c r="N24" s="113">
        <v>2572702</v>
      </c>
      <c r="O24" s="15">
        <f t="shared" si="3"/>
        <v>228446684</v>
      </c>
    </row>
    <row r="25" spans="1:15" ht="56.25">
      <c r="A25" s="107" t="s">
        <v>24</v>
      </c>
      <c r="B25" s="102" t="s">
        <v>42</v>
      </c>
      <c r="C25" s="103">
        <v>2</v>
      </c>
      <c r="D25" s="104"/>
      <c r="E25" s="112" t="s">
        <v>91</v>
      </c>
      <c r="F25" s="57">
        <v>0</v>
      </c>
      <c r="G25" s="57">
        <v>0</v>
      </c>
      <c r="H25" s="24">
        <v>0</v>
      </c>
      <c r="I25" s="15">
        <v>0</v>
      </c>
      <c r="J25" s="15"/>
      <c r="K25" s="15"/>
      <c r="L25" s="113">
        <v>960739105</v>
      </c>
      <c r="M25" s="113">
        <v>188668770</v>
      </c>
      <c r="N25" s="113">
        <v>23894914</v>
      </c>
      <c r="O25" s="15">
        <f t="shared" si="3"/>
        <v>1173302789</v>
      </c>
    </row>
    <row r="26" spans="1:15" ht="22.5">
      <c r="A26" s="107" t="s">
        <v>24</v>
      </c>
      <c r="B26" s="102" t="s">
        <v>43</v>
      </c>
      <c r="C26" s="103">
        <v>1</v>
      </c>
      <c r="D26" s="104"/>
      <c r="E26" s="112" t="s">
        <v>92</v>
      </c>
      <c r="F26" s="57">
        <v>0</v>
      </c>
      <c r="G26" s="94">
        <v>0</v>
      </c>
      <c r="H26" s="24">
        <v>0</v>
      </c>
      <c r="I26" s="15"/>
      <c r="J26" s="113">
        <v>749092163</v>
      </c>
      <c r="K26" s="15"/>
      <c r="L26" s="113">
        <v>4539266111</v>
      </c>
      <c r="M26" s="113">
        <v>2142566</v>
      </c>
      <c r="N26" s="113">
        <v>19369367</v>
      </c>
      <c r="O26" s="15">
        <f t="shared" si="3"/>
        <v>5309870207</v>
      </c>
    </row>
    <row r="27" spans="1:15" ht="33.75">
      <c r="A27" s="107" t="s">
        <v>24</v>
      </c>
      <c r="B27" s="102" t="s">
        <v>43</v>
      </c>
      <c r="C27" s="103">
        <v>2</v>
      </c>
      <c r="D27" s="104"/>
      <c r="E27" s="112" t="s">
        <v>93</v>
      </c>
      <c r="F27" s="57">
        <v>0</v>
      </c>
      <c r="G27" s="57">
        <v>-19369367</v>
      </c>
      <c r="H27" s="24">
        <v>0</v>
      </c>
      <c r="I27" s="15"/>
      <c r="J27" s="15"/>
      <c r="K27" s="15"/>
      <c r="L27" s="113">
        <v>166163600</v>
      </c>
      <c r="M27" s="113"/>
      <c r="N27" s="113"/>
      <c r="O27" s="15">
        <f t="shared" si="3"/>
        <v>146794233</v>
      </c>
    </row>
    <row r="28" spans="1:15" ht="22.5">
      <c r="A28" s="107" t="s">
        <v>24</v>
      </c>
      <c r="B28" s="102" t="s">
        <v>44</v>
      </c>
      <c r="C28" s="103">
        <v>1</v>
      </c>
      <c r="D28" s="104"/>
      <c r="E28" s="112" t="s">
        <v>94</v>
      </c>
      <c r="F28" s="57">
        <v>0</v>
      </c>
      <c r="G28" s="57">
        <v>0</v>
      </c>
      <c r="H28" s="24">
        <f>+F28+G28</f>
        <v>0</v>
      </c>
      <c r="I28" s="15"/>
      <c r="J28" s="15"/>
      <c r="K28" s="15"/>
      <c r="L28" s="113">
        <v>5190697</v>
      </c>
      <c r="M28" s="113">
        <v>963947415</v>
      </c>
      <c r="N28" s="113"/>
      <c r="O28" s="15">
        <f t="shared" si="3"/>
        <v>969138112</v>
      </c>
    </row>
    <row r="29" spans="1:15" ht="22.5">
      <c r="A29" s="107" t="s">
        <v>24</v>
      </c>
      <c r="B29" s="102" t="s">
        <v>45</v>
      </c>
      <c r="C29" s="103">
        <v>1</v>
      </c>
      <c r="D29" s="104"/>
      <c r="E29" s="112" t="s">
        <v>95</v>
      </c>
      <c r="F29" s="57">
        <v>0</v>
      </c>
      <c r="G29" s="57">
        <v>0</v>
      </c>
      <c r="H29" s="24">
        <v>0</v>
      </c>
      <c r="I29" s="15"/>
      <c r="J29" s="15"/>
      <c r="K29" s="15"/>
      <c r="L29" s="113">
        <v>4610085</v>
      </c>
      <c r="M29" s="113">
        <v>363504437</v>
      </c>
      <c r="N29" s="15"/>
      <c r="O29" s="15">
        <f t="shared" si="3"/>
        <v>368114522</v>
      </c>
    </row>
    <row r="30" spans="1:15" ht="22.5">
      <c r="A30" s="107" t="s">
        <v>24</v>
      </c>
      <c r="B30" s="102" t="s">
        <v>45</v>
      </c>
      <c r="C30" s="103">
        <v>2</v>
      </c>
      <c r="D30" s="104"/>
      <c r="E30" s="112" t="s">
        <v>99</v>
      </c>
      <c r="F30" s="57">
        <v>0</v>
      </c>
      <c r="G30" s="57">
        <v>-350000000</v>
      </c>
      <c r="H30" s="24">
        <v>0</v>
      </c>
      <c r="I30" s="15"/>
      <c r="J30" s="15"/>
      <c r="K30" s="15"/>
      <c r="L30" s="113">
        <v>2134602968</v>
      </c>
      <c r="M30" s="113">
        <v>2855109</v>
      </c>
      <c r="N30" s="15"/>
      <c r="O30" s="15">
        <f t="shared" si="3"/>
        <v>1787458077</v>
      </c>
    </row>
    <row r="31" spans="1:15" ht="22.5">
      <c r="A31" s="107" t="s">
        <v>24</v>
      </c>
      <c r="B31" s="102" t="s">
        <v>46</v>
      </c>
      <c r="C31" s="103">
        <v>1</v>
      </c>
      <c r="D31" s="104"/>
      <c r="E31" s="112" t="s">
        <v>96</v>
      </c>
      <c r="F31" s="57">
        <v>0</v>
      </c>
      <c r="G31" s="57">
        <v>0</v>
      </c>
      <c r="H31" s="24">
        <v>0</v>
      </c>
      <c r="I31" s="15"/>
      <c r="J31" s="15"/>
      <c r="K31" s="15"/>
      <c r="L31" s="114">
        <v>469117</v>
      </c>
      <c r="M31" s="113">
        <v>127900000</v>
      </c>
      <c r="N31" s="113">
        <v>2114195091</v>
      </c>
      <c r="O31" s="15">
        <f t="shared" si="3"/>
        <v>2242564208</v>
      </c>
    </row>
    <row r="32" spans="1:15" ht="22.5">
      <c r="A32" s="107" t="s">
        <v>24</v>
      </c>
      <c r="B32" s="102" t="s">
        <v>46</v>
      </c>
      <c r="C32" s="103">
        <v>2</v>
      </c>
      <c r="D32" s="104"/>
      <c r="E32" s="112" t="s">
        <v>98</v>
      </c>
      <c r="F32" s="57">
        <v>0</v>
      </c>
      <c r="G32" s="57">
        <v>0</v>
      </c>
      <c r="H32" s="24">
        <v>0</v>
      </c>
      <c r="I32" s="15"/>
      <c r="J32" s="15"/>
      <c r="K32" s="15"/>
      <c r="L32" s="113">
        <v>1445581568</v>
      </c>
      <c r="M32" s="15"/>
      <c r="N32" s="15"/>
      <c r="O32" s="15">
        <f t="shared" si="3"/>
        <v>1445581568</v>
      </c>
    </row>
    <row r="33" spans="1:15" ht="12.75">
      <c r="A33" s="107"/>
      <c r="B33" s="102"/>
      <c r="C33" s="103"/>
      <c r="D33" s="104"/>
      <c r="E33" s="106"/>
      <c r="F33" s="57"/>
      <c r="G33" s="57"/>
      <c r="H33" s="24"/>
      <c r="I33" s="15"/>
      <c r="J33" s="15"/>
      <c r="K33" s="15"/>
      <c r="L33" s="15"/>
      <c r="M33" s="15"/>
      <c r="N33" s="15"/>
      <c r="O33" s="15">
        <f t="shared" si="3"/>
        <v>0</v>
      </c>
    </row>
    <row r="34" spans="1:15" ht="21.75">
      <c r="A34" s="107"/>
      <c r="B34" s="102"/>
      <c r="C34" s="103"/>
      <c r="D34" s="104"/>
      <c r="E34" s="106" t="s">
        <v>100</v>
      </c>
      <c r="F34" s="57">
        <f>SUM(F21:F33)</f>
        <v>0</v>
      </c>
      <c r="G34" s="57">
        <f aca="true" t="shared" si="4" ref="G34:O34">SUM(G21:G33)</f>
        <v>-369369367</v>
      </c>
      <c r="H34" s="57">
        <f t="shared" si="4"/>
        <v>0</v>
      </c>
      <c r="I34" s="57">
        <f t="shared" si="4"/>
        <v>-452579556</v>
      </c>
      <c r="J34" s="57">
        <f t="shared" si="4"/>
        <v>749092163</v>
      </c>
      <c r="K34" s="57">
        <f t="shared" si="4"/>
        <v>0</v>
      </c>
      <c r="L34" s="57">
        <f t="shared" si="4"/>
        <v>21040338015</v>
      </c>
      <c r="M34" s="57">
        <f t="shared" si="4"/>
        <v>2166881493</v>
      </c>
      <c r="N34" s="57">
        <f t="shared" si="4"/>
        <v>2160032074</v>
      </c>
      <c r="O34" s="57">
        <f t="shared" si="4"/>
        <v>25294394822</v>
      </c>
    </row>
    <row r="35" spans="1:15" ht="12.75">
      <c r="A35" s="107" t="s">
        <v>1</v>
      </c>
      <c r="B35" s="102"/>
      <c r="C35" s="103"/>
      <c r="D35" s="104"/>
      <c r="E35" s="62"/>
      <c r="F35" s="57"/>
      <c r="G35" s="57" t="s">
        <v>1</v>
      </c>
      <c r="H35" s="24" t="s">
        <v>1</v>
      </c>
      <c r="I35" s="15"/>
      <c r="J35" s="15"/>
      <c r="K35" s="15"/>
      <c r="L35" s="15"/>
      <c r="M35" s="15"/>
      <c r="N35" s="15"/>
      <c r="O35" s="15">
        <f>SUM(F35:N35)</f>
        <v>0</v>
      </c>
    </row>
    <row r="36" spans="1:15" ht="13.5" thickBot="1">
      <c r="A36" s="108"/>
      <c r="B36" s="102"/>
      <c r="C36" s="103"/>
      <c r="D36" s="104"/>
      <c r="E36" s="62" t="s">
        <v>69</v>
      </c>
      <c r="F36" s="57">
        <f>+F18+F34</f>
        <v>14570332312</v>
      </c>
      <c r="G36" s="57">
        <f aca="true" t="shared" si="5" ref="G36:O36">+G18+G34</f>
        <v>-11381639890</v>
      </c>
      <c r="H36" s="57">
        <f t="shared" si="5"/>
        <v>-13532513454</v>
      </c>
      <c r="I36" s="57">
        <f t="shared" si="5"/>
        <v>-453098238</v>
      </c>
      <c r="J36" s="57">
        <f t="shared" si="5"/>
        <v>13861332758</v>
      </c>
      <c r="K36" s="57">
        <f t="shared" si="5"/>
        <v>771935666</v>
      </c>
      <c r="L36" s="57">
        <f t="shared" si="5"/>
        <v>21040338015</v>
      </c>
      <c r="M36" s="57">
        <f t="shared" si="5"/>
        <v>2166881493</v>
      </c>
      <c r="N36" s="57">
        <f t="shared" si="5"/>
        <v>2160032074</v>
      </c>
      <c r="O36" s="57">
        <f t="shared" si="5"/>
        <v>29203600736</v>
      </c>
    </row>
    <row r="37" spans="1:15" ht="12.75">
      <c r="A37" s="59"/>
      <c r="B37" s="12"/>
      <c r="C37" s="12"/>
      <c r="D37" s="12"/>
      <c r="E37" s="12"/>
      <c r="F37" s="11">
        <f>+F36</f>
        <v>14570332312</v>
      </c>
      <c r="G37" s="11">
        <f>+G36+H36+I36</f>
        <v>-25367251582</v>
      </c>
      <c r="H37" s="12"/>
      <c r="I37" s="15"/>
      <c r="J37" s="15">
        <f>+J36+K36</f>
        <v>14633268424</v>
      </c>
      <c r="K37" s="15"/>
      <c r="L37" s="15">
        <f>+L36+M36+N36</f>
        <v>25367251582</v>
      </c>
      <c r="M37" s="15"/>
      <c r="N37" s="15"/>
      <c r="O37" s="15">
        <f aca="true" t="shared" si="6" ref="O37:O68">SUM(F37:N37)</f>
        <v>29203600736</v>
      </c>
    </row>
    <row r="38" spans="9:15" ht="12.75">
      <c r="I38" s="1"/>
      <c r="J38" s="1"/>
      <c r="K38" s="1"/>
      <c r="L38" s="1"/>
      <c r="M38" s="1"/>
      <c r="N38" s="1"/>
      <c r="O38" s="1">
        <f t="shared" si="6"/>
        <v>0</v>
      </c>
    </row>
    <row r="39" spans="9:15" ht="12.75">
      <c r="I39" s="1"/>
      <c r="J39" s="1"/>
      <c r="K39" s="1"/>
      <c r="L39" s="1"/>
      <c r="M39" s="1"/>
      <c r="N39" s="1"/>
      <c r="O39" s="1">
        <f t="shared" si="6"/>
        <v>0</v>
      </c>
    </row>
    <row r="40" spans="9:15" ht="12.75">
      <c r="I40" s="1"/>
      <c r="J40" s="1"/>
      <c r="K40" s="1"/>
      <c r="L40" s="1"/>
      <c r="M40" s="1"/>
      <c r="N40" s="1"/>
      <c r="O40" s="1">
        <f t="shared" si="6"/>
        <v>0</v>
      </c>
    </row>
    <row r="41" spans="9:15" ht="12.75">
      <c r="I41" s="1"/>
      <c r="J41" s="1"/>
      <c r="K41" s="1"/>
      <c r="L41" s="1"/>
      <c r="M41" s="1"/>
      <c r="N41" s="1"/>
      <c r="O41" s="1">
        <f t="shared" si="6"/>
        <v>0</v>
      </c>
    </row>
    <row r="42" spans="9:15" ht="12.75">
      <c r="I42" s="1"/>
      <c r="J42" s="1"/>
      <c r="K42" s="1"/>
      <c r="L42" s="1"/>
      <c r="M42" s="1"/>
      <c r="N42" s="1"/>
      <c r="O42" s="1">
        <f t="shared" si="6"/>
        <v>0</v>
      </c>
    </row>
    <row r="43" spans="9:15" ht="12.75">
      <c r="I43" s="1"/>
      <c r="J43" s="1"/>
      <c r="K43" s="1"/>
      <c r="L43" s="1"/>
      <c r="M43" s="1"/>
      <c r="N43" s="1"/>
      <c r="O43" s="1">
        <f t="shared" si="6"/>
        <v>0</v>
      </c>
    </row>
    <row r="44" spans="9:15" ht="12.75">
      <c r="I44" s="1"/>
      <c r="J44" s="1"/>
      <c r="K44" s="1"/>
      <c r="L44" s="1"/>
      <c r="M44" s="1"/>
      <c r="N44" s="1"/>
      <c r="O44" s="1">
        <f t="shared" si="6"/>
        <v>0</v>
      </c>
    </row>
    <row r="45" spans="9:15" ht="12.75">
      <c r="I45" s="1"/>
      <c r="J45" s="1"/>
      <c r="K45" s="1"/>
      <c r="L45" s="1"/>
      <c r="M45" s="1"/>
      <c r="N45" s="1"/>
      <c r="O45" s="1">
        <f t="shared" si="6"/>
        <v>0</v>
      </c>
    </row>
    <row r="46" spans="9:15" ht="12.75">
      <c r="I46" s="1"/>
      <c r="J46" s="1"/>
      <c r="K46" s="1"/>
      <c r="L46" s="1"/>
      <c r="M46" s="1"/>
      <c r="N46" s="1"/>
      <c r="O46" s="1">
        <f t="shared" si="6"/>
        <v>0</v>
      </c>
    </row>
    <row r="47" spans="9:15" ht="12.75">
      <c r="I47" s="1"/>
      <c r="J47" s="1"/>
      <c r="K47" s="1"/>
      <c r="L47" s="1"/>
      <c r="M47" s="1"/>
      <c r="N47" s="1"/>
      <c r="O47" s="1">
        <f t="shared" si="6"/>
        <v>0</v>
      </c>
    </row>
    <row r="48" spans="9:15" ht="12.75">
      <c r="I48" s="1"/>
      <c r="J48" s="1"/>
      <c r="K48" s="1"/>
      <c r="L48" s="1"/>
      <c r="M48" s="1"/>
      <c r="N48" s="1"/>
      <c r="O48" s="1">
        <f t="shared" si="6"/>
        <v>0</v>
      </c>
    </row>
    <row r="49" spans="9:15" ht="12.75">
      <c r="I49" s="1"/>
      <c r="J49" s="1"/>
      <c r="K49" s="1"/>
      <c r="L49" s="1"/>
      <c r="M49" s="1"/>
      <c r="N49" s="1"/>
      <c r="O49" s="1">
        <f t="shared" si="6"/>
        <v>0</v>
      </c>
    </row>
    <row r="50" spans="9:15" ht="12.75">
      <c r="I50" s="1"/>
      <c r="J50" s="1"/>
      <c r="K50" s="1"/>
      <c r="L50" s="1"/>
      <c r="M50" s="1"/>
      <c r="N50" s="1"/>
      <c r="O50" s="1">
        <f t="shared" si="6"/>
        <v>0</v>
      </c>
    </row>
    <row r="51" spans="9:15" ht="12.75">
      <c r="I51" s="1"/>
      <c r="J51" s="1"/>
      <c r="K51" s="1"/>
      <c r="L51" s="1"/>
      <c r="M51" s="1"/>
      <c r="N51" s="1"/>
      <c r="O51" s="1">
        <f t="shared" si="6"/>
        <v>0</v>
      </c>
    </row>
    <row r="52" spans="9:15" ht="12.75">
      <c r="I52" s="1"/>
      <c r="J52" s="1"/>
      <c r="K52" s="1"/>
      <c r="L52" s="1"/>
      <c r="M52" s="1"/>
      <c r="N52" s="1"/>
      <c r="O52" s="1">
        <f t="shared" si="6"/>
        <v>0</v>
      </c>
    </row>
    <row r="53" spans="9:15" ht="12.75">
      <c r="I53" s="1"/>
      <c r="J53" s="1"/>
      <c r="K53" s="1"/>
      <c r="L53" s="1"/>
      <c r="M53" s="1"/>
      <c r="N53" s="1"/>
      <c r="O53" s="1">
        <f t="shared" si="6"/>
        <v>0</v>
      </c>
    </row>
    <row r="54" spans="9:15" ht="12.75">
      <c r="I54" s="1"/>
      <c r="J54" s="1"/>
      <c r="K54" s="1"/>
      <c r="L54" s="1"/>
      <c r="M54" s="1"/>
      <c r="N54" s="1"/>
      <c r="O54" s="1">
        <f t="shared" si="6"/>
        <v>0</v>
      </c>
    </row>
    <row r="55" spans="9:15" ht="12.75">
      <c r="I55" s="1"/>
      <c r="J55" s="1"/>
      <c r="K55" s="1"/>
      <c r="L55" s="1"/>
      <c r="M55" s="1"/>
      <c r="N55" s="1"/>
      <c r="O55" s="1">
        <f t="shared" si="6"/>
        <v>0</v>
      </c>
    </row>
    <row r="56" spans="9:15" ht="12.75">
      <c r="I56" s="1"/>
      <c r="J56" s="1"/>
      <c r="K56" s="1"/>
      <c r="L56" s="1"/>
      <c r="M56" s="1"/>
      <c r="N56" s="1"/>
      <c r="O56" s="1">
        <f t="shared" si="6"/>
        <v>0</v>
      </c>
    </row>
    <row r="57" spans="9:15" ht="12.75">
      <c r="I57" s="1"/>
      <c r="J57" s="1"/>
      <c r="K57" s="1"/>
      <c r="L57" s="1"/>
      <c r="M57" s="1"/>
      <c r="N57" s="1"/>
      <c r="O57" s="1">
        <f t="shared" si="6"/>
        <v>0</v>
      </c>
    </row>
    <row r="58" spans="9:15" ht="12.75">
      <c r="I58" s="1"/>
      <c r="J58" s="1"/>
      <c r="K58" s="1"/>
      <c r="L58" s="1"/>
      <c r="M58" s="1"/>
      <c r="N58" s="1"/>
      <c r="O58" s="1">
        <f t="shared" si="6"/>
        <v>0</v>
      </c>
    </row>
    <row r="59" spans="9:15" ht="12.75">
      <c r="I59" s="1"/>
      <c r="J59" s="1"/>
      <c r="K59" s="1"/>
      <c r="L59" s="1"/>
      <c r="M59" s="1"/>
      <c r="N59" s="1"/>
      <c r="O59" s="1">
        <f t="shared" si="6"/>
        <v>0</v>
      </c>
    </row>
    <row r="60" spans="9:15" ht="12.75">
      <c r="I60" s="1"/>
      <c r="J60" s="1"/>
      <c r="K60" s="1"/>
      <c r="L60" s="1"/>
      <c r="M60" s="1"/>
      <c r="N60" s="1"/>
      <c r="O60" s="1">
        <f t="shared" si="6"/>
        <v>0</v>
      </c>
    </row>
    <row r="61" spans="9:15" ht="12.75">
      <c r="I61" s="1"/>
      <c r="J61" s="1"/>
      <c r="K61" s="1"/>
      <c r="L61" s="1"/>
      <c r="M61" s="1"/>
      <c r="N61" s="1"/>
      <c r="O61" s="1">
        <f t="shared" si="6"/>
        <v>0</v>
      </c>
    </row>
    <row r="62" spans="9:15" ht="12.75">
      <c r="I62" s="1"/>
      <c r="J62" s="1"/>
      <c r="K62" s="1"/>
      <c r="L62" s="1"/>
      <c r="M62" s="1"/>
      <c r="N62" s="1"/>
      <c r="O62" s="1">
        <f t="shared" si="6"/>
        <v>0</v>
      </c>
    </row>
    <row r="63" spans="9:15" ht="12.75">
      <c r="I63" s="1"/>
      <c r="J63" s="1"/>
      <c r="K63" s="1"/>
      <c r="L63" s="1"/>
      <c r="M63" s="1"/>
      <c r="N63" s="1"/>
      <c r="O63" s="1">
        <f t="shared" si="6"/>
        <v>0</v>
      </c>
    </row>
    <row r="64" spans="9:15" ht="12.75">
      <c r="I64" s="1"/>
      <c r="J64" s="1"/>
      <c r="K64" s="1"/>
      <c r="L64" s="1"/>
      <c r="M64" s="1"/>
      <c r="N64" s="1"/>
      <c r="O64" s="1">
        <f t="shared" si="6"/>
        <v>0</v>
      </c>
    </row>
    <row r="65" spans="9:15" ht="12.75">
      <c r="I65" s="1"/>
      <c r="J65" s="1"/>
      <c r="K65" s="1"/>
      <c r="L65" s="1"/>
      <c r="M65" s="1"/>
      <c r="N65" s="1"/>
      <c r="O65" s="1">
        <f t="shared" si="6"/>
        <v>0</v>
      </c>
    </row>
    <row r="66" spans="9:15" ht="12.75">
      <c r="I66" s="1"/>
      <c r="J66" s="1"/>
      <c r="K66" s="1"/>
      <c r="L66" s="1"/>
      <c r="M66" s="1"/>
      <c r="N66" s="1"/>
      <c r="O66" s="1">
        <f t="shared" si="6"/>
        <v>0</v>
      </c>
    </row>
    <row r="67" spans="9:15" ht="12.75">
      <c r="I67" s="1"/>
      <c r="J67" s="1"/>
      <c r="K67" s="1"/>
      <c r="L67" s="1"/>
      <c r="M67" s="1"/>
      <c r="N67" s="1"/>
      <c r="O67" s="1">
        <f t="shared" si="6"/>
        <v>0</v>
      </c>
    </row>
    <row r="68" spans="9:15" ht="12.75">
      <c r="I68" s="1"/>
      <c r="J68" s="1"/>
      <c r="K68" s="1"/>
      <c r="L68" s="1"/>
      <c r="M68" s="1"/>
      <c r="N68" s="1"/>
      <c r="O68" s="1">
        <f t="shared" si="6"/>
        <v>0</v>
      </c>
    </row>
    <row r="69" spans="9:15" ht="12.75">
      <c r="I69" s="1"/>
      <c r="J69" s="1"/>
      <c r="K69" s="1"/>
      <c r="L69" s="1"/>
      <c r="M69" s="1"/>
      <c r="N69" s="1"/>
      <c r="O69" s="1">
        <f aca="true" t="shared" si="7" ref="O69:O96">SUM(F69:N69)</f>
        <v>0</v>
      </c>
    </row>
    <row r="70" spans="9:15" ht="12.75">
      <c r="I70" s="1"/>
      <c r="J70" s="1"/>
      <c r="K70" s="1"/>
      <c r="L70" s="1"/>
      <c r="M70" s="1"/>
      <c r="N70" s="1"/>
      <c r="O70" s="1">
        <f t="shared" si="7"/>
        <v>0</v>
      </c>
    </row>
    <row r="71" spans="9:15" ht="12.75">
      <c r="I71" s="1"/>
      <c r="J71" s="1"/>
      <c r="K71" s="1"/>
      <c r="L71" s="1"/>
      <c r="M71" s="1"/>
      <c r="N71" s="1"/>
      <c r="O71" s="1">
        <f t="shared" si="7"/>
        <v>0</v>
      </c>
    </row>
    <row r="72" spans="9:15" ht="12.75">
      <c r="I72" s="1"/>
      <c r="J72" s="1"/>
      <c r="K72" s="1"/>
      <c r="L72" s="1"/>
      <c r="M72" s="1"/>
      <c r="N72" s="1"/>
      <c r="O72" s="1">
        <f t="shared" si="7"/>
        <v>0</v>
      </c>
    </row>
    <row r="73" spans="9:15" ht="12.75">
      <c r="I73" s="1"/>
      <c r="J73" s="1"/>
      <c r="K73" s="1"/>
      <c r="L73" s="1"/>
      <c r="M73" s="1"/>
      <c r="N73" s="1"/>
      <c r="O73" s="1">
        <f t="shared" si="7"/>
        <v>0</v>
      </c>
    </row>
    <row r="74" spans="9:15" ht="12.75">
      <c r="I74" s="1"/>
      <c r="J74" s="1"/>
      <c r="K74" s="1"/>
      <c r="L74" s="1"/>
      <c r="M74" s="1"/>
      <c r="N74" s="1"/>
      <c r="O74" s="1">
        <f t="shared" si="7"/>
        <v>0</v>
      </c>
    </row>
    <row r="75" spans="9:15" ht="12.75">
      <c r="I75" s="1"/>
      <c r="J75" s="1"/>
      <c r="K75" s="1"/>
      <c r="L75" s="1"/>
      <c r="M75" s="1"/>
      <c r="N75" s="1"/>
      <c r="O75" s="1">
        <f t="shared" si="7"/>
        <v>0</v>
      </c>
    </row>
    <row r="76" spans="9:15" ht="12.75">
      <c r="I76" s="1"/>
      <c r="J76" s="1"/>
      <c r="K76" s="1"/>
      <c r="L76" s="1"/>
      <c r="M76" s="1"/>
      <c r="N76" s="1"/>
      <c r="O76" s="1">
        <f t="shared" si="7"/>
        <v>0</v>
      </c>
    </row>
    <row r="77" spans="9:15" ht="12.75">
      <c r="I77" s="1"/>
      <c r="J77" s="1"/>
      <c r="K77" s="1"/>
      <c r="L77" s="1"/>
      <c r="M77" s="1"/>
      <c r="N77" s="1"/>
      <c r="O77" s="1">
        <f t="shared" si="7"/>
        <v>0</v>
      </c>
    </row>
    <row r="78" spans="9:15" ht="12.75">
      <c r="I78" s="1"/>
      <c r="J78" s="1"/>
      <c r="K78" s="1"/>
      <c r="L78" s="1"/>
      <c r="M78" s="1"/>
      <c r="N78" s="1"/>
      <c r="O78" s="1">
        <f t="shared" si="7"/>
        <v>0</v>
      </c>
    </row>
    <row r="79" spans="9:15" ht="12.75">
      <c r="I79" s="1"/>
      <c r="J79" s="1"/>
      <c r="K79" s="1"/>
      <c r="L79" s="1"/>
      <c r="M79" s="1"/>
      <c r="N79" s="1"/>
      <c r="O79" s="1">
        <f t="shared" si="7"/>
        <v>0</v>
      </c>
    </row>
    <row r="80" spans="9:15" ht="12.75">
      <c r="I80" s="1"/>
      <c r="J80" s="1"/>
      <c r="K80" s="1"/>
      <c r="L80" s="1"/>
      <c r="M80" s="1"/>
      <c r="N80" s="1"/>
      <c r="O80" s="1">
        <f t="shared" si="7"/>
        <v>0</v>
      </c>
    </row>
    <row r="81" spans="9:15" ht="12.75">
      <c r="I81" s="1"/>
      <c r="J81" s="1"/>
      <c r="K81" s="1"/>
      <c r="L81" s="1"/>
      <c r="M81" s="1"/>
      <c r="N81" s="1"/>
      <c r="O81" s="1">
        <f t="shared" si="7"/>
        <v>0</v>
      </c>
    </row>
    <row r="82" spans="9:15" ht="12.75">
      <c r="I82" s="1"/>
      <c r="J82" s="1"/>
      <c r="K82" s="1"/>
      <c r="L82" s="1"/>
      <c r="M82" s="1"/>
      <c r="N82" s="1"/>
      <c r="O82" s="1">
        <f t="shared" si="7"/>
        <v>0</v>
      </c>
    </row>
    <row r="83" spans="9:15" ht="12.75">
      <c r="I83" s="1"/>
      <c r="J83" s="1"/>
      <c r="K83" s="1"/>
      <c r="L83" s="1"/>
      <c r="M83" s="1"/>
      <c r="N83" s="1"/>
      <c r="O83" s="1">
        <f t="shared" si="7"/>
        <v>0</v>
      </c>
    </row>
    <row r="84" spans="9:15" ht="12.75">
      <c r="I84" s="1"/>
      <c r="J84" s="1"/>
      <c r="K84" s="1"/>
      <c r="L84" s="1"/>
      <c r="M84" s="1"/>
      <c r="N84" s="1"/>
      <c r="O84" s="1">
        <f t="shared" si="7"/>
        <v>0</v>
      </c>
    </row>
    <row r="85" spans="9:15" ht="12.75">
      <c r="I85" s="1"/>
      <c r="J85" s="1"/>
      <c r="K85" s="1"/>
      <c r="L85" s="1"/>
      <c r="M85" s="1"/>
      <c r="N85" s="1"/>
      <c r="O85" s="1">
        <f t="shared" si="7"/>
        <v>0</v>
      </c>
    </row>
    <row r="86" spans="9:15" ht="12.75">
      <c r="I86" s="1"/>
      <c r="J86" s="1"/>
      <c r="K86" s="1"/>
      <c r="L86" s="1"/>
      <c r="M86" s="1"/>
      <c r="N86" s="1"/>
      <c r="O86" s="1">
        <f t="shared" si="7"/>
        <v>0</v>
      </c>
    </row>
    <row r="87" spans="9:15" ht="12.75">
      <c r="I87" s="1"/>
      <c r="J87" s="1"/>
      <c r="K87" s="1"/>
      <c r="L87" s="1"/>
      <c r="M87" s="1"/>
      <c r="N87" s="1"/>
      <c r="O87" s="1">
        <f t="shared" si="7"/>
        <v>0</v>
      </c>
    </row>
    <row r="88" spans="9:15" ht="12.75">
      <c r="I88" s="1"/>
      <c r="J88" s="1"/>
      <c r="K88" s="1"/>
      <c r="L88" s="1"/>
      <c r="M88" s="1"/>
      <c r="N88" s="1"/>
      <c r="O88" s="1">
        <f t="shared" si="7"/>
        <v>0</v>
      </c>
    </row>
    <row r="89" spans="9:15" ht="12.75">
      <c r="I89" s="1"/>
      <c r="J89" s="1"/>
      <c r="K89" s="1"/>
      <c r="L89" s="1"/>
      <c r="M89" s="1"/>
      <c r="N89" s="1"/>
      <c r="O89" s="1">
        <f t="shared" si="7"/>
        <v>0</v>
      </c>
    </row>
    <row r="90" spans="9:15" ht="12.75">
      <c r="I90" s="1"/>
      <c r="J90" s="1"/>
      <c r="K90" s="1"/>
      <c r="L90" s="1"/>
      <c r="M90" s="1"/>
      <c r="N90" s="1"/>
      <c r="O90" s="1">
        <f t="shared" si="7"/>
        <v>0</v>
      </c>
    </row>
    <row r="91" spans="9:15" ht="12.75">
      <c r="I91" s="1"/>
      <c r="J91" s="1"/>
      <c r="K91" s="1"/>
      <c r="L91" s="1"/>
      <c r="M91" s="1"/>
      <c r="N91" s="1"/>
      <c r="O91" s="1">
        <f t="shared" si="7"/>
        <v>0</v>
      </c>
    </row>
    <row r="92" spans="9:15" ht="12.75">
      <c r="I92" s="1"/>
      <c r="J92" s="1"/>
      <c r="K92" s="1"/>
      <c r="L92" s="1"/>
      <c r="M92" s="1"/>
      <c r="N92" s="1"/>
      <c r="O92" s="1">
        <f t="shared" si="7"/>
        <v>0</v>
      </c>
    </row>
    <row r="93" spans="9:15" ht="12.75">
      <c r="I93" s="1"/>
      <c r="J93" s="1"/>
      <c r="K93" s="1"/>
      <c r="L93" s="1"/>
      <c r="M93" s="1"/>
      <c r="N93" s="1"/>
      <c r="O93" s="1">
        <f t="shared" si="7"/>
        <v>0</v>
      </c>
    </row>
    <row r="94" spans="9:15" ht="12.75">
      <c r="I94" s="1"/>
      <c r="J94" s="1"/>
      <c r="K94" s="1"/>
      <c r="L94" s="1"/>
      <c r="M94" s="1"/>
      <c r="N94" s="1"/>
      <c r="O94" s="1">
        <f t="shared" si="7"/>
        <v>0</v>
      </c>
    </row>
    <row r="95" spans="9:15" ht="12.75">
      <c r="I95" s="1"/>
      <c r="J95" s="1"/>
      <c r="K95" s="1"/>
      <c r="L95" s="1"/>
      <c r="M95" s="1"/>
      <c r="N95" s="1"/>
      <c r="O95" s="1">
        <f t="shared" si="7"/>
        <v>0</v>
      </c>
    </row>
    <row r="96" spans="9:15" ht="12.75">
      <c r="I96" s="1"/>
      <c r="J96" s="1"/>
      <c r="K96" s="1"/>
      <c r="L96" s="1"/>
      <c r="M96" s="1"/>
      <c r="N96" s="1"/>
      <c r="O96" s="1">
        <f t="shared" si="7"/>
        <v>0</v>
      </c>
    </row>
    <row r="97" spans="9:14" ht="12.75">
      <c r="I97" s="1"/>
      <c r="J97" s="1"/>
      <c r="K97" s="1"/>
      <c r="L97" s="1"/>
      <c r="M97" s="1"/>
      <c r="N97" s="1"/>
    </row>
    <row r="98" spans="9:14" ht="12.75">
      <c r="I98" s="1"/>
      <c r="J98" s="1"/>
      <c r="K98" s="1"/>
      <c r="L98" s="1"/>
      <c r="M98" s="1"/>
      <c r="N98" s="1"/>
    </row>
    <row r="99" spans="9:14" ht="12.75">
      <c r="I99" s="1"/>
      <c r="J99" s="1"/>
      <c r="K99" s="1"/>
      <c r="L99" s="1"/>
      <c r="M99" s="1"/>
      <c r="N99" s="1"/>
    </row>
    <row r="100" spans="9:14" ht="12.75">
      <c r="I100" s="1"/>
      <c r="J100" s="1"/>
      <c r="K100" s="1"/>
      <c r="L100" s="1"/>
      <c r="M100" s="1"/>
      <c r="N100" s="1"/>
    </row>
    <row r="101" spans="9:14" ht="12.75">
      <c r="I101" s="1"/>
      <c r="J101" s="1"/>
      <c r="K101" s="1"/>
      <c r="L101" s="1"/>
      <c r="M101" s="1"/>
      <c r="N101" s="1"/>
    </row>
    <row r="102" spans="9:14" ht="12.75">
      <c r="I102" s="1"/>
      <c r="J102" s="1"/>
      <c r="K102" s="1"/>
      <c r="L102" s="1"/>
      <c r="M102" s="1"/>
      <c r="N102" s="1"/>
    </row>
    <row r="103" spans="9:14" ht="12.75">
      <c r="I103" s="1"/>
      <c r="J103" s="1"/>
      <c r="K103" s="1"/>
      <c r="L103" s="1"/>
      <c r="M103" s="1"/>
      <c r="N103" s="1"/>
    </row>
    <row r="104" spans="9:14" ht="12.75">
      <c r="I104" s="1"/>
      <c r="J104" s="1"/>
      <c r="K104" s="1"/>
      <c r="L104" s="1"/>
      <c r="M104" s="1"/>
      <c r="N104" s="1"/>
    </row>
    <row r="105" spans="9:14" ht="12.75">
      <c r="I105" s="1"/>
      <c r="J105" s="1"/>
      <c r="K105" s="1"/>
      <c r="L105" s="1"/>
      <c r="M105" s="1"/>
      <c r="N105" s="1"/>
    </row>
    <row r="106" spans="9:14" ht="12.75">
      <c r="I106" s="1"/>
      <c r="J106" s="1"/>
      <c r="K106" s="1"/>
      <c r="L106" s="1"/>
      <c r="M106" s="1"/>
      <c r="N106" s="1"/>
    </row>
    <row r="107" spans="9:14" ht="12.75">
      <c r="I107" s="1"/>
      <c r="J107" s="1"/>
      <c r="K107" s="1"/>
      <c r="L107" s="1"/>
      <c r="M107" s="1"/>
      <c r="N107" s="1"/>
    </row>
    <row r="108" spans="9:14" ht="12.75">
      <c r="I108" s="1"/>
      <c r="J108" s="1"/>
      <c r="K108" s="1"/>
      <c r="L108" s="1"/>
      <c r="M108" s="1"/>
      <c r="N108" s="1"/>
    </row>
    <row r="109" spans="9:14" ht="12.75">
      <c r="I109" s="1"/>
      <c r="J109" s="1"/>
      <c r="K109" s="1"/>
      <c r="L109" s="1"/>
      <c r="M109" s="1"/>
      <c r="N109" s="1"/>
    </row>
    <row r="110" spans="9:14" ht="12.75">
      <c r="I110" s="1"/>
      <c r="J110" s="1"/>
      <c r="K110" s="1"/>
      <c r="L110" s="1"/>
      <c r="M110" s="1"/>
      <c r="N110" s="1"/>
    </row>
    <row r="111" spans="9:14" ht="12.75">
      <c r="I111" s="1"/>
      <c r="J111" s="1"/>
      <c r="K111" s="1"/>
      <c r="L111" s="1"/>
      <c r="M111" s="1"/>
      <c r="N111" s="1"/>
    </row>
    <row r="112" spans="9:14" ht="12.75">
      <c r="I112" s="1"/>
      <c r="J112" s="1"/>
      <c r="K112" s="1"/>
      <c r="L112" s="1"/>
      <c r="M112" s="1"/>
      <c r="N112" s="1"/>
    </row>
    <row r="113" spans="9:14" ht="12.75">
      <c r="I113" s="1"/>
      <c r="J113" s="1"/>
      <c r="K113" s="1"/>
      <c r="L113" s="1"/>
      <c r="M113" s="1"/>
      <c r="N113" s="1"/>
    </row>
    <row r="114" spans="9:14" ht="12.75">
      <c r="I114" s="1"/>
      <c r="J114" s="1"/>
      <c r="K114" s="1"/>
      <c r="L114" s="1"/>
      <c r="M114" s="1"/>
      <c r="N114" s="1"/>
    </row>
    <row r="115" spans="9:14" ht="12.75">
      <c r="I115" s="1"/>
      <c r="J115" s="1"/>
      <c r="K115" s="1"/>
      <c r="L115" s="1"/>
      <c r="M115" s="1"/>
      <c r="N115" s="1"/>
    </row>
    <row r="116" spans="9:14" ht="12.75">
      <c r="I116" s="1"/>
      <c r="J116" s="1"/>
      <c r="K116" s="1"/>
      <c r="L116" s="1"/>
      <c r="M116" s="1"/>
      <c r="N116" s="1"/>
    </row>
    <row r="117" spans="9:14" ht="12.75">
      <c r="I117" s="1"/>
      <c r="J117" s="1"/>
      <c r="K117" s="1"/>
      <c r="L117" s="1"/>
      <c r="M117" s="1"/>
      <c r="N117" s="1"/>
    </row>
    <row r="118" spans="9:14" ht="12.75">
      <c r="I118" s="1"/>
      <c r="J118" s="1"/>
      <c r="K118" s="1"/>
      <c r="L118" s="1"/>
      <c r="M118" s="1"/>
      <c r="N118" s="1"/>
    </row>
    <row r="119" spans="9:14" ht="12.75">
      <c r="I119" s="1"/>
      <c r="J119" s="1"/>
      <c r="K119" s="1"/>
      <c r="L119" s="1"/>
      <c r="M119" s="1"/>
      <c r="N119" s="1"/>
    </row>
    <row r="120" spans="9:14" ht="12.75">
      <c r="I120" s="1"/>
      <c r="J120" s="1"/>
      <c r="K120" s="1"/>
      <c r="L120" s="1"/>
      <c r="M120" s="1"/>
      <c r="N120" s="1"/>
    </row>
    <row r="121" spans="9:14" ht="12.75">
      <c r="I121" s="1"/>
      <c r="J121" s="1"/>
      <c r="K121" s="1"/>
      <c r="L121" s="1"/>
      <c r="M121" s="1"/>
      <c r="N121" s="1"/>
    </row>
    <row r="122" spans="9:14" ht="12.75">
      <c r="I122" s="1"/>
      <c r="J122" s="1"/>
      <c r="K122" s="1"/>
      <c r="L122" s="1"/>
      <c r="M122" s="1"/>
      <c r="N122" s="1"/>
    </row>
    <row r="123" spans="9:14" ht="12.75">
      <c r="I123" s="1"/>
      <c r="J123" s="1"/>
      <c r="K123" s="1"/>
      <c r="L123" s="1"/>
      <c r="M123" s="1"/>
      <c r="N123" s="1"/>
    </row>
    <row r="124" spans="9:14" ht="12.75">
      <c r="I124" s="1"/>
      <c r="J124" s="1"/>
      <c r="K124" s="1"/>
      <c r="L124" s="1"/>
      <c r="M124" s="1"/>
      <c r="N124" s="1"/>
    </row>
    <row r="125" spans="9:14" ht="12.75">
      <c r="I125" s="1"/>
      <c r="J125" s="1"/>
      <c r="K125" s="1"/>
      <c r="L125" s="1"/>
      <c r="M125" s="1"/>
      <c r="N125" s="1"/>
    </row>
    <row r="126" spans="9:14" ht="12.75">
      <c r="I126" s="1"/>
      <c r="J126" s="1"/>
      <c r="K126" s="1"/>
      <c r="L126" s="1"/>
      <c r="M126" s="1"/>
      <c r="N126" s="1"/>
    </row>
    <row r="127" spans="9:14" ht="12.75">
      <c r="I127" s="1"/>
      <c r="J127" s="1"/>
      <c r="K127" s="1"/>
      <c r="L127" s="1"/>
      <c r="M127" s="1"/>
      <c r="N127" s="1"/>
    </row>
    <row r="128" spans="9:14" ht="12.75">
      <c r="I128" s="1"/>
      <c r="J128" s="1"/>
      <c r="K128" s="1"/>
      <c r="L128" s="1"/>
      <c r="M128" s="1"/>
      <c r="N128" s="1"/>
    </row>
    <row r="129" spans="9:14" ht="12.75">
      <c r="I129" s="1"/>
      <c r="J129" s="1"/>
      <c r="K129" s="1"/>
      <c r="L129" s="1"/>
      <c r="M129" s="1"/>
      <c r="N129" s="1"/>
    </row>
    <row r="130" spans="9:14" ht="12.75">
      <c r="I130" s="1"/>
      <c r="J130" s="1"/>
      <c r="K130" s="1"/>
      <c r="L130" s="1"/>
      <c r="M130" s="1"/>
      <c r="N130" s="1"/>
    </row>
    <row r="131" spans="9:14" ht="12.75">
      <c r="I131" s="1"/>
      <c r="J131" s="1"/>
      <c r="K131" s="1"/>
      <c r="L131" s="1"/>
      <c r="M131" s="1"/>
      <c r="N131" s="1"/>
    </row>
    <row r="132" spans="9:14" ht="12.75">
      <c r="I132" s="1"/>
      <c r="J132" s="1"/>
      <c r="K132" s="1"/>
      <c r="L132" s="1"/>
      <c r="M132" s="1"/>
      <c r="N132" s="1"/>
    </row>
    <row r="133" spans="9:14" ht="12.75">
      <c r="I133" s="1"/>
      <c r="J133" s="1"/>
      <c r="K133" s="1"/>
      <c r="L133" s="1"/>
      <c r="M133" s="1"/>
      <c r="N133" s="1"/>
    </row>
    <row r="134" spans="9:14" ht="12.75">
      <c r="I134" s="1"/>
      <c r="J134" s="1"/>
      <c r="K134" s="1"/>
      <c r="L134" s="1"/>
      <c r="M134" s="1"/>
      <c r="N134" s="1"/>
    </row>
    <row r="135" spans="9:14" ht="12.75">
      <c r="I135" s="1"/>
      <c r="J135" s="1"/>
      <c r="K135" s="1"/>
      <c r="L135" s="1"/>
      <c r="M135" s="1"/>
      <c r="N135" s="1"/>
    </row>
    <row r="136" spans="9:14" ht="12.75">
      <c r="I136" s="1"/>
      <c r="J136" s="1"/>
      <c r="K136" s="1"/>
      <c r="L136" s="1"/>
      <c r="M136" s="1"/>
      <c r="N136" s="1"/>
    </row>
    <row r="137" spans="9:14" ht="12.75">
      <c r="I137" s="1"/>
      <c r="J137" s="1"/>
      <c r="K137" s="1"/>
      <c r="L137" s="1"/>
      <c r="M137" s="1"/>
      <c r="N137" s="1"/>
    </row>
    <row r="138" spans="9:14" ht="12.75">
      <c r="I138" s="1"/>
      <c r="J138" s="1"/>
      <c r="K138" s="1"/>
      <c r="L138" s="1"/>
      <c r="M138" s="1"/>
      <c r="N138" s="1"/>
    </row>
    <row r="139" spans="9:14" ht="12.75">
      <c r="I139" s="1"/>
      <c r="J139" s="1"/>
      <c r="K139" s="1"/>
      <c r="L139" s="1"/>
      <c r="M139" s="1"/>
      <c r="N139" s="1"/>
    </row>
    <row r="140" spans="9:14" ht="12.75"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9:14" ht="12.75"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9:14" ht="12.75">
      <c r="I153" s="1"/>
      <c r="J153" s="1"/>
      <c r="K153" s="1"/>
      <c r="L153" s="1"/>
      <c r="M153" s="1"/>
      <c r="N153" s="1"/>
    </row>
    <row r="154" spans="9:14" ht="12.75"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9:14" ht="12.75">
      <c r="I157" s="1"/>
      <c r="J157" s="1"/>
      <c r="K157" s="1"/>
      <c r="L157" s="1"/>
      <c r="M157" s="1"/>
      <c r="N157" s="1"/>
    </row>
    <row r="158" spans="9:14" ht="12.75">
      <c r="I158" s="1"/>
      <c r="J158" s="1"/>
      <c r="K158" s="1"/>
      <c r="L158" s="1"/>
      <c r="M158" s="1"/>
      <c r="N158" s="1"/>
    </row>
    <row r="159" spans="9:14" ht="12.75">
      <c r="I159" s="1"/>
      <c r="J159" s="1"/>
      <c r="K159" s="1"/>
      <c r="L159" s="1"/>
      <c r="M159" s="1"/>
      <c r="N159" s="1"/>
    </row>
    <row r="160" spans="9:14" ht="12.75">
      <c r="I160" s="1"/>
      <c r="J160" s="1"/>
      <c r="K160" s="1"/>
      <c r="L160" s="1"/>
      <c r="M160" s="1"/>
      <c r="N160" s="1"/>
    </row>
    <row r="161" spans="9:14" ht="12.75">
      <c r="I161" s="1"/>
      <c r="J161" s="1"/>
      <c r="K161" s="1"/>
      <c r="L161" s="1"/>
      <c r="M161" s="1"/>
      <c r="N161" s="1"/>
    </row>
    <row r="162" spans="9:14" ht="12.75">
      <c r="I162" s="1"/>
      <c r="J162" s="1"/>
      <c r="K162" s="1"/>
      <c r="L162" s="1"/>
      <c r="M162" s="1"/>
      <c r="N162" s="1"/>
    </row>
    <row r="163" spans="9:14" ht="12.75">
      <c r="I163" s="1"/>
      <c r="J163" s="1"/>
      <c r="K163" s="1"/>
      <c r="L163" s="1"/>
      <c r="M163" s="1"/>
      <c r="N163" s="1"/>
    </row>
    <row r="164" spans="9:14" ht="12.75">
      <c r="I164" s="1"/>
      <c r="J164" s="1"/>
      <c r="K164" s="1"/>
      <c r="L164" s="1"/>
      <c r="M164" s="1"/>
      <c r="N164" s="1"/>
    </row>
    <row r="165" spans="9:14" ht="12.75">
      <c r="I165" s="1"/>
      <c r="J165" s="1"/>
      <c r="K165" s="1"/>
      <c r="L165" s="1"/>
      <c r="M165" s="1"/>
      <c r="N165" s="1"/>
    </row>
    <row r="166" spans="9:14" ht="12.75">
      <c r="I166" s="1"/>
      <c r="J166" s="1"/>
      <c r="K166" s="1"/>
      <c r="L166" s="1"/>
      <c r="M166" s="1"/>
      <c r="N166" s="1"/>
    </row>
    <row r="167" spans="9:14" ht="12.75">
      <c r="I167" s="1"/>
      <c r="J167" s="1"/>
      <c r="K167" s="1"/>
      <c r="L167" s="1"/>
      <c r="M167" s="1"/>
      <c r="N167" s="1"/>
    </row>
    <row r="168" spans="9:14" ht="12.75">
      <c r="I168" s="1"/>
      <c r="J168" s="1"/>
      <c r="K168" s="1"/>
      <c r="L168" s="1"/>
      <c r="M168" s="1"/>
      <c r="N168" s="1"/>
    </row>
    <row r="169" spans="9:14" ht="12.75">
      <c r="I169" s="1"/>
      <c r="J169" s="1"/>
      <c r="K169" s="1"/>
      <c r="L169" s="1"/>
      <c r="M169" s="1"/>
      <c r="N169" s="1"/>
    </row>
    <row r="170" spans="9:14" ht="12.75">
      <c r="I170" s="1"/>
      <c r="J170" s="1"/>
      <c r="K170" s="1"/>
      <c r="L170" s="1"/>
      <c r="M170" s="1"/>
      <c r="N170" s="1"/>
    </row>
    <row r="171" spans="9:14" ht="12.75">
      <c r="I171" s="1"/>
      <c r="J171" s="1"/>
      <c r="K171" s="1"/>
      <c r="L171" s="1"/>
      <c r="M171" s="1"/>
      <c r="N171" s="1"/>
    </row>
    <row r="172" spans="9:14" ht="12.75">
      <c r="I172" s="1"/>
      <c r="J172" s="1"/>
      <c r="K172" s="1"/>
      <c r="L172" s="1"/>
      <c r="M172" s="1"/>
      <c r="N172" s="1"/>
    </row>
    <row r="173" spans="9:14" ht="12.75">
      <c r="I173" s="1"/>
      <c r="J173" s="1"/>
      <c r="K173" s="1"/>
      <c r="L173" s="1"/>
      <c r="M173" s="1"/>
      <c r="N173" s="1"/>
    </row>
    <row r="174" spans="9:14" ht="12.75">
      <c r="I174" s="1"/>
      <c r="J174" s="1"/>
      <c r="K174" s="1"/>
      <c r="L174" s="1"/>
      <c r="M174" s="1"/>
      <c r="N174" s="1"/>
    </row>
    <row r="175" spans="9:14" ht="12.75">
      <c r="I175" s="1"/>
      <c r="J175" s="1"/>
      <c r="K175" s="1"/>
      <c r="L175" s="1"/>
      <c r="M175" s="1"/>
      <c r="N175" s="1"/>
    </row>
    <row r="176" spans="9:14" ht="12.75">
      <c r="I176" s="1"/>
      <c r="J176" s="1"/>
      <c r="K176" s="1"/>
      <c r="L176" s="1"/>
      <c r="M176" s="1"/>
      <c r="N176" s="1"/>
    </row>
    <row r="177" spans="9:14" ht="12.75">
      <c r="I177" s="1"/>
      <c r="J177" s="1"/>
      <c r="K177" s="1"/>
      <c r="L177" s="1"/>
      <c r="M177" s="1"/>
      <c r="N177" s="1"/>
    </row>
    <row r="178" spans="9:14" ht="12.75">
      <c r="I178" s="1"/>
      <c r="J178" s="1"/>
      <c r="K178" s="1"/>
      <c r="L178" s="1"/>
      <c r="M178" s="1"/>
      <c r="N178" s="1"/>
    </row>
    <row r="179" spans="9:14" ht="12.75">
      <c r="I179" s="1"/>
      <c r="J179" s="1"/>
      <c r="K179" s="1"/>
      <c r="L179" s="1"/>
      <c r="M179" s="1"/>
      <c r="N179" s="1"/>
    </row>
    <row r="180" spans="9:14" ht="12.75">
      <c r="I180" s="1"/>
      <c r="J180" s="1"/>
      <c r="K180" s="1"/>
      <c r="L180" s="1"/>
      <c r="M180" s="1"/>
      <c r="N180" s="1"/>
    </row>
    <row r="181" spans="9:14" ht="12.75">
      <c r="I181" s="1"/>
      <c r="J181" s="1"/>
      <c r="K181" s="1"/>
      <c r="L181" s="1"/>
      <c r="M181" s="1"/>
      <c r="N181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2018-01-25T15:37:15Z</cp:lastPrinted>
  <dcterms:created xsi:type="dcterms:W3CDTF">2007-01-13T18:42:48Z</dcterms:created>
  <dcterms:modified xsi:type="dcterms:W3CDTF">2019-05-21T14:20:58Z</dcterms:modified>
  <cp:category/>
  <cp:version/>
  <cp:contentType/>
  <cp:contentStatus/>
</cp:coreProperties>
</file>