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Usuario\Documents\INFORME DE GESTIÓN 2024\"/>
    </mc:Choice>
  </mc:AlternateContent>
  <xr:revisionPtr revIDLastSave="0" documentId="13_ncr:1_{DCF81C5F-0B76-43DF-ABF1-DA5F30706356}" xr6:coauthVersionLast="47" xr6:coauthVersionMax="47" xr10:uidLastSave="{00000000-0000-0000-0000-000000000000}"/>
  <bookViews>
    <workbookView xWindow="-110" yWindow="-110" windowWidth="19420" windowHeight="10300" xr2:uid="{00000000-000D-0000-FFFF-FFFF00000000}"/>
  </bookViews>
  <sheets>
    <sheet name="APORTES PAC AL PGAR"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0Pj6D56ixO3GiZ7TPv20x+GdtS4De11XX+maIPfp4lQ="/>
    </ext>
  </extLst>
</workbook>
</file>

<file path=xl/calcChain.xml><?xml version="1.0" encoding="utf-8"?>
<calcChain xmlns="http://schemas.openxmlformats.org/spreadsheetml/2006/main">
  <c r="R72" i="6" l="1"/>
  <c r="R20" i="6"/>
  <c r="R44" i="6"/>
  <c r="R53" i="6"/>
  <c r="P9" i="6"/>
  <c r="P35" i="6"/>
  <c r="D75" i="6" l="1"/>
  <c r="R74" i="6"/>
  <c r="S69" i="6" s="1"/>
  <c r="P74" i="6"/>
  <c r="P73" i="6"/>
  <c r="P72" i="6"/>
  <c r="P71" i="6"/>
  <c r="P69" i="6"/>
  <c r="P75" i="6" s="1"/>
  <c r="D68" i="6"/>
  <c r="P67" i="6"/>
  <c r="P66" i="6"/>
  <c r="P65" i="6"/>
  <c r="S64" i="6"/>
  <c r="S68" i="6" s="1"/>
  <c r="P64" i="6"/>
  <c r="D63" i="6"/>
  <c r="P62" i="6"/>
  <c r="P61" i="6"/>
  <c r="S59" i="6"/>
  <c r="S63" i="6" s="1"/>
  <c r="P59" i="6"/>
  <c r="D57" i="6"/>
  <c r="P56" i="6"/>
  <c r="S55" i="6"/>
  <c r="T55" i="6" s="1"/>
  <c r="P55" i="6"/>
  <c r="D54" i="6"/>
  <c r="P53" i="6"/>
  <c r="S52" i="6"/>
  <c r="S54" i="6" s="1"/>
  <c r="P52" i="6"/>
  <c r="R51" i="6"/>
  <c r="D51" i="6"/>
  <c r="P50" i="6"/>
  <c r="S49" i="6"/>
  <c r="T49" i="6" s="1"/>
  <c r="P49" i="6"/>
  <c r="P51" i="6" s="1"/>
  <c r="D48" i="6"/>
  <c r="P47" i="6"/>
  <c r="P46" i="6"/>
  <c r="P45" i="6"/>
  <c r="P44" i="6"/>
  <c r="R43" i="6"/>
  <c r="S43" i="6" s="1"/>
  <c r="P43" i="6"/>
  <c r="D41" i="6"/>
  <c r="P40" i="6"/>
  <c r="P39" i="6"/>
  <c r="P38" i="6"/>
  <c r="S37" i="6"/>
  <c r="S41" i="6" s="1"/>
  <c r="T41" i="6" s="1"/>
  <c r="P37" i="6"/>
  <c r="D36" i="6"/>
  <c r="P34" i="6"/>
  <c r="P33" i="6"/>
  <c r="R32" i="6"/>
  <c r="S32" i="6" s="1"/>
  <c r="P32" i="6"/>
  <c r="P36" i="6" s="1"/>
  <c r="D30" i="6"/>
  <c r="P29" i="6"/>
  <c r="R28" i="6"/>
  <c r="S26" i="6" s="1"/>
  <c r="T26" i="6" s="1"/>
  <c r="P28" i="6"/>
  <c r="P27" i="6"/>
  <c r="D25" i="6"/>
  <c r="R24" i="6"/>
  <c r="P24" i="6"/>
  <c r="R22" i="6"/>
  <c r="P22" i="6"/>
  <c r="R21" i="6"/>
  <c r="P21" i="6"/>
  <c r="D18" i="6"/>
  <c r="P16" i="6"/>
  <c r="P15" i="6"/>
  <c r="H15" i="6"/>
  <c r="P14" i="6"/>
  <c r="P13" i="6"/>
  <c r="P12" i="6"/>
  <c r="S11" i="6"/>
  <c r="S18" i="6" s="1"/>
  <c r="P11" i="6"/>
  <c r="D10" i="6"/>
  <c r="P8" i="6"/>
  <c r="H8" i="6"/>
  <c r="P7" i="6"/>
  <c r="P6" i="6"/>
  <c r="P5" i="6"/>
  <c r="S4" i="6"/>
  <c r="T4" i="6" s="1"/>
  <c r="T10" i="6" s="1"/>
  <c r="P18" i="6" l="1"/>
  <c r="P30" i="6"/>
  <c r="P48" i="6"/>
  <c r="P57" i="6"/>
  <c r="P25" i="6"/>
  <c r="P68" i="6"/>
  <c r="P41" i="6"/>
  <c r="P42" i="6" s="1"/>
  <c r="P10" i="6"/>
  <c r="P19" i="6" s="1"/>
  <c r="P54" i="6"/>
  <c r="P63" i="6"/>
  <c r="P76" i="6" s="1"/>
  <c r="T68" i="6"/>
  <c r="D31" i="6"/>
  <c r="T52" i="6"/>
  <c r="T54" i="6"/>
  <c r="D42" i="6"/>
  <c r="T59" i="6"/>
  <c r="S10" i="6"/>
  <c r="S19" i="6" s="1"/>
  <c r="S20" i="6"/>
  <c r="S25" i="6" s="1"/>
  <c r="D58" i="6"/>
  <c r="D76" i="6"/>
  <c r="T11" i="6"/>
  <c r="T18" i="6" s="1"/>
  <c r="D19" i="6"/>
  <c r="S51" i="6"/>
  <c r="T51" i="6" s="1"/>
  <c r="S57" i="6"/>
  <c r="T57" i="6" s="1"/>
  <c r="S75" i="6"/>
  <c r="T75" i="6" s="1"/>
  <c r="T69" i="6"/>
  <c r="T32" i="6"/>
  <c r="S36" i="6"/>
  <c r="S48" i="6"/>
  <c r="T43" i="6"/>
  <c r="T37" i="6"/>
  <c r="T64" i="6"/>
  <c r="S30" i="6"/>
  <c r="T30" i="6" s="1"/>
  <c r="T63" i="6"/>
  <c r="P58" i="6" l="1"/>
  <c r="T20" i="6"/>
  <c r="P31" i="6"/>
  <c r="P77" i="6" s="1"/>
  <c r="D77" i="6"/>
  <c r="T25" i="6"/>
  <c r="S31" i="6"/>
  <c r="T31" i="6" s="1"/>
  <c r="S58" i="6"/>
  <c r="T58" i="6" s="1"/>
  <c r="T48" i="6"/>
  <c r="S76" i="6"/>
  <c r="T76" i="6" s="1"/>
  <c r="S42" i="6"/>
  <c r="T42" i="6" s="1"/>
  <c r="T36" i="6"/>
  <c r="T19" i="6"/>
  <c r="S77" i="6" l="1"/>
  <c r="T77" i="6" s="1"/>
</calcChain>
</file>

<file path=xl/sharedStrings.xml><?xml version="1.0" encoding="utf-8"?>
<sst xmlns="http://schemas.openxmlformats.org/spreadsheetml/2006/main" count="474" uniqueCount="287">
  <si>
    <t>DESARROLLO SECTORIAL SOSTENIBLE</t>
  </si>
  <si>
    <t>BIODIVERSIDAD Y SERVICIOS ECOSISTÉMICOS</t>
  </si>
  <si>
    <t>GESTION INTEGRAL DEL RECURSO HÍDRICO</t>
  </si>
  <si>
    <t>ORDENAMIENTO AMBIENTAL TERRITORIAL, GESTIÓN DEL RIESGO Y CAMBIO CLIMÁTICO</t>
  </si>
  <si>
    <t>OBJETIVO GENERAL</t>
  </si>
  <si>
    <t>METAS DE RESULTADO</t>
  </si>
  <si>
    <t>EJE ESTRATÉGICO</t>
  </si>
  <si>
    <t>Contribuir al uso eficiente y protección de los recursos naturales renovables en los procesos económicos y sociales de la región, aportando en la consolidación de territorios sostenibles.</t>
  </si>
  <si>
    <t>META DE IMPACTO</t>
  </si>
  <si>
    <t>PROGRAMA 1.</t>
  </si>
  <si>
    <t>SECTORES PRODUCTIVOS SOSTENIBLES</t>
  </si>
  <si>
    <t>TOTAL</t>
  </si>
  <si>
    <t>RESPONSABLE</t>
  </si>
  <si>
    <t>ALIADOS</t>
  </si>
  <si>
    <t>Realizar diagnóstico para evaluar las necesidades de los subsectores productivos priorizados en el departamento</t>
  </si>
  <si>
    <t>Unidad</t>
  </si>
  <si>
    <t>Diagnósticos de evaluacion de necesidades de los subsectores productivos priorizados</t>
  </si>
  <si>
    <t>Cuatrienal</t>
  </si>
  <si>
    <t>Gobernación</t>
  </si>
  <si>
    <t>CAM, Subsectores productivos</t>
  </si>
  <si>
    <t>Generar instrumentos de articulación entre los diferentes sectores productivos, entes territoriales, entidades públicas y privadas</t>
  </si>
  <si>
    <t>Agendas sectoriales o acuerdos de voluntades suscritos y ejecutados</t>
  </si>
  <si>
    <t>Anual</t>
  </si>
  <si>
    <t>CAM</t>
  </si>
  <si>
    <t>Departamento, gremios productivos, entidades financieras</t>
  </si>
  <si>
    <t>Apoyar a los subsectores productivos para la implementación de proyectos o iniciativas de reconversión a sistemas de producción sostenible y economía circular</t>
  </si>
  <si>
    <t>Proyectos piloto con iniciativas de reconversión a sistemas de producción sostenible y economía circular</t>
  </si>
  <si>
    <t xml:space="preserve">CAM, Gobernación y Municipios </t>
  </si>
  <si>
    <t xml:space="preserve">Entidades financieras y organizaciones de cooperación internacional </t>
  </si>
  <si>
    <t>%</t>
  </si>
  <si>
    <t xml:space="preserve">Incremento del porcentaje de residuos tratados y/o aprovechados de los procesos productivos de los 3 principales sectores generadores </t>
  </si>
  <si>
    <t xml:space="preserve">Anual </t>
  </si>
  <si>
    <t>Subsectores productivos</t>
  </si>
  <si>
    <t xml:space="preserve">Capacitaciones con asesoría ambiental </t>
  </si>
  <si>
    <t>SENA, departamento, municipios, gremios productivos</t>
  </si>
  <si>
    <t>Implementar (previo diseño) una estrategia de protección de suelos para prevenir la desertificación, la salinización y la erosión</t>
  </si>
  <si>
    <t xml:space="preserve">Avance en la ejecución de la estrategia </t>
  </si>
  <si>
    <t>Departamento, municipios</t>
  </si>
  <si>
    <t>FORTALECIMIENTO DE LOS NEGOCIOS VERDES Y EL CONSUMO SOSTENIBLE</t>
  </si>
  <si>
    <t>Incrementar el numero de empresas que se desempeñan como negocios verdes en el departamento</t>
  </si>
  <si>
    <t xml:space="preserve">Cantidad de negocios verdes verificados </t>
  </si>
  <si>
    <t>Empresas de Negocios verdes</t>
  </si>
  <si>
    <t xml:space="preserve">Incrementar las áreas de conservación vinculadas a los negocios verdes </t>
  </si>
  <si>
    <t>ha</t>
  </si>
  <si>
    <t xml:space="preserve">Incrementar las ha en bosque conservadas </t>
  </si>
  <si>
    <t>CAM, Empresas de negocios verdes</t>
  </si>
  <si>
    <t>Incrementar los ingresos generados por los negocios verdes en el deparamento</t>
  </si>
  <si>
    <t xml:space="preserve">Incremento porcentual de los ingresos </t>
  </si>
  <si>
    <t>Fortalecer los negocios verdes para que incrementen el porcentaje de cumplimiento de sus planes de mejora</t>
  </si>
  <si>
    <t>Negocios verdes con incremento en porcentaje de cumplimiento en los planes de mejora</t>
  </si>
  <si>
    <t>Proporcionar asesorías y acompañamiento en los diferentes eventos de promoción de los negocios verdes</t>
  </si>
  <si>
    <t>Eventos con participación de los negocios verdes</t>
  </si>
  <si>
    <t>Fortalecer el sistema de divulgación de imagen e identidad corporativa de los negocios verdes</t>
  </si>
  <si>
    <t xml:space="preserve">% de negocios verdes verificados con sistema de divulgación </t>
  </si>
  <si>
    <t xml:space="preserve">Diseñar e implementar una arquitectura de articulación institucional para la prestación de servicios de los negocios verdes </t>
  </si>
  <si>
    <t xml:space="preserve">Numero de servicios ofertados por la estrategia </t>
  </si>
  <si>
    <t>Mantener y/o recuperar el área de los ecosistemas estratégicos y especies de flora y fauna en  la jurisdiccón.</t>
  </si>
  <si>
    <t>CONSERVACIÓN Y PROTECCIÓN DE ÁREAS PROTEGIDAS Y ECOSISTEMAS ESTRATÉGICOS</t>
  </si>
  <si>
    <t>Mantener el área deforestada anualmente en niveles inferiores a 200 ha por año</t>
  </si>
  <si>
    <t xml:space="preserve">Área deforestada </t>
  </si>
  <si>
    <t>&lt;= 200</t>
  </si>
  <si>
    <t>Municipios - Departamento</t>
  </si>
  <si>
    <t xml:space="preserve">Incremento del número de ecosistemas estratégicos (Humedales) caracterizados </t>
  </si>
  <si>
    <t xml:space="preserve">Ecosistemas estratégicos (Humedales) caracterizados </t>
  </si>
  <si>
    <t>Municipios</t>
  </si>
  <si>
    <t>Reservas Natuarles de la Sociedad Civil - RNSC con apoyo y acompañamiento para el registro de nuevas iniciativas.</t>
  </si>
  <si>
    <t xml:space="preserve"> RNSC apoyadas</t>
  </si>
  <si>
    <t xml:space="preserve">Municipios </t>
  </si>
  <si>
    <t>Conservación de las áreas de páramo en el departamento</t>
  </si>
  <si>
    <t>Complejos de páramos delimitados con acciones de conservación implementadas</t>
  </si>
  <si>
    <t>Comisiones conjuntas, MADS</t>
  </si>
  <si>
    <t>Diseñar un modelo de gestión urbana</t>
  </si>
  <si>
    <t>_____</t>
  </si>
  <si>
    <t>______</t>
  </si>
  <si>
    <t>Modelo de gestión urbana</t>
  </si>
  <si>
    <t>Municipios, Gobernación</t>
  </si>
  <si>
    <t>CONOCIMIENTO Y MONITOREO DE LA FLORA Y FAUNA SILVESTRE</t>
  </si>
  <si>
    <t>Implementación de un sistema de monitoreo e indicadores de sostenibilidad a partir de la biodiversidad</t>
  </si>
  <si>
    <t>Porcentaje de implementación</t>
  </si>
  <si>
    <t xml:space="preserve">CAM </t>
  </si>
  <si>
    <t>Incrementar el conocimiento sobre la flora y la fauna silvestre del departamento</t>
  </si>
  <si>
    <t>Caracterizaciones de fauna y flora</t>
  </si>
  <si>
    <t xml:space="preserve">Academia - Grupos de investigación </t>
  </si>
  <si>
    <t>Implementar el plan de conservación de especies amenazadas</t>
  </si>
  <si>
    <t>Avance en cumplimiento de metas de los planes de conservación</t>
  </si>
  <si>
    <t>Adoptar medidas para el control y manejo de especies exóticas invasoras en los ecosistemas presentes en el departamento</t>
  </si>
  <si>
    <t>Especies exóticas priorizadas con diagnóstico del estado actual y potencial de la problemática</t>
  </si>
  <si>
    <t>Policia Ambiental</t>
  </si>
  <si>
    <t xml:space="preserve">Fortalecer la gobernanza para la administración del recurso hídrico para el consumo humano y el desarrollo productivo de la región a través del fortalecimiento de espacios participativos. </t>
  </si>
  <si>
    <t>ADMINISTRACIÓN, CONSERVACIÓN Y PROTECCIÓN DE CUENCAS ABASTECEDORAS</t>
  </si>
  <si>
    <t>Realizar seguimiento, revisión y actualización de fuentes hídricas reglamentadas</t>
  </si>
  <si>
    <t>Corrientes reglamentadas con seguimiento, revisión y actualización</t>
  </si>
  <si>
    <t xml:space="preserve">
Usuarios del recurso hídrico</t>
  </si>
  <si>
    <t>Completar los estudios de aguas subterraneas en el departamento del Huila</t>
  </si>
  <si>
    <t xml:space="preserve">Porcentaje de acuiferos estudiados </t>
  </si>
  <si>
    <t>Departamento</t>
  </si>
  <si>
    <t>Consolidar espacios de diálogo para tramitar conflictos socioambientales alrededor del recurso hídrico</t>
  </si>
  <si>
    <t xml:space="preserve">Unidad </t>
  </si>
  <si>
    <t xml:space="preserve">Especios de diálogo funcionales para atender conflictos socioambientales en cuencas hidrográficas ordenadas </t>
  </si>
  <si>
    <t>Municipios      Instituciones educativas</t>
  </si>
  <si>
    <t>Ejecutar (previa formulación) una estrategia de conservación y protección de las cuencas abastecedoras que no cuentan con plan de manejo</t>
  </si>
  <si>
    <t xml:space="preserve">Porcentaje de ejecución de la estrategias para la conservación de las cuencas abastecedoras que no cuentan con plan de manejo </t>
  </si>
  <si>
    <t>Departamento, Municipios, sociedad civil</t>
  </si>
  <si>
    <t>DESCONTAMINACION DE FUENTES HÍDRICAS</t>
  </si>
  <si>
    <t>Realizar seguimiento a los objetivos de calidad del recurso hídrico</t>
  </si>
  <si>
    <t>Objetivos de calidad con seguimiento</t>
  </si>
  <si>
    <t>Prestador del Servicio, otros usuarios</t>
  </si>
  <si>
    <t>Actualizar indicadores hídricos regionales</t>
  </si>
  <si>
    <t>Evaluaciones regionales del agua - ERA, efectuadas</t>
  </si>
  <si>
    <t>IDEAM</t>
  </si>
  <si>
    <t>Ejecutar el programa de monitoreo del estado del agua en fuentes hídricas (PIRMA)</t>
  </si>
  <si>
    <t>Programas PIRMA ejecutados</t>
  </si>
  <si>
    <t xml:space="preserve">Construir sistemas de tratamiento de aguas residuales de los centros urbanos priorizados </t>
  </si>
  <si>
    <t>Centros urbanos con sistema de tratamiento de aguas residuales construido y en operación</t>
  </si>
  <si>
    <t>Consolidar el ordenamiento ambiental territorial y el conocimiento del riesgo en la jurisdicción y la implementación de medidas para la acción climática.</t>
  </si>
  <si>
    <t>PLANIFICACIÓN TERRITORIAL Y AMBIENTAL PARA UN DESARROLLO SOSTENIBLE</t>
  </si>
  <si>
    <t xml:space="preserve">Garantizar la incorporación de los aspectos ambientales en los planes de ordenamiento territorial y planes de desarrollo
</t>
  </si>
  <si>
    <t>Municipios con los aspectos ambientales incorporados en los Planes de ordenamiento</t>
  </si>
  <si>
    <t>Departamento y municipios</t>
  </si>
  <si>
    <t xml:space="preserve">Mantener información actualizada y divulgada en el Sistema de información ambiental y regional </t>
  </si>
  <si>
    <t xml:space="preserve">Sistema de información ambiental regional operando </t>
  </si>
  <si>
    <t>Formular, adoptar, realizar seguimiento, evaluar y/o actualizar los Planes de Ordenación del Recurso Hídrico - PORH</t>
  </si>
  <si>
    <t>PORH  Formulados, adoptados y/o actualizados, con seguimiento y evaluación</t>
  </si>
  <si>
    <t>Cada 6 años</t>
  </si>
  <si>
    <t>Municipios,
Sectores productivos,
Prestadores de servicios,
Comunidades</t>
  </si>
  <si>
    <t>Formular y/o actualizar los planes de manejo de las cuencas hidrográficas priorizadas y aprobadas por la Corporación y su implementación</t>
  </si>
  <si>
    <t xml:space="preserve">Planes de manejo formulados, actualizados </t>
  </si>
  <si>
    <t xml:space="preserve">Actualizar los Planes de Manejo de áreas protegidas regionales vigentes </t>
  </si>
  <si>
    <t xml:space="preserve">Porcentaje planes de manejo actualizados y vigentes </t>
  </si>
  <si>
    <t xml:space="preserve">CONOCIMIENTO Y GESTIÓN DEL RIESGO DE DESASTRES NATURALES </t>
  </si>
  <si>
    <t>Fortalecer el centro de monitoreo de alertas tempranas</t>
  </si>
  <si>
    <t>Centro de monitoreo fortalecido</t>
  </si>
  <si>
    <t>Departamento, municipios IDEAM y comunidad</t>
  </si>
  <si>
    <t xml:space="preserve">Diseñar e implementar una estrategia para la mitigación y prevención del riesgo de desastres naturales. </t>
  </si>
  <si>
    <t xml:space="preserve">Estrategias diseñadas e implementadas  para la mitigación y prevención del riesgo de desastres naturales. </t>
  </si>
  <si>
    <t xml:space="preserve">Municipio </t>
  </si>
  <si>
    <t>CAM,  departamento</t>
  </si>
  <si>
    <t>Actualizar el Plan de Cambio Climático Huila 2050, conforme a lo señalado en la Ley 1931 de 2018</t>
  </si>
  <si>
    <t>Planes de cambio climático actualizados</t>
  </si>
  <si>
    <t>Apoyar la implementación de proyectos que estimulen la reducción de emisiones de gases efecto invernadero</t>
  </si>
  <si>
    <t>Proyectos implementados</t>
  </si>
  <si>
    <t>CAM y Departamento</t>
  </si>
  <si>
    <t>Municipios, ONG ambientales</t>
  </si>
  <si>
    <t>ORDENAMIENTO Y GESTIÓN AMBIENTAL CON COMUNIDADES INDÍGENAS</t>
  </si>
  <si>
    <t>Formulación/ actualización de planes de vida de comunidades indígenas.</t>
  </si>
  <si>
    <t>Planes de vida formulados o actualizados</t>
  </si>
  <si>
    <t>Comunidades indígenas</t>
  </si>
  <si>
    <t>Departamento, CAM</t>
  </si>
  <si>
    <t>Fortalecer la sostenibilidad de áreas productivas y ambientales   desde la cosmovisión cultural  de las comunidades étnicas</t>
  </si>
  <si>
    <t>Resguardos indígenas, con mejoras en el uso de los recursos naturales renovables.</t>
  </si>
  <si>
    <t>Comunidades indígenas, municipios</t>
  </si>
  <si>
    <t>GESTIÓN DEL CONOCIMIENTO Y EDUCACIÓN AMBIENTAL</t>
  </si>
  <si>
    <t>Fortalecer la implementación de la Política Nacional de Educación Ambiental</t>
  </si>
  <si>
    <t>Política Nacional de Educación Ambiental implementada</t>
  </si>
  <si>
    <t>Departamento, municipios, ONG ambientales</t>
  </si>
  <si>
    <t>Generar procesos de apropiación social del conocimiento y/o  investigación de ciencia participativa frente a la problemática ambiental de los municipios del Huila.</t>
  </si>
  <si>
    <t>Municipios con proceso de aplicación del conocimiento en prácticas ambientales</t>
  </si>
  <si>
    <t>Departamento, municipios, ONG ambientales, instituciones educativas, comunidad</t>
  </si>
  <si>
    <t xml:space="preserve">Promover mecanismos de  comunicación y participación ciudadana en temas de interés ambiental </t>
  </si>
  <si>
    <t>Municipios con mecanismos de  comunicación y participación ciudadana en temas de interés ambiental</t>
  </si>
  <si>
    <t>FORTALECIMIENTO INSTITUCIONAL</t>
  </si>
  <si>
    <t xml:space="preserve">Fortalecer la corporación como ejemplo de modernización ambiental </t>
  </si>
  <si>
    <t>Acciones de modernización institucional</t>
  </si>
  <si>
    <t>Actualizar e implementar el Plan Estratégico de Tecnologías de la Información y las Comunicaciones - PETI</t>
  </si>
  <si>
    <t>Fortalecer el Sistema Integrado de Gestión</t>
  </si>
  <si>
    <t>Sistemas integrados de gestión fortalecido</t>
  </si>
  <si>
    <t xml:space="preserve">Implementar las políticas de control interno y atención al ciudadano </t>
  </si>
  <si>
    <t>Políticas implementadas</t>
  </si>
  <si>
    <t xml:space="preserve">CONTROL A LA CORRECTA UTILIZACIÓN DE LOS RECURSOS NATURALES RENOVABLES </t>
  </si>
  <si>
    <t xml:space="preserve">Sectores productivos formalizados en relación al uso de los recursos naturales </t>
  </si>
  <si>
    <t>Porcentaje promedio de unidades productivas formalizadas para los 5 principales sectores productivos del departamento</t>
  </si>
  <si>
    <t>CAM, Sectores productivos</t>
  </si>
  <si>
    <t>Optimizar los tiempos en tramitar permisos  ambientales que se radiquen ante la autoridad ambiental regional</t>
  </si>
  <si>
    <t>Días</t>
  </si>
  <si>
    <t>Número de días para resolución de trámite de permisos ambientales promedio</t>
  </si>
  <si>
    <t xml:space="preserve">Mantener la eficacia en tramitar y resolver las denuncias por infracciones a la normatividad ambiental </t>
  </si>
  <si>
    <t>Denuncias resueltas oportunamente</t>
  </si>
  <si>
    <t>Mantener el control y seguimiento a las autorizaciones y permisos ambientales otorgados</t>
  </si>
  <si>
    <t>Autorizaciones ambientales con seguimiento</t>
  </si>
  <si>
    <t>Garantizar el seguimiento al estado de los recursos naturales (aire, recurso hídrico, ruido, suelo, especies amenazadas y flora)</t>
  </si>
  <si>
    <t>Recursos naturales con sistema de monitoreo operando</t>
  </si>
  <si>
    <t xml:space="preserve">Mantener y fortalecer la estrategia para disminuir el tráfico y uso ilegal de la diversidad biológica (tala, la caza furtiva, el tráfico y tenencia de especies silvestres de flora y fauna, entre otros). </t>
  </si>
  <si>
    <t xml:space="preserve">Estrategias fortalecidad que diminuyan el trafico y uso ilegal de la diversidad biologica. </t>
  </si>
  <si>
    <t>Policia Ambiental- Fiscalia</t>
  </si>
  <si>
    <t>Actualizar e implementar el Plan Decenal de Educación Ambiental "Pedagogía de la Educación Ambiental para la Vida"</t>
  </si>
  <si>
    <t>Plan Decenal de Educación Ambiental "Pedagogía de la Educación Ambiental para la Vida" actualizado e implementado</t>
  </si>
  <si>
    <t>Departamento, municipiosy secretaría de educación</t>
  </si>
  <si>
    <t>Articular los actores sociales, institucionales y sectoriales, que conforman el Sistema Nacional Ambiental (SINA) para la formación de una ciudadanía responsable, contando con la educación y comunicación ambiental como ejes de la gobernanza y con una entidad moderna y competente como soporte del quehacer institucional para garantizar el acceso a la información ambiental, la participación pública en los procesos de toma de decisiones ambientales y la justicia en asuntos ambientales en el marco de la implementación del Acuerdo de Escazú.</t>
  </si>
  <si>
    <t>TOTAL PROGRAMA SECTORES PRODUCTIVOS SOSTENIBLES</t>
  </si>
  <si>
    <t xml:space="preserve"> TOTAL EJE 1 DESARROLLO SECTORIAL SOSTENIBLE</t>
  </si>
  <si>
    <t>TOTAL PROGRAMA CONSERVACIÓN Y PROTECCIÓN DE ÁREAS PROTEGIDAS Y ECOSISTEMAS ESTRATÉGICOS</t>
  </si>
  <si>
    <t>TOTAL EJE 2 BIODIVERSIDAD Y SERVICIOS ECOSISTÉMICOS</t>
  </si>
  <si>
    <t>TOTAL PROGRAMA ADMINISTRACIÓN, CONSERVACIÓN Y PROTECCIÓN DE CUENCAS ABASTECEDORAS</t>
  </si>
  <si>
    <t>TOTAL PROGRAMA DESCONTAMINACION DE FUENTES HÍDRICAS</t>
  </si>
  <si>
    <t xml:space="preserve"> TOTAL EJE 3 GESTION INTEGRAL DEL RECURSO HÍDRICO</t>
  </si>
  <si>
    <t xml:space="preserve">TOTAL PROGRAMA CONOCIMIENTO Y GESTIÓN DEL RIESGO DE DESASTRES NATURALES </t>
  </si>
  <si>
    <t>TOTAL PROGRAMA HUILA, TERRITORIO CLIMÁTICAMENTE INTELIGENTE</t>
  </si>
  <si>
    <t>TOTAL PROGRAMA ORDENAMIENTO Y GESTIÓN AMBIENTAL CON COMUNIDADES INDÍGENAS</t>
  </si>
  <si>
    <t xml:space="preserve"> TOTAL EJE 4 ORDENAMIENTO AMBIENTAL TERRITORIAL, GESTIÓN DEL RIESGO Y CAMBIO CLIMÁTICO</t>
  </si>
  <si>
    <t>FORTALECIMIENTO INSTITUCIONAL Y EDUCACIÓN AMBIENTAL</t>
  </si>
  <si>
    <t xml:space="preserve">TOTAL PROGRAMA CONTROL A LA CORRECTA UTILIZACIÓN DE LOS RECURSOS NATURALES RENOVABLES </t>
  </si>
  <si>
    <t>TOTAL PROGRAMA FORTALECIMIENTO INSTITUCIONAL</t>
  </si>
  <si>
    <t>TOTAL PROGRAMA GESTIÓN DEL CONOCIMIENTO Y EDUCACIÓN AMBIENTAL</t>
  </si>
  <si>
    <t>PLAN DE GESTIÓN AMBIENTAL REGIONAL PGAR</t>
  </si>
  <si>
    <t xml:space="preserve"> HUILA, TERRITORIO CLIMÁTICAMENTE INTELIGENTE</t>
  </si>
  <si>
    <t xml:space="preserve">Conservación de la calidad del aire en la región </t>
  </si>
  <si>
    <t xml:space="preserve">Realizar mediciones cualitativas y cuantitativas anuales sobre concienciación ambiental de la población Huilense hasta el 2035. </t>
  </si>
  <si>
    <t>UNIDAD DE MEDIDA</t>
  </si>
  <si>
    <t>LÍNEA BASE/AÑO</t>
  </si>
  <si>
    <t>INDICADOR</t>
  </si>
  <si>
    <t>PERIODO DE MEDICIÓN</t>
  </si>
  <si>
    <t>ACTORES CLAVES</t>
  </si>
  <si>
    <t>AVANCE EN EJECUCIÓN META FÍSICA</t>
  </si>
  <si>
    <t>PLAN DE ACCIÓN CUATRIENAL 2024-2027: HUILA, TERRITORIO DE VIDA</t>
  </si>
  <si>
    <t>Sectores con buenas prácticas productivas</t>
  </si>
  <si>
    <t>Reducción en los consumos de agua, energía y generación de  residuos contaminantes (sólidos, líquidos y gaseosos) en los sectores productivos del Huila</t>
  </si>
  <si>
    <t>Sectores con buenas práctica ambientales en su producción</t>
  </si>
  <si>
    <t>Incremento en el número de empresas con negocios verdes  vinculadas al programa de la CAM y que participan en  espacios comerciales a nivel Nacional e Internacional.</t>
  </si>
  <si>
    <t># de hectáreas intervenidas</t>
  </si>
  <si>
    <t># especies existentes priorizadas en el Huila</t>
  </si>
  <si>
    <t>% de ordenamiento ambiental del territorio</t>
  </si>
  <si>
    <t xml:space="preserve">Disponibilidad de acceso a la información ambiental y procesos de participación a través de plataformas digitales y veedurías ciudadanas. </t>
  </si>
  <si>
    <t xml:space="preserve">Porcentaje de implementación de las metas del PCC </t>
  </si>
  <si>
    <t>Instrumentos de planificación ambiental formulados</t>
  </si>
  <si>
    <t xml:space="preserve">Resultado de la evaluación de los reportes en el FURAG </t>
  </si>
  <si>
    <t xml:space="preserve">Realizar mediciones cualitativas y cuantitativas anuales sobre concienciación ambiental de la población Huilense hasta el 2035. 
</t>
  </si>
  <si>
    <t>Municipios en riesgo medio y alto</t>
  </si>
  <si>
    <t>Mejorar las prácticas de los sectores productivos con relación al uso de los recursos naturales renovables</t>
  </si>
  <si>
    <r>
      <t xml:space="preserve">Planes Estratégicos actualizados </t>
    </r>
    <r>
      <rPr>
        <sz val="11"/>
        <color rgb="FF1E4E79"/>
        <rFont val="Arial"/>
        <family val="2"/>
      </rPr>
      <t>e implementados</t>
    </r>
    <r>
      <rPr>
        <sz val="11"/>
        <color theme="1"/>
        <rFont val="Arial"/>
        <family val="2"/>
      </rPr>
      <t xml:space="preserve"> de Tecnologías de la Información y las Comunicaciones</t>
    </r>
  </si>
  <si>
    <t>COSTOS POR ACTIVIDAD</t>
  </si>
  <si>
    <t>COSTOS POR PROGRAMA</t>
  </si>
  <si>
    <t>% AVANCE FINANCIERO ACUMULADO</t>
  </si>
  <si>
    <t>EJECUCIÓN META FÍSICA VIGENCIA 2024</t>
  </si>
  <si>
    <t>OBSERVACIONES</t>
  </si>
  <si>
    <t>Se adelantó el proceso precontractual del proyecto piloto Filtros verdes.</t>
  </si>
  <si>
    <t>Se realizó la suscripción de un acuerdo de voluntades con el subsector cafetero.</t>
  </si>
  <si>
    <t>Se adelantaron capacitaciones al cuerpo de bomberos voluntarios en manejo de polinizadores</t>
  </si>
  <si>
    <t>% AVANCE FÍSICO ACUMULADO</t>
  </si>
  <si>
    <t>El área de conservación de las empresas visitadas durante el primer semestre es de 430 hectáreas</t>
  </si>
  <si>
    <t>META FÍSICA</t>
  </si>
  <si>
    <t xml:space="preserve">Durante el primer semestre se han vinculado 16 nuevas empresas de las 197 que se tienen como meta final del PGAR </t>
  </si>
  <si>
    <t>80 empresas participaron en 24 eventos.  Las ventas reportadas por los empresarios, superan los 250 millones de pesos.</t>
  </si>
  <si>
    <t>El seguimiento a los planes evidencia un 19% de cumplimineto de las acciones</t>
  </si>
  <si>
    <t>Del total de 256 empresas activas, 143 ya se encuentran verificadas</t>
  </si>
  <si>
    <t xml:space="preserve">Se logró construir un inventario cartográfico que pasa de tener 818 a 1.090 humedales distribuidos en todo el territorio departamental. De estos humedales se han caracterizado el 35% que corresponden a 377 humedales visitados y caracterizados a través de la aplicación de la “ficha de caracterización socio ambiental de humedales para el departamento del Huila", 26 de los cuales se caracterizaron en esta vigencia.  Del total de humedales caracterizados a la fecha, 14 se localizan en áreas urbanas, 77 se encuentran en jurisdicción de las áreas protegidas y los 286 restantes se localizan en las diferentes áreas rurales del departamento del Huila. </t>
  </si>
  <si>
    <t>Se atendieron 28 nuevos intereses o solicitudes de inscripción para dar inicio al proceso de registro de predios como Reservas Naturales de la Sociedad Civil logrando remitir con la totalidad de requisitos exigidos por PNNC para 2 predios los cuales son nuevas iniciativas de RNSC generadas para el año 2024; y  los predios restantes se encuentran en proceso de recopilación de información catastral por parte de los propietarios para evaluar la viabilidad de su registro.</t>
  </si>
  <si>
    <t xml:space="preserve">Con el fin de incrementar el conocimiento de la fauna en el territorio, se han llevado a cabo proceso de caracterización de flora y de tres grupos taxonómicos de fauna vertebrada (Ornitofauna, Herpetofauna e ictiofauna), en áreas estratégicas, que corresponden a Humedales, Bosque seco y complejos de Páramo.                          </t>
  </si>
  <si>
    <t xml:space="preserve">En el Plan de conservación de flora se ha realizado articulación comunitaria para la conservación, seguimiento y monitoreo de poblaciones de especies amenazadas, donde se ha participado en cinco jornadas a nuevas iniciativas. Asimismo, se logró acompañar al 70% de la totalidad de los grupos de monitoreo comunitario, 16 de los 23 grupos de monitoreo fueron apoyados durante este semestre a través del desarrollo de actividades de Fototrampeo, capacitación y análisis de datos, que permite fortalecer el monitoreo y conocimiento empírico de la comunidad que desarrolla el trabajo comunitario. 
En el Plan de conservación de especies de Fauna, se ha desarrollado acciones de participación comunitaria para fortalecer y capacitar el manejo de equipos especializados; así como también se ha reforzado en técnicas de muestreo de fauna silvestre. Las actividades desarrolladas corresponden a fototrampeo, articulación instituciones, educación ambiental y Caracterización de Fauna y Flora.  En cuanto al Plan de conservacion del Roble negro, se continúa realizado monitoreo y seguimiento a las parcelas establecidas, desarrollo de capacitaciones en educación ambiental y en control para el tráfico de esta especie. </t>
  </si>
  <si>
    <t xml:space="preserve"> TOTAL EJE 5 FORTALECIMIENTO INSTITUCIONAL Y EDUCACIÓN AMBIENTAL</t>
  </si>
  <si>
    <t>TOTALPROGRAMA PLANIFICACIÓN TERRITORIAL Y AMBIENTAL PARA UN DESARROLLO SOSTENIBLE</t>
  </si>
  <si>
    <t>Durante este año de gestión se enfocaron los esfuerzos técnicos hacia el establecimiento de listados preliminares de especies de flora y fauna introducidas, trasplantadas y/o invasoras o con potencial invasor en el departamento del Huila con información primaria y secundaria, desarrollando acciones de difusión de información, capacitación a entidades y comunidad, y acciones de manejo, seguimiento y control según la especie.  se ha avanzado en el conocimiento de la invasión y las afectaciones relacionadas a algunas especies de estos listados, y se han fortalecido las acciones de cara al control del caracol africano, el pez basa, el ojo de poeta entre otros, así como la revisión y atención del primer reporte de Retamo espinoso.</t>
  </si>
  <si>
    <t>De un total de 5.038  concesiones de aguas en corrientes hídricas reglamentadas por uso, a la fecha se han realizado 1.192 seguimientos a permisos de concesiones de agua superficial y corrientes reglamentadas.</t>
  </si>
  <si>
    <t xml:space="preserve">Se adelantó la gestión de documentos para consolidar el convenio entre la Corporación Autónoma Regional del Alto Magdalena y el Instituto de Hidrología, Meteorología y Estudios Ambientales IDEAM; convenio mediante el cual se realizan las mediciones en gran parte de las estaciones de seguimiento a objetivo de calidad de la Resolución en mención.
Por otra parte, se adelantó el proceso para la contratación del laboratorio que realiza los muestreos en estaciones no monitoreadas en el marco del Convenio CAM-IDEAM que complementan el seguimiento a estas 13 corrientes con objetivo de calidad general.
</t>
  </si>
  <si>
    <t xml:space="preserve">Con el Instituto de Hidrologia Meteorologia y Estudios Ambientales -IDEAM, se está gestionando consolidar el convenio interadministrativo 2024, con el objeto de aunar esfuerzos técnicos. humanos y económicos entre las dos entidades para mantener y validar el ajuste bajo los estándares del IDEAM de doce (12) estaciones de la red hidrológica departamental y dar continuidad al “programa de monitoreo de calidad y cantidad de aguas superficiales” de la CAM a través de dos (2) campañas de monitoreo en cuarenta y un (41) estaciones ubicadas en el río magdalena y sus principales afluentes. Se culmina la ejecución del Contrato No. 409 del 2023, que tenía por objeto: realizar el análisis especializado de laboratorio para los muestreos y/o contramuestreos en puntos de monitoreo del estado del agua establecidos en los planes de ordenamiento del recurso hídrico y demás puntos definidos por la Corporación Autónoma Regional del Alto Magdalena - CAM, como apoyo al ejercicio de autoridad ambiental en el marco de la política nacional para la gestión integral del recurso hídrico (PNGIRH).             </t>
  </si>
  <si>
    <t>Se suscribió el convenio 344 de 2024 "Aunar esfuerzos técnicos, administrativos y financieros para ejecutar el proyecto denominado “optimización colector en el barrio san isidro paralelo a la Quebrada Cuchayaco hasta el rio La Plata y construcción colector alcantarillado sanitario paralelo a la quebrada la Colorada desde la carrera 3e hasta el rio La Plata municipio de La Plata Huila”</t>
  </si>
  <si>
    <t>Se han asesorado 26 municipios: Acevedo, Agrado, Algeciras, Altamira, Campoalegre, Garzón, Gigante, Guadalupe, Hobo, Isnos, La Argentina, La Plata, Nátaga, Neiva, Paicol, Palermo, Palestina Pital, Pitalito, Rivera, Saladoblanco, San Agustín, Santa Maria, Suaza, Timaná y Villavieja.
Respecto de la asesorar a los entes territoriales en la incorporación del componente de Cambio Climático en los instrumentos de planificación se esta realizando el asesoramiento a los entes territoriales. Altamira, Rivera, Suaza, Iquira, Garzón, Aipe, Pitalito, Palestina, Hobo, Neiva, Acevedo, Isnos</t>
  </si>
  <si>
    <t>Se está adelantando el proceso de contratación en la modalidad de Concurso de Méritos No. CM-004-CAM-2024 cuyo objeto es “realizar los estudios para la formulación del Plan de Ordenamiento del Recurso Hídrico – PORH y la revisión y actualización de la reglamentación de los usos y aprovechamientos de las aguas de uso público del Río Fortalecillas y sus principales tributarios, que discurren en jurisdicción de los municipios de Tello y Neiva, en el departamento del Huila”, el cual se encuentra en la fase de pre-pliegos.</t>
  </si>
  <si>
    <t>Está en proceso precontractual la Consulta previa del DRMI Cerro Banderas Ojo Blanco</t>
  </si>
  <si>
    <t>Se desarrollan actividades de mantenimiento preventivo y correctivo (incluyendo suministro de equipos de repuesto, instalación y puesta en operación) para el correcto funcionamiento, y conectividad para la transmisión de datos de la red de estaciones de monitoreo hidrometeorológico de la Corporación</t>
  </si>
  <si>
    <t xml:space="preserve">Se adelanta proceso precontractual de los estudios de AVR.
Durante el primer semestre del año 2024, se prestó asistencia técnica a los municipios que afrontaron situaciones de desastre o emergencia por eventos de movimientos en masa, inundaciones y avenidas torrenciales como consecuencia de la primera temporada de lluvias del año, a través de 53 visitas técnicas especializadas en 18 municipios (Acevedo, Aipe, Altamira, Colombia, El Agrado, El Pital, Garzón, Gigante, La Argentina, La Plata, Nátaga, Neiva, Oporapa, Palestina, Pitalito, Rivera, Tesalia, Timaná). 
Realización de campañas de prevención de incendios forestales como consecuencia de la temporada seca y de El Fenómeno el Niño en los municipios de Garzón y Pitalito.
Se han desarrollo catorce (14) capacitaciones en temas de normatividad, prevención de incendios que afectan los recursos naturales, Fenómeno de El Niño y socialización de la Estrategia de Corresponsabilidad en Incendios Forestales expedida por el MADS; donde asistieron 240 personas de comunidades, cuerpos de bomberos, instituciones y los Consejos Municipales para la Gestión del Riesgo de Desastres, especialmente en zonas afectadas por este escenario de riesgo. Los municipios capacitados fueron: Hobo, Iquira, Neiva, Santa María, Teruel, Yaguará, Garzón, La Plata, Pitalito y San Agustín.
Se elaboraron las Circulares Informativas No. 001 y No. 002, sobre el Estado Actual de El Fenómeno de El Niño, Primera Temporada seca del año y primera temporada De Lluvias del Año y Recomendaciones, dirigidas a los Consejos Departamental y Municipales de Gestión del Riesgo de Desastres, del Departamento del Huila (SDGRDH).
En el primer semestre del año 2024, La Corporación Autónoma Regional del Alto Magdalena – CAM, apoyo al fortalecimiento de la capacidad operativa a los Consejos Municipales de Gestión del Riesgo de Desastres, a través de la entrega de dotación básica de Elementos y Equipos a 36 Cuerpos de Bomberos de los diferentes municipios del departamento del Huila (35 voluntarios y 01 oficial). </t>
  </si>
  <si>
    <t>En el PGAR no se tiene meta proyectada para esta vigencia</t>
  </si>
  <si>
    <t xml:space="preserve">Meta no proyectada por la Corporación para esta vigencia,  se dará cumplimiento en el año  2026 </t>
  </si>
  <si>
    <t>Meta no proyectada por la Corporación para esta vigencia,  se dará cumplimiento en el año  2025</t>
  </si>
  <si>
    <t>En el PGAR no se tiene meta proyectada para esta vigencia, sin embargo la Corporación la programó para el año 2025</t>
  </si>
  <si>
    <t>En el PGAR no se tiene meta proyectada para esta vigencia, sin embargo  la Corporación está ejecutando acciones en Gestión Ambiental Urbana como acompañamiento y asistencia técnica en la construcción y seguimiento a los planes de silvicultura urbana, redes y estaciones de monitoreo de aire en operación, participación en los comités técnicos de salud ambiental - COTSA, operativos de seguimiento, monitoreo y control a fuentes moviles, realizar la actualizacion de los mapas y planes de descontaminacion por rudio de Nieva y Pitalito y acciones para el seguimiento, control y asistencia tecnica a generadores de RESPEL y especiales.</t>
  </si>
  <si>
    <t>Se adelantó el proceso de contratación de apoyo logístico para el proyecto- Servicio de transporte</t>
  </si>
  <si>
    <t xml:space="preserve">Se adelantó el proceso de contratación No. 036 para la profesional de apoyo pueblos originarios y se atendieron  12 territorios  ancestrales:   Resguardo La Gabriela-Neiva, Huila Rio Negro-Iquira, Llano Buco-Nátaga, Lamus Cxhab Luucx-Suaza, El Rosal –Pitalito-Oporapa, Yacuas Palestina, Rumiyaco-Pitalito, Potrerito-La Plata, JuanTama-LaPlata, La Gaitana-La Plata, San Jóse-Isnos,  Yu´Luucx Pishau -La Argentina. </t>
  </si>
  <si>
    <t>Se llevó a cabo los procesos de contratación de los profesionales de educación ambiental para la DTN; DTS; DTC y DTO; así mismo los profesionales de apoyo para los SENDICAM- Neiva y Pitalito, profesional de música y muralismo; se adelantó el proceso de contratación de apoyo logístico ( Transporte y refrigerios) para el proyecto.</t>
  </si>
  <si>
    <t>Se llevó a cabo el proceso de contratación para el mantenimiento físico de los SENDICAM- Neiva y Pitalito al igual que el proceso de contratación de material vegetal para campañas educativas en el marco de la Semana Santa.
Durante el periodo de este informe se llevaron a cabo acciones de educación ambiental en  34 municipios del Huila.</t>
  </si>
  <si>
    <t>Se llevó a cabo los procesos de contratación de 3 profesionales de apoyo para los procesos de comunicaciones. Se adelanto la contratación de pautas comunicativas; Durante el periodo de este informe se llevaron a cabo acciones de educación ambiental en  34 municipios del Huila</t>
  </si>
  <si>
    <t>El Plan de Tecnologías de la Información y las Telecomunicaciones cuenta con un avance en las estrategias de operación, en tanto se formulaban las nuevas estrategias de transformación alineadas con el nuevo plan de acción, las cuales a corte de Junio 2024 cuenta con las siguientes iniciativas ejecutadas:
IO-001 Outsourcing TIC 
IO-002 Soporte Base de Datos Oracle 
IO-003 Soporte Software Geográfico Arcgis 
IO-004 Suministro de Repuestos</t>
  </si>
  <si>
    <t>Se llevó a cabo la contratación de personal necesario para el desarrollo de los planes de trabajo, de sistema integrado de gestión, gestión documental, servicio al ciudadano y control interno</t>
  </si>
  <si>
    <t>Corresponde al avance promedio de los planes de trabajo de sistema integrado de gestión, gestión documental, servicio al ciudadano y control interno</t>
  </si>
  <si>
    <t>Se adelanta el proceso contractual para adecuaciones locativas de la sede principal, así como estudios previos para la construcción de pedestales de figuras animatrónicas que se dispondran en los senderos ecologicos de las sedes: Pitalito y Garzón.</t>
  </si>
  <si>
    <t>Meta no proyectada por la Corporación</t>
  </si>
  <si>
    <t>Para el primer semestre del año 2024, la CAM ha llevado a cabo mediciones de PM10 en dos estaciones ubicadas en Neiva: "CAM Norte" y "Alcaldía de Neiva". Se realizaron un total de 60 mediciones en ambas estaciones con el propósito de evaluar la concentración de este contaminante y su efecto en la calidad del aire.
Durante el primer semestre de 2024,se realizaron 15 operativos en colaboración con la Policía Ambiental y de Carreteras, enfocados en la evaluación de fuentes móviles. Se realizaron un total de 21 mediciones en vehículos y 48 en motocicletas.</t>
  </si>
  <si>
    <t>Durante el periodo se resolvió con acto administrativo de fondo 1.466 denuncias de las cuales 151 terminaron en sanción y 1.315 con resolución de cesación de procedimiento o archivo por el cumplimiento de la amonestación, o no lograr determinar el presunto infractor.</t>
  </si>
  <si>
    <t>Durante el primer semestre de 2024, se logra realizar 1.020 seguimientos de verificación al cumplimiento de los compromisos ambientales establecidos en los actos administrativos que otorgaron el uso y aprovechamiento de los recursos naturales.</t>
  </si>
  <si>
    <t>La Corporación de manera coordinada con la fuerza pública, la Fiscalía General de la Nación y Fuerza Aérea, y el apoyo contundente de la comunidad en la conservacion de los recursos naturales, ha permitido dar a conocer mediante las denuncia a través de los canales de comunicación que tiene la CAM, permitiendo la atención oportuna al uso ilegal de la biodiversidad.  
La Corporación avanza en la implementación del Acuerdo Intersectorial por la Madera Legal en su fase 2.0 y en articulación con el Ministerio de Ambiente y Desarrollo Sostenible se socializó y concertó la agenda de trabajo a desarrollar en el marco del Proyecto de Consolidación de la Gobernanza Forestal en Colombia.
Durante la vigencia del 01 de enero al 30 de junio del año 2024 ingresaron en el Centro de Atención y Valoración - CAV Teruel y Hogares de Paso de Neiva y Pitalito 630 animales, como producto de decomisos y entregas voluntarias y rescates.</t>
  </si>
  <si>
    <t>Se destaca la participación de 18 empresas en la Feria de Maestros Artesanos realizada durante el mes de junio y julio, además, y como resultado de la articulación interinsticional, los negocios verdes han hecho presencia en un total de 23 espacios de promoción de sus productos y servicios.</t>
  </si>
  <si>
    <t xml:space="preserve">La Corporación es un aliado </t>
  </si>
  <si>
    <t>Aún no se tiene reporte del IDEAM pero la  Corporación está implementando acciones  en  reforestación de áreas para la recuperación de la cobertura protectora del recurso hidrico, como el recibimiento por parte de los Municipios de La Plata (42.246 ML) e Iquira (8.182 ML) y se está trabajando conjuntamente con la Gobernación del Huila y Empresa Forestal del Huila E.F.H. S.A (17.572 ML). Adicional se  planificó la contratación con la participación de una ESAL para aislamiento de áreas para la protección del recurso hídrico, que abastece acueductos veredales y/o municipales.</t>
  </si>
  <si>
    <t xml:space="preserve">El diseño de la estrategia se tiene contemplado en el PAC para la vigencia 2025, sin embargo la Corporación viene adelantando acciónes de conservación y recuperación de las áreas de bosque seco tropical. </t>
  </si>
  <si>
    <t>Se están desarrollando actividades de sensibilización, acompañamiento y seguimiento a beneiciarios de proyectos de hornillas ecoeficientes.
Se está coordinando con los municipios de Pitalito y Garzón para realizar acompañamiento en proceso de PSA.</t>
  </si>
  <si>
    <t xml:space="preserve">En el proyecto 320401 Gestion del conocimiento, se reporta la información disponible en los diferentes subsistemas. 
</t>
  </si>
  <si>
    <t>TOTAL
(En miles)</t>
  </si>
  <si>
    <t>EJECUCIÓN META FINANCIERA VIGENCIA 2024
(En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</si>
</sst>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
    <numFmt numFmtId="165" formatCode="&quot;$&quot;\ #,##0"/>
    <numFmt numFmtId="166" formatCode="0.0"/>
    <numFmt numFmtId="167" formatCode="0.000"/>
    <numFmt numFmtId="168" formatCode="0.0%"/>
  </numFmts>
  <fonts count="11" x14ac:knownFonts="1">
    <font>
      <sz val="12"/>
      <color theme="1"/>
      <name val="Calibri"/>
      <scheme val="minor"/>
    </font>
    <font>
      <sz val="11"/>
      <color theme="1"/>
      <name val="Arial"/>
      <family val="2"/>
    </font>
    <font>
      <sz val="12"/>
      <color theme="1"/>
      <name val="Calibri"/>
      <family val="2"/>
      <scheme val="minor"/>
    </font>
    <font>
      <b/>
      <sz val="11"/>
      <color theme="1"/>
      <name val="Arial"/>
      <family val="2"/>
    </font>
    <font>
      <b/>
      <sz val="11"/>
      <color theme="0"/>
      <name val="Arial"/>
      <family val="2"/>
    </font>
    <font>
      <sz val="11"/>
      <name val="Arial"/>
      <family val="2"/>
    </font>
    <font>
      <sz val="11"/>
      <color rgb="FFFF0000"/>
      <name val="Arial"/>
      <family val="2"/>
    </font>
    <font>
      <sz val="11"/>
      <color rgb="FF1E4E79"/>
      <name val="Arial"/>
      <family val="2"/>
    </font>
    <font>
      <b/>
      <sz val="11"/>
      <name val="Arial"/>
      <family val="2"/>
    </font>
    <font>
      <sz val="10"/>
      <name val="Arial Narrow"/>
      <family val="2"/>
    </font>
    <font>
      <sz val="11"/>
      <color theme="0"/>
      <name val="Arial"/>
      <family val="2"/>
    </font>
  </fonts>
  <fills count="10">
    <fill>
      <patternFill patternType="none"/>
    </fill>
    <fill>
      <patternFill patternType="gray125"/>
    </fill>
    <fill>
      <patternFill patternType="solid">
        <fgColor theme="0"/>
        <bgColor theme="0"/>
      </patternFill>
    </fill>
    <fill>
      <patternFill patternType="solid">
        <fgColor rgb="FF92D050"/>
        <bgColor indexed="64"/>
      </patternFill>
    </fill>
    <fill>
      <patternFill patternType="solid">
        <fgColor theme="9" tint="-0.249977111117893"/>
        <bgColor indexed="64"/>
      </patternFill>
    </fill>
    <fill>
      <patternFill patternType="solid">
        <fgColor theme="9" tint="-0.249977111117893"/>
        <bgColor rgb="FF70AD47"/>
      </patternFill>
    </fill>
    <fill>
      <patternFill patternType="solid">
        <fgColor theme="9" tint="-0.249977111117893"/>
        <bgColor rgb="FFFFFF99"/>
      </patternFill>
    </fill>
    <fill>
      <patternFill patternType="solid">
        <fgColor theme="9" tint="-0.249977111117893"/>
        <bgColor rgb="FFFF99CC"/>
      </patternFill>
    </fill>
    <fill>
      <patternFill patternType="solid">
        <fgColor theme="0"/>
        <bgColor indexed="64"/>
      </patternFill>
    </fill>
    <fill>
      <patternFill patternType="solid">
        <fgColor theme="9" tint="-0.499984740745262"/>
        <bgColor indexed="64"/>
      </patternFill>
    </fill>
  </fills>
  <borders count="10">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2" fillId="0" borderId="0" applyFont="0" applyFill="0" applyBorder="0" applyAlignment="0" applyProtection="0"/>
  </cellStyleXfs>
  <cellXfs count="125">
    <xf numFmtId="0" fontId="0" fillId="0" borderId="0" xfId="0"/>
    <xf numFmtId="0" fontId="1" fillId="0" borderId="0" xfId="0" applyFont="1"/>
    <xf numFmtId="0" fontId="1" fillId="0" borderId="0" xfId="0" applyFont="1" applyAlignment="1">
      <alignment wrapText="1"/>
    </xf>
    <xf numFmtId="0" fontId="5" fillId="0" borderId="2" xfId="0" applyFont="1" applyBorder="1" applyAlignment="1">
      <alignment wrapText="1"/>
    </xf>
    <xf numFmtId="0" fontId="1" fillId="0" borderId="1" xfId="0" applyFont="1" applyBorder="1"/>
    <xf numFmtId="0" fontId="4" fillId="5"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1"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3" fontId="5" fillId="0" borderId="2" xfId="0" applyNumberFormat="1" applyFont="1" applyBorder="1" applyAlignment="1">
      <alignment vertical="center" wrapText="1"/>
    </xf>
    <xf numFmtId="1" fontId="1" fillId="0" borderId="2" xfId="0" applyNumberFormat="1" applyFont="1" applyBorder="1" applyAlignment="1">
      <alignment horizontal="center" vertical="center" wrapText="1"/>
    </xf>
    <xf numFmtId="9" fontId="1" fillId="2" borderId="2" xfId="0" applyNumberFormat="1" applyFont="1" applyFill="1" applyBorder="1" applyAlignment="1">
      <alignment horizontal="center" vertical="center" wrapText="1"/>
    </xf>
    <xf numFmtId="166" fontId="5" fillId="0" borderId="2" xfId="0" applyNumberFormat="1" applyFont="1" applyBorder="1" applyAlignment="1">
      <alignment horizontal="center" vertical="center" wrapText="1"/>
    </xf>
    <xf numFmtId="0" fontId="1" fillId="0" borderId="2" xfId="0" applyFont="1" applyBorder="1" applyAlignment="1">
      <alignment wrapText="1"/>
    </xf>
    <xf numFmtId="164" fontId="1" fillId="0" borderId="2" xfId="0" applyNumberFormat="1" applyFont="1" applyBorder="1" applyAlignment="1">
      <alignment horizontal="center" vertical="center" wrapText="1"/>
    </xf>
    <xf numFmtId="0" fontId="3" fillId="0" borderId="0" xfId="0" applyFont="1"/>
    <xf numFmtId="0" fontId="1" fillId="0" borderId="2" xfId="0" applyFont="1" applyBorder="1" applyAlignment="1">
      <alignment vertical="top" wrapText="1"/>
    </xf>
    <xf numFmtId="9" fontId="1" fillId="0" borderId="2"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9" fontId="5" fillId="0" borderId="2" xfId="0" applyNumberFormat="1" applyFont="1" applyBorder="1" applyAlignment="1">
      <alignment horizontal="center" vertical="center"/>
    </xf>
    <xf numFmtId="0" fontId="6" fillId="0" borderId="0" xfId="0" applyFont="1"/>
    <xf numFmtId="0" fontId="1" fillId="0" borderId="2" xfId="0" applyFont="1" applyBorder="1"/>
    <xf numFmtId="0" fontId="4" fillId="0" borderId="2" xfId="0" applyFont="1" applyBorder="1" applyAlignment="1">
      <alignment horizontal="center" vertical="center" wrapText="1"/>
    </xf>
    <xf numFmtId="9" fontId="5" fillId="0" borderId="2" xfId="1" applyFont="1" applyFill="1" applyBorder="1" applyAlignment="1">
      <alignment horizontal="center" vertical="center" wrapText="1"/>
    </xf>
    <xf numFmtId="9" fontId="5" fillId="0" borderId="2" xfId="1" applyFont="1" applyFill="1" applyBorder="1" applyAlignment="1">
      <alignment horizontal="center" vertical="center"/>
    </xf>
    <xf numFmtId="2" fontId="5" fillId="0" borderId="2" xfId="0" applyNumberFormat="1" applyFont="1" applyBorder="1" applyAlignment="1">
      <alignment horizontal="center" vertical="center" wrapText="1"/>
    </xf>
    <xf numFmtId="3" fontId="1" fillId="2" borderId="2" xfId="0" applyNumberFormat="1" applyFont="1" applyFill="1" applyBorder="1" applyAlignment="1">
      <alignment horizontal="center" vertical="center" wrapText="1"/>
    </xf>
    <xf numFmtId="165" fontId="4" fillId="4" borderId="2" xfId="0" applyNumberFormat="1" applyFont="1" applyFill="1" applyBorder="1" applyAlignment="1">
      <alignment vertical="center"/>
    </xf>
    <xf numFmtId="165" fontId="1" fillId="0" borderId="0" xfId="0" applyNumberFormat="1" applyFont="1" applyAlignment="1">
      <alignment horizontal="center" vertical="center"/>
    </xf>
    <xf numFmtId="0" fontId="4" fillId="6"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1" fontId="5" fillId="0" borderId="2" xfId="0" applyNumberFormat="1" applyFont="1" applyBorder="1" applyAlignment="1">
      <alignment horizontal="center" vertical="center"/>
    </xf>
    <xf numFmtId="9" fontId="8" fillId="3" borderId="2" xfId="1" applyFont="1" applyFill="1" applyBorder="1" applyAlignment="1">
      <alignment horizontal="center" vertical="center"/>
    </xf>
    <xf numFmtId="165" fontId="3" fillId="3" borderId="2" xfId="0" applyNumberFormat="1" applyFont="1" applyFill="1" applyBorder="1" applyAlignment="1">
      <alignment horizontal="center" vertical="center"/>
    </xf>
    <xf numFmtId="9" fontId="3" fillId="3" borderId="2" xfId="1" applyFont="1" applyFill="1" applyBorder="1" applyAlignment="1">
      <alignment horizontal="center" vertical="center"/>
    </xf>
    <xf numFmtId="9" fontId="3" fillId="3" borderId="2" xfId="0" applyNumberFormat="1" applyFont="1" applyFill="1" applyBorder="1" applyAlignment="1">
      <alignment horizontal="center" vertical="center"/>
    </xf>
    <xf numFmtId="0" fontId="3" fillId="3" borderId="2" xfId="0" applyFont="1" applyFill="1" applyBorder="1" applyAlignment="1">
      <alignment vertical="center" wrapText="1"/>
    </xf>
    <xf numFmtId="165" fontId="3" fillId="3" borderId="2" xfId="0" applyNumberFormat="1" applyFont="1" applyFill="1" applyBorder="1" applyAlignment="1">
      <alignment vertical="center" wrapText="1"/>
    </xf>
    <xf numFmtId="9" fontId="5" fillId="2" borderId="2" xfId="0" applyNumberFormat="1" applyFont="1" applyFill="1" applyBorder="1" applyAlignment="1">
      <alignment horizontal="center" vertical="center" wrapText="1"/>
    </xf>
    <xf numFmtId="165" fontId="4" fillId="4" borderId="2" xfId="0" applyNumberFormat="1" applyFont="1" applyFill="1" applyBorder="1" applyAlignment="1">
      <alignment horizontal="center" vertical="center"/>
    </xf>
    <xf numFmtId="10" fontId="3" fillId="3" borderId="2" xfId="0" applyNumberFormat="1" applyFont="1" applyFill="1" applyBorder="1" applyAlignment="1">
      <alignment horizontal="center" vertical="center"/>
    </xf>
    <xf numFmtId="0" fontId="5" fillId="0" borderId="2" xfId="0" applyFont="1" applyBorder="1"/>
    <xf numFmtId="0" fontId="4" fillId="4" borderId="5" xfId="0" applyFont="1" applyFill="1" applyBorder="1" applyAlignment="1">
      <alignment vertical="center" wrapText="1"/>
    </xf>
    <xf numFmtId="0" fontId="5" fillId="2" borderId="2" xfId="0" applyFont="1" applyFill="1" applyBorder="1" applyAlignment="1">
      <alignment horizontal="center" vertical="center" wrapText="1"/>
    </xf>
    <xf numFmtId="0" fontId="5" fillId="0" borderId="0" xfId="0" applyFont="1"/>
    <xf numFmtId="0" fontId="9" fillId="2" borderId="9" xfId="0" applyFont="1" applyFill="1" applyBorder="1" applyAlignment="1">
      <alignment horizontal="justify" vertical="top" wrapText="1"/>
    </xf>
    <xf numFmtId="10" fontId="3" fillId="3" borderId="2" xfId="1" applyNumberFormat="1" applyFont="1" applyFill="1" applyBorder="1" applyAlignment="1">
      <alignment horizontal="center" vertical="center"/>
    </xf>
    <xf numFmtId="0" fontId="1" fillId="0" borderId="2" xfId="0" applyFont="1" applyBorder="1" applyAlignment="1">
      <alignment horizontal="center" vertical="center"/>
    </xf>
    <xf numFmtId="167" fontId="5" fillId="0" borderId="2" xfId="0" applyNumberFormat="1" applyFont="1" applyBorder="1" applyAlignment="1">
      <alignment horizontal="center" vertical="center"/>
    </xf>
    <xf numFmtId="3" fontId="9" fillId="8" borderId="9" xfId="0" applyNumberFormat="1" applyFont="1" applyFill="1" applyBorder="1" applyAlignment="1">
      <alignment horizontal="justify" vertical="top" wrapText="1"/>
    </xf>
    <xf numFmtId="0" fontId="1" fillId="0" borderId="2" xfId="0" applyFont="1" applyBorder="1" applyAlignment="1">
      <alignment horizontal="justify" vertical="center" wrapText="1"/>
    </xf>
    <xf numFmtId="0" fontId="1" fillId="2" borderId="2" xfId="0" applyFont="1" applyFill="1" applyBorder="1" applyAlignment="1">
      <alignment horizontal="justify" vertical="center" wrapText="1"/>
    </xf>
    <xf numFmtId="0" fontId="5"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2" borderId="3" xfId="0" applyFont="1" applyFill="1" applyBorder="1" applyAlignment="1">
      <alignment horizontal="justify" vertical="center" wrapText="1"/>
    </xf>
    <xf numFmtId="0" fontId="1" fillId="0" borderId="0" xfId="0" applyFont="1" applyAlignment="1">
      <alignment horizontal="justify"/>
    </xf>
    <xf numFmtId="0" fontId="1" fillId="2" borderId="2" xfId="0" applyFont="1" applyFill="1" applyBorder="1" applyAlignment="1">
      <alignment horizontal="justify" vertical="top" wrapText="1"/>
    </xf>
    <xf numFmtId="0" fontId="1" fillId="0" borderId="2" xfId="0" applyFont="1" applyBorder="1" applyAlignment="1">
      <alignment horizontal="justify" vertical="top" wrapText="1"/>
    </xf>
    <xf numFmtId="9" fontId="5" fillId="0" borderId="2" xfId="1" applyFont="1" applyFill="1" applyBorder="1" applyAlignment="1">
      <alignment horizontal="justify" vertical="center" wrapText="1"/>
    </xf>
    <xf numFmtId="9" fontId="8" fillId="3" borderId="2" xfId="1" applyFont="1" applyFill="1" applyBorder="1" applyAlignment="1">
      <alignment horizontal="justify" vertical="center"/>
    </xf>
    <xf numFmtId="2" fontId="5" fillId="0" borderId="2" xfId="1" applyNumberFormat="1" applyFont="1" applyFill="1" applyBorder="1" applyAlignment="1">
      <alignment horizontal="justify" vertical="center" wrapText="1"/>
    </xf>
    <xf numFmtId="9" fontId="5" fillId="3" borderId="2" xfId="1" applyFont="1" applyFill="1" applyBorder="1" applyAlignment="1">
      <alignment horizontal="justify" vertical="center"/>
    </xf>
    <xf numFmtId="9" fontId="5" fillId="0" borderId="2" xfId="1" applyFont="1" applyFill="1" applyBorder="1" applyAlignment="1">
      <alignment horizontal="justify" vertical="top" wrapText="1"/>
    </xf>
    <xf numFmtId="0" fontId="1" fillId="0" borderId="0" xfId="0" applyFont="1" applyAlignment="1">
      <alignment horizontal="justify" wrapText="1"/>
    </xf>
    <xf numFmtId="0" fontId="4" fillId="4" borderId="7" xfId="0" applyFont="1" applyFill="1" applyBorder="1" applyAlignment="1">
      <alignment horizontal="justify" vertical="center" wrapText="1"/>
    </xf>
    <xf numFmtId="0" fontId="8" fillId="3" borderId="2" xfId="0" applyFont="1" applyFill="1" applyBorder="1"/>
    <xf numFmtId="0" fontId="8" fillId="3" borderId="2" xfId="0" applyFont="1" applyFill="1" applyBorder="1" applyAlignment="1">
      <alignment vertical="center"/>
    </xf>
    <xf numFmtId="3" fontId="8" fillId="3" borderId="2" xfId="0" applyNumberFormat="1" applyFont="1" applyFill="1" applyBorder="1"/>
    <xf numFmtId="165" fontId="8" fillId="4" borderId="2" xfId="0" applyNumberFormat="1" applyFont="1" applyFill="1" applyBorder="1" applyAlignment="1">
      <alignment horizontal="center" vertical="center"/>
    </xf>
    <xf numFmtId="9" fontId="4" fillId="4" borderId="2" xfId="0" applyNumberFormat="1" applyFont="1" applyFill="1" applyBorder="1" applyAlignment="1">
      <alignment horizontal="center" vertical="center" wrapText="1"/>
    </xf>
    <xf numFmtId="168" fontId="8" fillId="3" borderId="2" xfId="1" applyNumberFormat="1" applyFont="1" applyFill="1" applyBorder="1" applyAlignment="1">
      <alignment horizontal="center" vertical="center"/>
    </xf>
    <xf numFmtId="10" fontId="4" fillId="4" borderId="2" xfId="1" applyNumberFormat="1" applyFont="1" applyFill="1" applyBorder="1" applyAlignment="1">
      <alignment horizontal="center" vertical="center"/>
    </xf>
    <xf numFmtId="165" fontId="4" fillId="9" borderId="2" xfId="0" applyNumberFormat="1" applyFont="1" applyFill="1" applyBorder="1" applyAlignment="1">
      <alignment vertical="center"/>
    </xf>
    <xf numFmtId="9" fontId="4" fillId="9" borderId="2" xfId="1" applyFont="1" applyFill="1" applyBorder="1" applyAlignment="1">
      <alignment horizontal="center" vertical="center"/>
    </xf>
    <xf numFmtId="9" fontId="10" fillId="9" borderId="2" xfId="1" applyFont="1" applyFill="1" applyBorder="1" applyAlignment="1">
      <alignment horizontal="justify" vertical="center"/>
    </xf>
    <xf numFmtId="0" fontId="4" fillId="9" borderId="2" xfId="0" applyFont="1" applyFill="1" applyBorder="1"/>
    <xf numFmtId="165" fontId="4" fillId="9" borderId="2" xfId="0" applyNumberFormat="1" applyFont="1" applyFill="1" applyBorder="1" applyAlignment="1">
      <alignment horizontal="center" vertical="center"/>
    </xf>
    <xf numFmtId="9" fontId="4" fillId="9" borderId="2" xfId="1" applyFont="1" applyFill="1" applyBorder="1" applyAlignment="1">
      <alignment horizontal="justify" vertical="center"/>
    </xf>
    <xf numFmtId="9" fontId="5" fillId="0" borderId="2" xfId="1" applyFont="1" applyFill="1" applyBorder="1" applyAlignment="1">
      <alignment horizontal="justify" vertical="center"/>
    </xf>
    <xf numFmtId="9" fontId="1" fillId="0" borderId="2" xfId="1" applyFont="1" applyBorder="1" applyAlignment="1">
      <alignment horizontal="center" vertical="center" wrapText="1"/>
    </xf>
    <xf numFmtId="165"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9" fontId="1" fillId="0" borderId="2" xfId="1" applyFont="1" applyFill="1" applyBorder="1" applyAlignment="1">
      <alignment horizontal="center" vertical="center" wrapText="1"/>
    </xf>
    <xf numFmtId="10" fontId="1" fillId="0" borderId="2" xfId="1"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10" fontId="1" fillId="0" borderId="2" xfId="1" applyNumberFormat="1" applyFont="1" applyBorder="1" applyAlignment="1">
      <alignment horizontal="center" vertical="center"/>
    </xf>
    <xf numFmtId="0" fontId="4" fillId="7"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5" fillId="4" borderId="2" xfId="0" applyFont="1" applyFill="1" applyBorder="1"/>
    <xf numFmtId="0" fontId="4" fillId="4" borderId="2" xfId="0" applyFont="1" applyFill="1" applyBorder="1" applyAlignment="1">
      <alignment horizontal="center" vertical="center"/>
    </xf>
    <xf numFmtId="0" fontId="5" fillId="4" borderId="2" xfId="0" applyFont="1" applyFill="1" applyBorder="1" applyAlignment="1">
      <alignment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9" fontId="5" fillId="0" borderId="3" xfId="1" applyFont="1" applyFill="1" applyBorder="1" applyAlignment="1">
      <alignment horizontal="center" vertical="center"/>
    </xf>
    <xf numFmtId="9" fontId="5" fillId="0" borderId="4" xfId="1" applyFont="1" applyFill="1" applyBorder="1" applyAlignment="1">
      <alignment horizontal="center" vertical="center"/>
    </xf>
    <xf numFmtId="0" fontId="4" fillId="4" borderId="6"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7" xfId="0" applyFont="1" applyFill="1" applyBorder="1" applyAlignment="1">
      <alignment horizontal="center" vertical="center"/>
    </xf>
    <xf numFmtId="9" fontId="5" fillId="0" borderId="3" xfId="1" applyFont="1" applyFill="1" applyBorder="1" applyAlignment="1">
      <alignment horizontal="justify" vertical="top" wrapText="1"/>
    </xf>
    <xf numFmtId="9" fontId="5" fillId="0" borderId="4" xfId="1" applyFont="1" applyFill="1" applyBorder="1" applyAlignment="1">
      <alignment horizontal="justify" vertical="top" wrapText="1"/>
    </xf>
    <xf numFmtId="3" fontId="5" fillId="0" borderId="3" xfId="0" applyNumberFormat="1" applyFont="1" applyBorder="1" applyAlignment="1">
      <alignment horizontal="right" vertical="center" wrapText="1"/>
    </xf>
    <xf numFmtId="3" fontId="5" fillId="0" borderId="4" xfId="0" applyNumberFormat="1" applyFont="1" applyBorder="1" applyAlignment="1">
      <alignment horizontal="right" vertical="center" wrapText="1"/>
    </xf>
    <xf numFmtId="0" fontId="4" fillId="9" borderId="2" xfId="0" applyFont="1" applyFill="1" applyBorder="1" applyAlignment="1">
      <alignment horizontal="center" vertical="center"/>
    </xf>
    <xf numFmtId="0" fontId="1" fillId="0" borderId="2" xfId="0" applyFont="1" applyBorder="1" applyAlignment="1">
      <alignment horizontal="justify" vertical="center" wrapText="1"/>
    </xf>
    <xf numFmtId="0" fontId="5" fillId="0" borderId="2" xfId="0" applyFont="1" applyBorder="1" applyAlignment="1">
      <alignment horizontal="justify"/>
    </xf>
    <xf numFmtId="0" fontId="5" fillId="4" borderId="2" xfId="0" applyFont="1" applyFill="1" applyBorder="1" applyAlignment="1">
      <alignment horizontal="center"/>
    </xf>
    <xf numFmtId="0" fontId="1" fillId="0" borderId="2" xfId="0" applyFont="1" applyFill="1" applyBorder="1" applyAlignment="1">
      <alignment horizontal="center" vertical="center" wrapText="1"/>
    </xf>
    <xf numFmtId="165" fontId="5" fillId="0" borderId="2" xfId="0" applyNumberFormat="1" applyFont="1" applyBorder="1" applyAlignment="1">
      <alignment horizontal="center" vertical="center"/>
    </xf>
    <xf numFmtId="9" fontId="5" fillId="0" borderId="2" xfId="1" applyFont="1" applyBorder="1" applyAlignment="1">
      <alignment horizontal="center"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2" Type="http://schemas.openxmlformats.org/officeDocument/2006/relationships/styles" Target="styles.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CECEC"/>
  </sheetPr>
  <dimension ref="A1:W990"/>
  <sheetViews>
    <sheetView tabSelected="1" zoomScale="60" zoomScaleNormal="60" workbookViewId="0">
      <pane xSplit="6" ySplit="3" topLeftCell="O4" activePane="bottomRight" state="frozen"/>
      <selection activeCell="R1" sqref="R1"/>
      <selection pane="topRight" activeCell="S1" sqref="S1"/>
      <selection pane="bottomLeft" activeCell="R4" sqref="R4"/>
      <selection pane="bottomRight" activeCell="O1" sqref="O1:T1"/>
    </sheetView>
  </sheetViews>
  <sheetFormatPr baseColWidth="10" defaultColWidth="11.1640625" defaultRowHeight="15" customHeight="1" x14ac:dyDescent="0.3"/>
  <cols>
    <col min="1" max="1" width="13.58203125" style="1" customWidth="1"/>
    <col min="2" max="2" width="11.1640625" style="1" customWidth="1"/>
    <col min="3" max="3" width="17.33203125" style="1" customWidth="1"/>
    <col min="4" max="4" width="17.6640625" style="1" bestFit="1" customWidth="1"/>
    <col min="5" max="5" width="21.1640625" style="2" customWidth="1"/>
    <col min="6" max="6" width="31.5" style="58" customWidth="1"/>
    <col min="7" max="7" width="11" style="1" customWidth="1"/>
    <col min="8" max="8" width="7.6640625" style="1" customWidth="1"/>
    <col min="9" max="9" width="7.1640625" style="1" customWidth="1"/>
    <col min="10" max="10" width="23.1640625" style="58" customWidth="1"/>
    <col min="11" max="11" width="8.6640625" style="47" customWidth="1"/>
    <col min="12" max="12" width="13.1640625" style="1" customWidth="1"/>
    <col min="13" max="13" width="18.25" style="1" customWidth="1"/>
    <col min="14" max="14" width="17.33203125" style="1" customWidth="1"/>
    <col min="15" max="15" width="20" style="1" customWidth="1"/>
    <col min="16" max="16" width="17.6640625" style="1" customWidth="1"/>
    <col min="17" max="17" width="50.1640625" style="58" customWidth="1"/>
    <col min="18" max="18" width="17.33203125" style="47" customWidth="1"/>
    <col min="19" max="19" width="18.6640625" style="31" customWidth="1"/>
    <col min="20" max="20" width="12.83203125" style="1" customWidth="1"/>
    <col min="21" max="23" width="11" style="1" customWidth="1"/>
    <col min="24" max="16384" width="11.1640625" style="1"/>
  </cols>
  <sheetData>
    <row r="1" spans="1:20" s="4" customFormat="1" ht="36" customHeight="1" x14ac:dyDescent="0.3">
      <c r="A1" s="98" t="s">
        <v>203</v>
      </c>
      <c r="B1" s="98"/>
      <c r="C1" s="98"/>
      <c r="D1" s="98"/>
      <c r="E1" s="98"/>
      <c r="F1" s="98"/>
      <c r="G1" s="98"/>
      <c r="H1" s="98"/>
      <c r="I1" s="98"/>
      <c r="J1" s="98"/>
      <c r="K1" s="98"/>
      <c r="L1" s="98"/>
      <c r="M1" s="98"/>
      <c r="N1" s="98"/>
      <c r="O1" s="106" t="s">
        <v>213</v>
      </c>
      <c r="P1" s="107"/>
      <c r="Q1" s="107"/>
      <c r="R1" s="107"/>
      <c r="S1" s="107"/>
      <c r="T1" s="108"/>
    </row>
    <row r="2" spans="1:20" ht="35" customHeight="1" x14ac:dyDescent="0.3">
      <c r="A2" s="96" t="s">
        <v>6</v>
      </c>
      <c r="B2" s="96" t="s">
        <v>4</v>
      </c>
      <c r="C2" s="96" t="s">
        <v>9</v>
      </c>
      <c r="D2" s="124" t="s">
        <v>285</v>
      </c>
      <c r="E2" s="96" t="s">
        <v>8</v>
      </c>
      <c r="F2" s="96" t="s">
        <v>5</v>
      </c>
      <c r="G2" s="96" t="s">
        <v>207</v>
      </c>
      <c r="H2" s="96" t="s">
        <v>208</v>
      </c>
      <c r="I2" s="97"/>
      <c r="J2" s="96" t="s">
        <v>209</v>
      </c>
      <c r="K2" s="96" t="s">
        <v>239</v>
      </c>
      <c r="L2" s="96" t="s">
        <v>210</v>
      </c>
      <c r="M2" s="96" t="s">
        <v>211</v>
      </c>
      <c r="N2" s="97"/>
      <c r="O2" s="95" t="s">
        <v>232</v>
      </c>
      <c r="P2" s="95"/>
      <c r="Q2" s="95"/>
      <c r="R2" s="95" t="s">
        <v>286</v>
      </c>
      <c r="S2" s="95"/>
      <c r="T2" s="95"/>
    </row>
    <row r="3" spans="1:20" ht="49" customHeight="1" x14ac:dyDescent="0.3">
      <c r="A3" s="97"/>
      <c r="B3" s="97"/>
      <c r="C3" s="97"/>
      <c r="D3" s="123"/>
      <c r="E3" s="99"/>
      <c r="F3" s="119"/>
      <c r="G3" s="97"/>
      <c r="H3" s="97"/>
      <c r="I3" s="97"/>
      <c r="J3" s="119"/>
      <c r="K3" s="96"/>
      <c r="L3" s="97"/>
      <c r="M3" s="5" t="s">
        <v>12</v>
      </c>
      <c r="N3" s="5" t="s">
        <v>13</v>
      </c>
      <c r="O3" s="32" t="s">
        <v>212</v>
      </c>
      <c r="P3" s="33" t="s">
        <v>237</v>
      </c>
      <c r="Q3" s="33" t="s">
        <v>233</v>
      </c>
      <c r="R3" s="33" t="s">
        <v>229</v>
      </c>
      <c r="S3" s="33" t="s">
        <v>230</v>
      </c>
      <c r="T3" s="33" t="s">
        <v>231</v>
      </c>
    </row>
    <row r="4" spans="1:20" ht="70.5" customHeight="1" x14ac:dyDescent="0.3">
      <c r="A4" s="84" t="s">
        <v>0</v>
      </c>
      <c r="B4" s="84" t="s">
        <v>7</v>
      </c>
      <c r="C4" s="84" t="s">
        <v>10</v>
      </c>
      <c r="D4" s="83">
        <v>4605206.4728627466</v>
      </c>
      <c r="E4" s="7"/>
      <c r="F4" s="53" t="s">
        <v>14</v>
      </c>
      <c r="G4" s="6" t="s">
        <v>15</v>
      </c>
      <c r="H4" s="6">
        <v>0</v>
      </c>
      <c r="I4" s="6">
        <v>0</v>
      </c>
      <c r="J4" s="54" t="s">
        <v>16</v>
      </c>
      <c r="K4" s="46">
        <v>1</v>
      </c>
      <c r="L4" s="9" t="s">
        <v>17</v>
      </c>
      <c r="M4" s="6" t="s">
        <v>18</v>
      </c>
      <c r="N4" s="6" t="s">
        <v>19</v>
      </c>
      <c r="O4" s="24"/>
      <c r="P4" s="27"/>
      <c r="Q4" s="61" t="s">
        <v>280</v>
      </c>
      <c r="R4" s="44"/>
      <c r="S4" s="83">
        <f>+R4+R5+R6+R7+R8+R9</f>
        <v>1515388</v>
      </c>
      <c r="T4" s="91">
        <f>+S4/D4</f>
        <v>0.32905973031389085</v>
      </c>
    </row>
    <row r="5" spans="1:20" ht="96" customHeight="1" x14ac:dyDescent="0.3">
      <c r="A5" s="84"/>
      <c r="B5" s="84"/>
      <c r="C5" s="84"/>
      <c r="D5" s="83"/>
      <c r="E5" s="7" t="s">
        <v>214</v>
      </c>
      <c r="F5" s="54" t="s">
        <v>20</v>
      </c>
      <c r="G5" s="6" t="s">
        <v>15</v>
      </c>
      <c r="H5" s="6">
        <v>6</v>
      </c>
      <c r="I5" s="9">
        <v>2022</v>
      </c>
      <c r="J5" s="54" t="s">
        <v>21</v>
      </c>
      <c r="K5" s="46">
        <v>9</v>
      </c>
      <c r="L5" s="9" t="s">
        <v>22</v>
      </c>
      <c r="M5" s="6" t="s">
        <v>23</v>
      </c>
      <c r="N5" s="6" t="s">
        <v>24</v>
      </c>
      <c r="O5" s="11">
        <v>1</v>
      </c>
      <c r="P5" s="27">
        <f>+O5/K5</f>
        <v>0.1111111111111111</v>
      </c>
      <c r="Q5" s="61" t="s">
        <v>235</v>
      </c>
      <c r="R5" s="12">
        <v>61183</v>
      </c>
      <c r="S5" s="83"/>
      <c r="T5" s="91"/>
    </row>
    <row r="6" spans="1:20" ht="120.75" customHeight="1" x14ac:dyDescent="0.3">
      <c r="A6" s="84"/>
      <c r="B6" s="84"/>
      <c r="C6" s="84"/>
      <c r="D6" s="83"/>
      <c r="E6" s="7" t="s">
        <v>215</v>
      </c>
      <c r="F6" s="54" t="s">
        <v>25</v>
      </c>
      <c r="G6" s="6" t="s">
        <v>15</v>
      </c>
      <c r="H6" s="9">
        <v>6</v>
      </c>
      <c r="I6" s="9">
        <v>2022</v>
      </c>
      <c r="J6" s="54" t="s">
        <v>26</v>
      </c>
      <c r="K6" s="46">
        <v>12</v>
      </c>
      <c r="L6" s="9" t="s">
        <v>22</v>
      </c>
      <c r="M6" s="6" t="s">
        <v>27</v>
      </c>
      <c r="N6" s="6" t="s">
        <v>28</v>
      </c>
      <c r="O6" s="11">
        <v>0.8</v>
      </c>
      <c r="P6" s="27">
        <f>+O6/K6</f>
        <v>6.6666666666666666E-2</v>
      </c>
      <c r="Q6" s="61" t="s">
        <v>234</v>
      </c>
      <c r="R6" s="12">
        <v>1377110</v>
      </c>
      <c r="S6" s="83"/>
      <c r="T6" s="91"/>
    </row>
    <row r="7" spans="1:20" ht="90" customHeight="1" x14ac:dyDescent="0.3">
      <c r="A7" s="84"/>
      <c r="B7" s="84"/>
      <c r="C7" s="84"/>
      <c r="D7" s="83"/>
      <c r="E7" s="7" t="s">
        <v>215</v>
      </c>
      <c r="F7" s="117" t="s">
        <v>227</v>
      </c>
      <c r="G7" s="6" t="s">
        <v>29</v>
      </c>
      <c r="H7" s="6">
        <v>0</v>
      </c>
      <c r="I7" s="6">
        <v>2023</v>
      </c>
      <c r="J7" s="53" t="s">
        <v>30</v>
      </c>
      <c r="K7" s="10">
        <v>100</v>
      </c>
      <c r="L7" s="6" t="s">
        <v>31</v>
      </c>
      <c r="M7" s="6" t="s">
        <v>23</v>
      </c>
      <c r="N7" s="6" t="s">
        <v>32</v>
      </c>
      <c r="O7" s="11">
        <v>0</v>
      </c>
      <c r="P7" s="27">
        <f>+O7/K7</f>
        <v>0</v>
      </c>
      <c r="Q7" s="61" t="s">
        <v>234</v>
      </c>
      <c r="R7" s="12">
        <v>57847</v>
      </c>
      <c r="S7" s="83"/>
      <c r="T7" s="91"/>
    </row>
    <row r="8" spans="1:20" ht="103.5" customHeight="1" x14ac:dyDescent="0.3">
      <c r="A8" s="84"/>
      <c r="B8" s="84"/>
      <c r="C8" s="84"/>
      <c r="D8" s="83"/>
      <c r="E8" s="7" t="s">
        <v>216</v>
      </c>
      <c r="F8" s="118"/>
      <c r="G8" s="6" t="s">
        <v>15</v>
      </c>
      <c r="H8" s="6">
        <f>16+2+1+5</f>
        <v>24</v>
      </c>
      <c r="I8" s="6">
        <v>2022</v>
      </c>
      <c r="J8" s="53" t="s">
        <v>33</v>
      </c>
      <c r="K8" s="10">
        <v>60</v>
      </c>
      <c r="L8" s="6" t="s">
        <v>22</v>
      </c>
      <c r="M8" s="6" t="s">
        <v>23</v>
      </c>
      <c r="N8" s="6" t="s">
        <v>34</v>
      </c>
      <c r="O8" s="11">
        <v>1</v>
      </c>
      <c r="P8" s="27">
        <f>+O8/K8</f>
        <v>1.6666666666666666E-2</v>
      </c>
      <c r="Q8" s="61" t="s">
        <v>236</v>
      </c>
      <c r="R8" s="12"/>
      <c r="S8" s="83"/>
      <c r="T8" s="91"/>
    </row>
    <row r="9" spans="1:20" ht="91.5" customHeight="1" x14ac:dyDescent="0.3">
      <c r="A9" s="84"/>
      <c r="B9" s="84"/>
      <c r="C9" s="84"/>
      <c r="D9" s="83"/>
      <c r="E9" s="8"/>
      <c r="F9" s="54" t="s">
        <v>35</v>
      </c>
      <c r="G9" s="9" t="s">
        <v>29</v>
      </c>
      <c r="H9" s="6">
        <v>0</v>
      </c>
      <c r="I9" s="6"/>
      <c r="J9" s="54" t="s">
        <v>36</v>
      </c>
      <c r="K9" s="10">
        <v>100</v>
      </c>
      <c r="L9" s="6" t="s">
        <v>31</v>
      </c>
      <c r="M9" s="6" t="s">
        <v>23</v>
      </c>
      <c r="N9" s="6" t="s">
        <v>37</v>
      </c>
      <c r="O9" s="11">
        <v>0</v>
      </c>
      <c r="P9" s="27">
        <f>+O9/K9</f>
        <v>0</v>
      </c>
      <c r="Q9" s="61" t="s">
        <v>282</v>
      </c>
      <c r="R9" s="12">
        <v>19248</v>
      </c>
      <c r="S9" s="83"/>
      <c r="T9" s="91"/>
    </row>
    <row r="10" spans="1:20" ht="29" customHeight="1" x14ac:dyDescent="0.3">
      <c r="A10" s="84"/>
      <c r="B10" s="84"/>
      <c r="C10" s="39"/>
      <c r="D10" s="40">
        <f>+D4</f>
        <v>4605206.4728627466</v>
      </c>
      <c r="E10" s="93" t="s">
        <v>188</v>
      </c>
      <c r="F10" s="93"/>
      <c r="G10" s="93"/>
      <c r="H10" s="93"/>
      <c r="I10" s="93"/>
      <c r="J10" s="93"/>
      <c r="K10" s="93"/>
      <c r="L10" s="93"/>
      <c r="M10" s="93"/>
      <c r="N10" s="93"/>
      <c r="O10" s="93"/>
      <c r="P10" s="35">
        <f>+AVERAGE(P4:P9)</f>
        <v>3.8888888888888883E-2</v>
      </c>
      <c r="Q10" s="62"/>
      <c r="R10" s="68"/>
      <c r="S10" s="36">
        <f>+S4</f>
        <v>1515388</v>
      </c>
      <c r="T10" s="38">
        <f>+T4</f>
        <v>0.32905973031389085</v>
      </c>
    </row>
    <row r="11" spans="1:20" ht="76.5" customHeight="1" x14ac:dyDescent="0.3">
      <c r="A11" s="84"/>
      <c r="B11" s="84"/>
      <c r="C11" s="84" t="s">
        <v>38</v>
      </c>
      <c r="D11" s="83">
        <v>12019608.177922236</v>
      </c>
      <c r="E11" s="16" t="s">
        <v>217</v>
      </c>
      <c r="F11" s="53" t="s">
        <v>39</v>
      </c>
      <c r="G11" s="6" t="s">
        <v>15</v>
      </c>
      <c r="H11" s="13">
        <v>203</v>
      </c>
      <c r="I11" s="6">
        <v>2023</v>
      </c>
      <c r="J11" s="53" t="s">
        <v>40</v>
      </c>
      <c r="K11" s="10">
        <v>400</v>
      </c>
      <c r="L11" s="6" t="s">
        <v>22</v>
      </c>
      <c r="M11" s="6" t="s">
        <v>41</v>
      </c>
      <c r="N11" s="6" t="s">
        <v>23</v>
      </c>
      <c r="O11" s="34">
        <v>16</v>
      </c>
      <c r="P11" s="27">
        <f>+O11/197</f>
        <v>8.1218274111675121E-2</v>
      </c>
      <c r="Q11" s="61" t="s">
        <v>240</v>
      </c>
      <c r="R11" s="12">
        <v>700404</v>
      </c>
      <c r="S11" s="83">
        <f>+R11+R12+R13+R14+R15+R16+R17</f>
        <v>1025080</v>
      </c>
      <c r="T11" s="82">
        <f>+S11/D11</f>
        <v>8.5283978048708742E-2</v>
      </c>
    </row>
    <row r="12" spans="1:20" ht="84" customHeight="1" x14ac:dyDescent="0.3">
      <c r="A12" s="84"/>
      <c r="B12" s="84"/>
      <c r="C12" s="84"/>
      <c r="D12" s="83"/>
      <c r="E12" s="16" t="s">
        <v>205</v>
      </c>
      <c r="F12" s="53" t="s">
        <v>42</v>
      </c>
      <c r="G12" s="6" t="s">
        <v>43</v>
      </c>
      <c r="H12" s="17">
        <v>30500</v>
      </c>
      <c r="I12" s="6">
        <v>2023</v>
      </c>
      <c r="J12" s="53" t="s">
        <v>44</v>
      </c>
      <c r="K12" s="10">
        <v>15000</v>
      </c>
      <c r="L12" s="6" t="s">
        <v>31</v>
      </c>
      <c r="M12" s="6" t="s">
        <v>45</v>
      </c>
      <c r="N12" s="6"/>
      <c r="O12" s="11">
        <v>430</v>
      </c>
      <c r="P12" s="27">
        <f>+O12/K12</f>
        <v>2.8666666666666667E-2</v>
      </c>
      <c r="Q12" s="63" t="s">
        <v>238</v>
      </c>
      <c r="R12" s="12">
        <v>49951</v>
      </c>
      <c r="S12" s="83"/>
      <c r="T12" s="82"/>
    </row>
    <row r="13" spans="1:20" ht="61.5" customHeight="1" x14ac:dyDescent="0.3">
      <c r="A13" s="84"/>
      <c r="B13" s="84"/>
      <c r="C13" s="84"/>
      <c r="D13" s="83"/>
      <c r="E13" s="16" t="s">
        <v>217</v>
      </c>
      <c r="F13" s="53" t="s">
        <v>46</v>
      </c>
      <c r="G13" s="6" t="s">
        <v>29</v>
      </c>
      <c r="H13" s="13">
        <v>0</v>
      </c>
      <c r="I13" s="6">
        <v>2023</v>
      </c>
      <c r="J13" s="53" t="s">
        <v>47</v>
      </c>
      <c r="K13" s="10">
        <v>100</v>
      </c>
      <c r="L13" s="6" t="s">
        <v>31</v>
      </c>
      <c r="M13" s="6" t="s">
        <v>45</v>
      </c>
      <c r="N13" s="6"/>
      <c r="O13" s="11">
        <v>2</v>
      </c>
      <c r="P13" s="27">
        <f>+O13/K13</f>
        <v>0.02</v>
      </c>
      <c r="Q13" s="63" t="s">
        <v>241</v>
      </c>
      <c r="R13" s="12">
        <v>98934</v>
      </c>
      <c r="S13" s="83"/>
      <c r="T13" s="82"/>
    </row>
    <row r="14" spans="1:20" ht="91.5" customHeight="1" x14ac:dyDescent="0.3">
      <c r="A14" s="84"/>
      <c r="B14" s="84"/>
      <c r="C14" s="84"/>
      <c r="D14" s="83"/>
      <c r="E14" s="16" t="s">
        <v>217</v>
      </c>
      <c r="F14" s="53" t="s">
        <v>48</v>
      </c>
      <c r="G14" s="6" t="s">
        <v>29</v>
      </c>
      <c r="H14" s="13">
        <v>47</v>
      </c>
      <c r="I14" s="6">
        <v>2022</v>
      </c>
      <c r="J14" s="53" t="s">
        <v>49</v>
      </c>
      <c r="K14" s="10">
        <v>80</v>
      </c>
      <c r="L14" s="6" t="s">
        <v>22</v>
      </c>
      <c r="M14" s="6" t="s">
        <v>41</v>
      </c>
      <c r="N14" s="6" t="s">
        <v>23</v>
      </c>
      <c r="O14" s="11">
        <v>19</v>
      </c>
      <c r="P14" s="27">
        <f>+O14/K14</f>
        <v>0.23749999999999999</v>
      </c>
      <c r="Q14" s="63" t="s">
        <v>242</v>
      </c>
      <c r="R14" s="12">
        <v>49951</v>
      </c>
      <c r="S14" s="83"/>
      <c r="T14" s="82"/>
    </row>
    <row r="15" spans="1:20" ht="105" customHeight="1" x14ac:dyDescent="0.3">
      <c r="A15" s="84"/>
      <c r="B15" s="84"/>
      <c r="C15" s="84"/>
      <c r="D15" s="83"/>
      <c r="E15" s="16" t="s">
        <v>217</v>
      </c>
      <c r="F15" s="53" t="s">
        <v>50</v>
      </c>
      <c r="G15" s="6" t="s">
        <v>29</v>
      </c>
      <c r="H15" s="13">
        <f>12+15</f>
        <v>27</v>
      </c>
      <c r="I15" s="6">
        <v>2022</v>
      </c>
      <c r="J15" s="53" t="s">
        <v>51</v>
      </c>
      <c r="K15" s="10">
        <v>80</v>
      </c>
      <c r="L15" s="6" t="s">
        <v>22</v>
      </c>
      <c r="M15" s="6" t="s">
        <v>41</v>
      </c>
      <c r="N15" s="6" t="s">
        <v>23</v>
      </c>
      <c r="O15" s="11">
        <v>1</v>
      </c>
      <c r="P15" s="27">
        <f>+O15/K15</f>
        <v>1.2500000000000001E-2</v>
      </c>
      <c r="Q15" s="52" t="s">
        <v>279</v>
      </c>
      <c r="R15" s="12">
        <v>75889</v>
      </c>
      <c r="S15" s="83"/>
      <c r="T15" s="82"/>
    </row>
    <row r="16" spans="1:20" ht="85.5" customHeight="1" x14ac:dyDescent="0.3">
      <c r="A16" s="84"/>
      <c r="B16" s="84"/>
      <c r="C16" s="84"/>
      <c r="D16" s="83"/>
      <c r="E16" s="16" t="s">
        <v>217</v>
      </c>
      <c r="F16" s="53" t="s">
        <v>52</v>
      </c>
      <c r="G16" s="6" t="s">
        <v>29</v>
      </c>
      <c r="H16" s="6">
        <v>101</v>
      </c>
      <c r="I16" s="6">
        <v>2022</v>
      </c>
      <c r="J16" s="53" t="s">
        <v>53</v>
      </c>
      <c r="K16" s="10">
        <v>80</v>
      </c>
      <c r="L16" s="6" t="s">
        <v>22</v>
      </c>
      <c r="M16" s="6" t="s">
        <v>41</v>
      </c>
      <c r="N16" s="6" t="s">
        <v>23</v>
      </c>
      <c r="O16" s="11">
        <v>3.74</v>
      </c>
      <c r="P16" s="27">
        <f>+O16/K16</f>
        <v>4.675E-2</v>
      </c>
      <c r="Q16" s="61" t="s">
        <v>243</v>
      </c>
      <c r="R16" s="12">
        <v>49951</v>
      </c>
      <c r="S16" s="83"/>
      <c r="T16" s="82"/>
    </row>
    <row r="17" spans="1:20" ht="102" customHeight="1" x14ac:dyDescent="0.3">
      <c r="A17" s="84"/>
      <c r="B17" s="84"/>
      <c r="C17" s="84"/>
      <c r="D17" s="83"/>
      <c r="E17" s="16" t="s">
        <v>217</v>
      </c>
      <c r="F17" s="53" t="s">
        <v>54</v>
      </c>
      <c r="G17" s="6" t="s">
        <v>15</v>
      </c>
      <c r="H17" s="6">
        <v>0</v>
      </c>
      <c r="I17" s="6"/>
      <c r="J17" s="53" t="s">
        <v>55</v>
      </c>
      <c r="K17" s="10">
        <v>5</v>
      </c>
      <c r="L17" s="6" t="s">
        <v>31</v>
      </c>
      <c r="M17" s="6"/>
      <c r="N17" s="6"/>
      <c r="O17" s="11"/>
      <c r="P17" s="27"/>
      <c r="Q17" s="63" t="s">
        <v>261</v>
      </c>
      <c r="R17" s="12"/>
      <c r="S17" s="83"/>
      <c r="T17" s="82"/>
    </row>
    <row r="18" spans="1:20" s="18" customFormat="1" ht="27.75" customHeight="1" x14ac:dyDescent="0.3">
      <c r="A18" s="84"/>
      <c r="B18" s="84"/>
      <c r="C18" s="39"/>
      <c r="D18" s="40">
        <f>+D11</f>
        <v>12019608.177922236</v>
      </c>
      <c r="E18" s="93" t="s">
        <v>188</v>
      </c>
      <c r="F18" s="93"/>
      <c r="G18" s="93"/>
      <c r="H18" s="93"/>
      <c r="I18" s="93"/>
      <c r="J18" s="93"/>
      <c r="K18" s="93"/>
      <c r="L18" s="93"/>
      <c r="M18" s="93"/>
      <c r="N18" s="93"/>
      <c r="O18" s="93"/>
      <c r="P18" s="35">
        <f>+AVERAGE(P11:P17)</f>
        <v>7.1105823463056966E-2</v>
      </c>
      <c r="Q18" s="64"/>
      <c r="R18" s="68"/>
      <c r="S18" s="36">
        <f>+S11</f>
        <v>1025080</v>
      </c>
      <c r="T18" s="38">
        <f>+T11</f>
        <v>8.5283978048708742E-2</v>
      </c>
    </row>
    <row r="19" spans="1:20" s="18" customFormat="1" ht="30" customHeight="1" x14ac:dyDescent="0.3">
      <c r="A19" s="109"/>
      <c r="B19" s="110"/>
      <c r="C19" s="111"/>
      <c r="D19" s="75">
        <f>+D10+D18</f>
        <v>16624814.650784982</v>
      </c>
      <c r="E19" s="116" t="s">
        <v>189</v>
      </c>
      <c r="F19" s="116"/>
      <c r="G19" s="116"/>
      <c r="H19" s="116"/>
      <c r="I19" s="116"/>
      <c r="J19" s="116"/>
      <c r="K19" s="116"/>
      <c r="L19" s="116"/>
      <c r="M19" s="116"/>
      <c r="N19" s="116"/>
      <c r="O19" s="116"/>
      <c r="P19" s="76">
        <f>+AVERAGE(P10,P18)</f>
        <v>5.4997356175972928E-2</v>
      </c>
      <c r="Q19" s="77"/>
      <c r="R19" s="78"/>
      <c r="S19" s="79">
        <f>+S10+S18</f>
        <v>2540468</v>
      </c>
      <c r="T19" s="76">
        <f>+S19/D19</f>
        <v>0.15281180893526805</v>
      </c>
    </row>
    <row r="20" spans="1:20" ht="176.25" customHeight="1" x14ac:dyDescent="0.3">
      <c r="A20" s="84" t="s">
        <v>1</v>
      </c>
      <c r="B20" s="84" t="s">
        <v>56</v>
      </c>
      <c r="C20" s="84" t="s">
        <v>57</v>
      </c>
      <c r="D20" s="83">
        <v>102334463.18525976</v>
      </c>
      <c r="E20" s="19" t="s">
        <v>218</v>
      </c>
      <c r="F20" s="53" t="s">
        <v>58</v>
      </c>
      <c r="G20" s="6" t="s">
        <v>43</v>
      </c>
      <c r="H20" s="6">
        <v>193</v>
      </c>
      <c r="I20" s="6">
        <v>2022</v>
      </c>
      <c r="J20" s="53" t="s">
        <v>59</v>
      </c>
      <c r="K20" s="10" t="s">
        <v>60</v>
      </c>
      <c r="L20" s="6" t="s">
        <v>22</v>
      </c>
      <c r="M20" s="6" t="s">
        <v>23</v>
      </c>
      <c r="N20" s="6" t="s">
        <v>61</v>
      </c>
      <c r="O20" s="11"/>
      <c r="P20" s="27"/>
      <c r="Q20" s="61" t="s">
        <v>281</v>
      </c>
      <c r="R20" s="12">
        <f>83172+38139+98253</f>
        <v>219564</v>
      </c>
      <c r="S20" s="83">
        <f>+R20+R21+R22+R24</f>
        <v>546350</v>
      </c>
      <c r="T20" s="94">
        <f>+S20/D20</f>
        <v>5.3388661355551646E-3</v>
      </c>
    </row>
    <row r="21" spans="1:20" ht="94.5" customHeight="1" x14ac:dyDescent="0.3">
      <c r="A21" s="84"/>
      <c r="B21" s="84"/>
      <c r="C21" s="84"/>
      <c r="D21" s="83">
        <v>0</v>
      </c>
      <c r="E21" s="19" t="s">
        <v>218</v>
      </c>
      <c r="F21" s="54" t="s">
        <v>62</v>
      </c>
      <c r="G21" s="9" t="s">
        <v>15</v>
      </c>
      <c r="H21" s="120">
        <v>351</v>
      </c>
      <c r="I21" s="6">
        <v>2023</v>
      </c>
      <c r="J21" s="54" t="s">
        <v>63</v>
      </c>
      <c r="K21" s="10">
        <v>650</v>
      </c>
      <c r="L21" s="6" t="s">
        <v>22</v>
      </c>
      <c r="M21" s="6" t="s">
        <v>23</v>
      </c>
      <c r="N21" s="6" t="s">
        <v>64</v>
      </c>
      <c r="O21" s="21">
        <v>26</v>
      </c>
      <c r="P21" s="27">
        <f>+O21/309</f>
        <v>8.4142394822006472E-2</v>
      </c>
      <c r="Q21" s="61" t="s">
        <v>244</v>
      </c>
      <c r="R21" s="12">
        <f>46615+38917</f>
        <v>85532</v>
      </c>
      <c r="S21" s="83"/>
      <c r="T21" s="94"/>
    </row>
    <row r="22" spans="1:20" ht="117.75" customHeight="1" x14ac:dyDescent="0.3">
      <c r="A22" s="84"/>
      <c r="B22" s="84"/>
      <c r="C22" s="84"/>
      <c r="D22" s="83">
        <v>0</v>
      </c>
      <c r="E22" s="19" t="s">
        <v>218</v>
      </c>
      <c r="F22" s="54" t="s">
        <v>65</v>
      </c>
      <c r="G22" s="9" t="s">
        <v>29</v>
      </c>
      <c r="H22" s="9">
        <v>100</v>
      </c>
      <c r="I22" s="6">
        <v>2023</v>
      </c>
      <c r="J22" s="54" t="s">
        <v>66</v>
      </c>
      <c r="K22" s="46">
        <v>100</v>
      </c>
      <c r="L22" s="14" t="s">
        <v>22</v>
      </c>
      <c r="M22" s="6" t="s">
        <v>23</v>
      </c>
      <c r="N22" s="6" t="s">
        <v>67</v>
      </c>
      <c r="O22" s="28">
        <v>4.17</v>
      </c>
      <c r="P22" s="27">
        <f>+O22/K22</f>
        <v>4.1700000000000001E-2</v>
      </c>
      <c r="Q22" s="65" t="s">
        <v>245</v>
      </c>
      <c r="R22" s="12">
        <f>57674+47452</f>
        <v>105126</v>
      </c>
      <c r="S22" s="83"/>
      <c r="T22" s="94"/>
    </row>
    <row r="23" spans="1:20" ht="72" customHeight="1" x14ac:dyDescent="0.3">
      <c r="A23" s="84"/>
      <c r="B23" s="84"/>
      <c r="C23" s="84"/>
      <c r="D23" s="83">
        <v>0</v>
      </c>
      <c r="E23" s="19" t="s">
        <v>218</v>
      </c>
      <c r="F23" s="54" t="s">
        <v>68</v>
      </c>
      <c r="G23" s="9" t="s">
        <v>29</v>
      </c>
      <c r="H23" s="9">
        <v>100</v>
      </c>
      <c r="I23" s="6">
        <v>2023</v>
      </c>
      <c r="J23" s="54" t="s">
        <v>69</v>
      </c>
      <c r="K23" s="46">
        <v>100</v>
      </c>
      <c r="L23" s="14" t="s">
        <v>22</v>
      </c>
      <c r="M23" s="6" t="s">
        <v>23</v>
      </c>
      <c r="N23" s="6" t="s">
        <v>70</v>
      </c>
      <c r="O23" s="21"/>
      <c r="P23" s="27"/>
      <c r="Q23" s="63" t="s">
        <v>262</v>
      </c>
      <c r="R23" s="12"/>
      <c r="S23" s="83"/>
      <c r="T23" s="94"/>
    </row>
    <row r="24" spans="1:20" ht="87" customHeight="1" x14ac:dyDescent="0.3">
      <c r="A24" s="84"/>
      <c r="B24" s="84"/>
      <c r="C24" s="84"/>
      <c r="D24" s="83">
        <v>0</v>
      </c>
      <c r="E24" s="16"/>
      <c r="F24" s="54" t="s">
        <v>71</v>
      </c>
      <c r="G24" s="9" t="s">
        <v>15</v>
      </c>
      <c r="H24" s="9" t="s">
        <v>72</v>
      </c>
      <c r="I24" s="6" t="s">
        <v>73</v>
      </c>
      <c r="J24" s="54" t="s">
        <v>74</v>
      </c>
      <c r="K24" s="46">
        <v>1</v>
      </c>
      <c r="L24" s="14" t="s">
        <v>22</v>
      </c>
      <c r="M24" s="6" t="s">
        <v>23</v>
      </c>
      <c r="N24" s="6" t="s">
        <v>75</v>
      </c>
      <c r="O24" s="50">
        <v>0</v>
      </c>
      <c r="P24" s="27">
        <f>+O24/K24</f>
        <v>0</v>
      </c>
      <c r="Q24" s="63" t="s">
        <v>264</v>
      </c>
      <c r="R24" s="12">
        <f>98318+17810+20000</f>
        <v>136128</v>
      </c>
      <c r="S24" s="83"/>
      <c r="T24" s="94"/>
    </row>
    <row r="25" spans="1:20" ht="27" customHeight="1" x14ac:dyDescent="0.3">
      <c r="A25" s="84"/>
      <c r="B25" s="84"/>
      <c r="C25" s="39"/>
      <c r="D25" s="40">
        <f>+D20</f>
        <v>102334463.18525976</v>
      </c>
      <c r="E25" s="93" t="s">
        <v>190</v>
      </c>
      <c r="F25" s="93"/>
      <c r="G25" s="93"/>
      <c r="H25" s="93"/>
      <c r="I25" s="93"/>
      <c r="J25" s="93"/>
      <c r="K25" s="93"/>
      <c r="L25" s="93"/>
      <c r="M25" s="93"/>
      <c r="N25" s="93"/>
      <c r="O25" s="93"/>
      <c r="P25" s="35">
        <f>+AVERAGE(P20:P24)</f>
        <v>4.1947464940668831E-2</v>
      </c>
      <c r="Q25" s="62"/>
      <c r="R25" s="69"/>
      <c r="S25" s="36">
        <f>+S20</f>
        <v>546350</v>
      </c>
      <c r="T25" s="43">
        <f>+S25/D25</f>
        <v>5.3388661355551646E-3</v>
      </c>
    </row>
    <row r="26" spans="1:20" ht="78" customHeight="1" x14ac:dyDescent="0.3">
      <c r="A26" s="84"/>
      <c r="B26" s="84"/>
      <c r="C26" s="84" t="s">
        <v>76</v>
      </c>
      <c r="D26" s="83">
        <v>25409292.838680319</v>
      </c>
      <c r="E26" s="16"/>
      <c r="F26" s="53" t="s">
        <v>77</v>
      </c>
      <c r="G26" s="6" t="s">
        <v>29</v>
      </c>
      <c r="H26" s="6">
        <v>0</v>
      </c>
      <c r="I26" s="6">
        <v>0</v>
      </c>
      <c r="J26" s="53" t="s">
        <v>78</v>
      </c>
      <c r="K26" s="10">
        <v>100</v>
      </c>
      <c r="L26" s="20" t="s">
        <v>22</v>
      </c>
      <c r="M26" s="6" t="s">
        <v>79</v>
      </c>
      <c r="N26" s="6"/>
      <c r="O26" s="24"/>
      <c r="P26" s="27"/>
      <c r="Q26" s="61" t="s">
        <v>260</v>
      </c>
      <c r="R26" s="44"/>
      <c r="S26" s="83">
        <f>+R26+R27+R28+R29</f>
        <v>430341</v>
      </c>
      <c r="T26" s="82">
        <f>+S26/D26</f>
        <v>1.6936362721000093E-2</v>
      </c>
    </row>
    <row r="27" spans="1:20" s="47" customFormat="1" ht="91.5" customHeight="1" x14ac:dyDescent="0.3">
      <c r="A27" s="84"/>
      <c r="B27" s="84"/>
      <c r="C27" s="84"/>
      <c r="D27" s="83"/>
      <c r="E27" s="3" t="s">
        <v>219</v>
      </c>
      <c r="F27" s="55" t="s">
        <v>80</v>
      </c>
      <c r="G27" s="46" t="s">
        <v>15</v>
      </c>
      <c r="H27" s="10">
        <v>12</v>
      </c>
      <c r="I27" s="10">
        <v>2023</v>
      </c>
      <c r="J27" s="55" t="s">
        <v>81</v>
      </c>
      <c r="K27" s="10">
        <v>48</v>
      </c>
      <c r="L27" s="41" t="s">
        <v>22</v>
      </c>
      <c r="M27" s="10" t="s">
        <v>79</v>
      </c>
      <c r="N27" s="10" t="s">
        <v>82</v>
      </c>
      <c r="O27" s="21">
        <v>3</v>
      </c>
      <c r="P27" s="27">
        <f>+O27/K27</f>
        <v>6.25E-2</v>
      </c>
      <c r="Q27" s="61" t="s">
        <v>246</v>
      </c>
      <c r="R27" s="12">
        <v>182012</v>
      </c>
      <c r="S27" s="83"/>
      <c r="T27" s="82"/>
    </row>
    <row r="28" spans="1:20" s="47" customFormat="1" ht="68.25" customHeight="1" x14ac:dyDescent="0.3">
      <c r="A28" s="84"/>
      <c r="B28" s="84"/>
      <c r="C28" s="84"/>
      <c r="D28" s="83"/>
      <c r="E28" s="3" t="s">
        <v>219</v>
      </c>
      <c r="F28" s="55" t="s">
        <v>83</v>
      </c>
      <c r="G28" s="10" t="s">
        <v>29</v>
      </c>
      <c r="H28" s="10">
        <v>30</v>
      </c>
      <c r="I28" s="10">
        <v>2023</v>
      </c>
      <c r="J28" s="55" t="s">
        <v>84</v>
      </c>
      <c r="K28" s="10">
        <v>100</v>
      </c>
      <c r="L28" s="41" t="s">
        <v>22</v>
      </c>
      <c r="M28" s="10" t="s">
        <v>79</v>
      </c>
      <c r="N28" s="10"/>
      <c r="O28" s="28">
        <v>4.17</v>
      </c>
      <c r="P28" s="27">
        <f>+O28/K28</f>
        <v>4.1700000000000001E-2</v>
      </c>
      <c r="Q28" s="61" t="s">
        <v>247</v>
      </c>
      <c r="R28" s="12">
        <f>54733+152366</f>
        <v>207099</v>
      </c>
      <c r="S28" s="83"/>
      <c r="T28" s="82"/>
    </row>
    <row r="29" spans="1:20" s="47" customFormat="1" ht="89.25" customHeight="1" x14ac:dyDescent="0.3">
      <c r="A29" s="84"/>
      <c r="B29" s="84"/>
      <c r="C29" s="84"/>
      <c r="D29" s="83"/>
      <c r="E29" s="3" t="s">
        <v>219</v>
      </c>
      <c r="F29" s="53" t="s">
        <v>85</v>
      </c>
      <c r="G29" s="46" t="s">
        <v>15</v>
      </c>
      <c r="H29" s="10">
        <v>1</v>
      </c>
      <c r="I29" s="10">
        <v>2023</v>
      </c>
      <c r="J29" s="55" t="s">
        <v>86</v>
      </c>
      <c r="K29" s="10">
        <v>5</v>
      </c>
      <c r="L29" s="41" t="s">
        <v>22</v>
      </c>
      <c r="M29" s="10" t="s">
        <v>79</v>
      </c>
      <c r="N29" s="10" t="s">
        <v>87</v>
      </c>
      <c r="O29" s="21">
        <v>3</v>
      </c>
      <c r="P29" s="27">
        <f>+O29/K29</f>
        <v>0.6</v>
      </c>
      <c r="Q29" s="61" t="s">
        <v>250</v>
      </c>
      <c r="R29" s="12">
        <v>41230</v>
      </c>
      <c r="S29" s="83"/>
      <c r="T29" s="82"/>
    </row>
    <row r="30" spans="1:20" s="18" customFormat="1" ht="27.75" customHeight="1" x14ac:dyDescent="0.3">
      <c r="A30" s="84"/>
      <c r="B30" s="84"/>
      <c r="C30" s="39"/>
      <c r="D30" s="40">
        <f>+D26</f>
        <v>25409292.838680319</v>
      </c>
      <c r="E30" s="93" t="s">
        <v>190</v>
      </c>
      <c r="F30" s="93"/>
      <c r="G30" s="93"/>
      <c r="H30" s="93"/>
      <c r="I30" s="93"/>
      <c r="J30" s="93"/>
      <c r="K30" s="93"/>
      <c r="L30" s="93"/>
      <c r="M30" s="93"/>
      <c r="N30" s="93"/>
      <c r="O30" s="93"/>
      <c r="P30" s="35">
        <f>+AVERAGE(P26:P29)</f>
        <v>0.23473333333333332</v>
      </c>
      <c r="Q30" s="62"/>
      <c r="R30" s="68"/>
      <c r="S30" s="36">
        <f>+S26</f>
        <v>430341</v>
      </c>
      <c r="T30" s="37">
        <f>+S30/D30</f>
        <v>1.6936362721000093E-2</v>
      </c>
    </row>
    <row r="31" spans="1:20" s="18" customFormat="1" ht="30" customHeight="1" x14ac:dyDescent="0.3">
      <c r="A31" s="109"/>
      <c r="B31" s="110"/>
      <c r="C31" s="111"/>
      <c r="D31" s="75">
        <f>+D25+D30</f>
        <v>127743756.02394009</v>
      </c>
      <c r="E31" s="116" t="s">
        <v>191</v>
      </c>
      <c r="F31" s="116"/>
      <c r="G31" s="116"/>
      <c r="H31" s="116"/>
      <c r="I31" s="116"/>
      <c r="J31" s="116"/>
      <c r="K31" s="116"/>
      <c r="L31" s="116"/>
      <c r="M31" s="116"/>
      <c r="N31" s="116"/>
      <c r="O31" s="116"/>
      <c r="P31" s="76">
        <f>+AVERAGE(P25,P30)</f>
        <v>0.13834039913700108</v>
      </c>
      <c r="Q31" s="80"/>
      <c r="R31" s="78"/>
      <c r="S31" s="79">
        <f>+S25+S30</f>
        <v>976691</v>
      </c>
      <c r="T31" s="76">
        <f>+S31/D31</f>
        <v>7.6457044195331249E-3</v>
      </c>
    </row>
    <row r="32" spans="1:20" ht="63" customHeight="1" x14ac:dyDescent="0.3">
      <c r="A32" s="88" t="s">
        <v>2</v>
      </c>
      <c r="B32" s="84" t="s">
        <v>88</v>
      </c>
      <c r="C32" s="84" t="s">
        <v>89</v>
      </c>
      <c r="D32" s="83">
        <v>142090973.70432523</v>
      </c>
      <c r="E32" s="16"/>
      <c r="F32" s="56" t="s">
        <v>90</v>
      </c>
      <c r="G32" s="6" t="s">
        <v>29</v>
      </c>
      <c r="H32" s="6">
        <v>100</v>
      </c>
      <c r="I32" s="6">
        <v>2023</v>
      </c>
      <c r="J32" s="53" t="s">
        <v>91</v>
      </c>
      <c r="K32" s="10">
        <v>100</v>
      </c>
      <c r="L32" s="20" t="s">
        <v>22</v>
      </c>
      <c r="M32" s="6" t="s">
        <v>23</v>
      </c>
      <c r="N32" s="6" t="s">
        <v>92</v>
      </c>
      <c r="O32" s="10">
        <v>0.99</v>
      </c>
      <c r="P32" s="27">
        <f>+O32/K32</f>
        <v>9.8999999999999991E-3</v>
      </c>
      <c r="Q32" s="61" t="s">
        <v>251</v>
      </c>
      <c r="R32" s="12">
        <f>7028+1460463</f>
        <v>1467491</v>
      </c>
      <c r="S32" s="83">
        <f>+R32+R33+R34+R35</f>
        <v>1467491</v>
      </c>
      <c r="T32" s="82">
        <f>+S32/D32</f>
        <v>1.0327827037442068E-2</v>
      </c>
    </row>
    <row r="33" spans="1:23" ht="42" x14ac:dyDescent="0.3">
      <c r="A33" s="89"/>
      <c r="B33" s="84"/>
      <c r="C33" s="84"/>
      <c r="D33" s="83"/>
      <c r="E33" s="16"/>
      <c r="F33" s="54" t="s">
        <v>93</v>
      </c>
      <c r="G33" s="9" t="s">
        <v>29</v>
      </c>
      <c r="H33" s="6">
        <v>50</v>
      </c>
      <c r="I33" s="6">
        <v>2023</v>
      </c>
      <c r="J33" s="53" t="s">
        <v>94</v>
      </c>
      <c r="K33" s="46">
        <v>100</v>
      </c>
      <c r="L33" s="6" t="s">
        <v>31</v>
      </c>
      <c r="M33" s="6" t="s">
        <v>23</v>
      </c>
      <c r="N33" s="6" t="s">
        <v>95</v>
      </c>
      <c r="O33" s="24"/>
      <c r="P33" s="27">
        <f>+O33/K33</f>
        <v>0</v>
      </c>
      <c r="Q33" s="81"/>
      <c r="R33" s="44"/>
      <c r="S33" s="83"/>
      <c r="T33" s="82"/>
    </row>
    <row r="34" spans="1:23" ht="82.5" customHeight="1" x14ac:dyDescent="0.3">
      <c r="A34" s="89"/>
      <c r="B34" s="84"/>
      <c r="C34" s="84"/>
      <c r="D34" s="83"/>
      <c r="E34" s="16"/>
      <c r="F34" s="53" t="s">
        <v>96</v>
      </c>
      <c r="G34" s="6" t="s">
        <v>97</v>
      </c>
      <c r="H34" s="6">
        <v>3</v>
      </c>
      <c r="I34" s="6">
        <v>2023</v>
      </c>
      <c r="J34" s="53" t="s">
        <v>98</v>
      </c>
      <c r="K34" s="10">
        <v>8</v>
      </c>
      <c r="L34" s="20" t="s">
        <v>22</v>
      </c>
      <c r="M34" s="6" t="s">
        <v>23</v>
      </c>
      <c r="N34" s="6" t="s">
        <v>99</v>
      </c>
      <c r="O34" s="22"/>
      <c r="P34" s="27">
        <f>+O34/K34</f>
        <v>0</v>
      </c>
      <c r="Q34" s="63" t="s">
        <v>262</v>
      </c>
      <c r="R34" s="12">
        <v>0</v>
      </c>
      <c r="S34" s="83"/>
      <c r="T34" s="82"/>
    </row>
    <row r="35" spans="1:23" ht="75" customHeight="1" x14ac:dyDescent="0.3">
      <c r="A35" s="89"/>
      <c r="B35" s="84"/>
      <c r="C35" s="84"/>
      <c r="D35" s="83"/>
      <c r="E35" s="16"/>
      <c r="F35" s="53" t="s">
        <v>100</v>
      </c>
      <c r="G35" s="6" t="s">
        <v>29</v>
      </c>
      <c r="H35" s="6">
        <v>0</v>
      </c>
      <c r="I35" s="6">
        <v>2023</v>
      </c>
      <c r="J35" s="53" t="s">
        <v>101</v>
      </c>
      <c r="K35" s="10">
        <v>100</v>
      </c>
      <c r="L35" s="6" t="s">
        <v>22</v>
      </c>
      <c r="M35" s="6" t="s">
        <v>23</v>
      </c>
      <c r="N35" s="6" t="s">
        <v>102</v>
      </c>
      <c r="O35" s="11"/>
      <c r="P35" s="27">
        <f>+O35/K35</f>
        <v>0</v>
      </c>
      <c r="Q35" s="61" t="s">
        <v>263</v>
      </c>
      <c r="R35" s="12">
        <v>0</v>
      </c>
      <c r="S35" s="83"/>
      <c r="T35" s="82"/>
    </row>
    <row r="36" spans="1:23" ht="38.25" customHeight="1" x14ac:dyDescent="0.3">
      <c r="A36" s="89"/>
      <c r="B36" s="84"/>
      <c r="C36" s="39"/>
      <c r="D36" s="40">
        <f>+D32</f>
        <v>142090973.70432523</v>
      </c>
      <c r="E36" s="85" t="s">
        <v>192</v>
      </c>
      <c r="F36" s="86"/>
      <c r="G36" s="86"/>
      <c r="H36" s="86"/>
      <c r="I36" s="86"/>
      <c r="J36" s="86"/>
      <c r="K36" s="86"/>
      <c r="L36" s="86"/>
      <c r="M36" s="86"/>
      <c r="N36" s="86"/>
      <c r="O36" s="87"/>
      <c r="P36" s="73">
        <f>+AVERAGE(P32:P35)</f>
        <v>2.4749999999999998E-3</v>
      </c>
      <c r="Q36" s="62"/>
      <c r="R36" s="68"/>
      <c r="S36" s="36">
        <f>+S32</f>
        <v>1467491</v>
      </c>
      <c r="T36" s="37">
        <f>+S36/D36</f>
        <v>1.0327827037442068E-2</v>
      </c>
    </row>
    <row r="37" spans="1:23" ht="83.25" customHeight="1" x14ac:dyDescent="0.3">
      <c r="A37" s="89"/>
      <c r="B37" s="84"/>
      <c r="C37" s="84" t="s">
        <v>103</v>
      </c>
      <c r="D37" s="83">
        <v>82036974.181742936</v>
      </c>
      <c r="E37" s="16"/>
      <c r="F37" s="53" t="s">
        <v>104</v>
      </c>
      <c r="G37" s="6" t="s">
        <v>29</v>
      </c>
      <c r="H37" s="6">
        <v>100</v>
      </c>
      <c r="I37" s="6">
        <v>2023</v>
      </c>
      <c r="J37" s="53" t="s">
        <v>105</v>
      </c>
      <c r="K37" s="10">
        <v>100</v>
      </c>
      <c r="L37" s="20" t="s">
        <v>22</v>
      </c>
      <c r="M37" s="6" t="s">
        <v>23</v>
      </c>
      <c r="N37" s="6" t="s">
        <v>106</v>
      </c>
      <c r="O37" s="10">
        <v>1.58</v>
      </c>
      <c r="P37" s="27">
        <f>+O37/K37</f>
        <v>1.5800000000000002E-2</v>
      </c>
      <c r="Q37" s="61" t="s">
        <v>252</v>
      </c>
      <c r="R37" s="12">
        <v>333276</v>
      </c>
      <c r="S37" s="121" t="e">
        <f>+R37+#REF!+R38+R39+R40</f>
        <v>#REF!</v>
      </c>
      <c r="T37" s="122" t="e">
        <f>+S37/D37</f>
        <v>#REF!</v>
      </c>
      <c r="U37" s="23"/>
      <c r="V37" s="23"/>
      <c r="W37" s="23"/>
    </row>
    <row r="38" spans="1:23" ht="47.25" customHeight="1" x14ac:dyDescent="0.3">
      <c r="A38" s="89"/>
      <c r="B38" s="84"/>
      <c r="C38" s="84"/>
      <c r="D38" s="83"/>
      <c r="E38" s="16"/>
      <c r="F38" s="53" t="s">
        <v>107</v>
      </c>
      <c r="G38" s="9" t="s">
        <v>15</v>
      </c>
      <c r="H38" s="6">
        <v>1</v>
      </c>
      <c r="I38" s="6">
        <v>2023</v>
      </c>
      <c r="J38" s="53" t="s">
        <v>108</v>
      </c>
      <c r="K38" s="10">
        <v>3</v>
      </c>
      <c r="L38" s="6"/>
      <c r="M38" s="6" t="s">
        <v>23</v>
      </c>
      <c r="N38" s="6" t="s">
        <v>109</v>
      </c>
      <c r="O38" s="22"/>
      <c r="P38" s="27">
        <f>+O38/K38</f>
        <v>0</v>
      </c>
      <c r="Q38" s="63" t="s">
        <v>261</v>
      </c>
      <c r="R38" s="12">
        <v>0</v>
      </c>
      <c r="S38" s="121"/>
      <c r="T38" s="122"/>
    </row>
    <row r="39" spans="1:23" ht="137.25" customHeight="1" x14ac:dyDescent="0.3">
      <c r="A39" s="89"/>
      <c r="B39" s="84"/>
      <c r="C39" s="84"/>
      <c r="D39" s="83"/>
      <c r="E39" s="16"/>
      <c r="F39" s="53" t="s">
        <v>110</v>
      </c>
      <c r="G39" s="9" t="s">
        <v>15</v>
      </c>
      <c r="H39" s="6">
        <v>1</v>
      </c>
      <c r="I39" s="6">
        <v>2023</v>
      </c>
      <c r="J39" s="53" t="s">
        <v>111</v>
      </c>
      <c r="K39" s="10">
        <v>1</v>
      </c>
      <c r="L39" s="6" t="s">
        <v>22</v>
      </c>
      <c r="M39" s="6" t="s">
        <v>23</v>
      </c>
      <c r="N39" s="6" t="s">
        <v>109</v>
      </c>
      <c r="O39" s="10">
        <v>4.2000000000000003E-2</v>
      </c>
      <c r="P39" s="27">
        <f>+O39/K39</f>
        <v>4.2000000000000003E-2</v>
      </c>
      <c r="Q39" s="61" t="s">
        <v>253</v>
      </c>
      <c r="R39" s="12"/>
      <c r="S39" s="121"/>
      <c r="T39" s="122"/>
    </row>
    <row r="40" spans="1:23" ht="105" customHeight="1" x14ac:dyDescent="0.3">
      <c r="A40" s="89"/>
      <c r="B40" s="84"/>
      <c r="C40" s="84"/>
      <c r="D40" s="83"/>
      <c r="E40" s="16"/>
      <c r="F40" s="53" t="s">
        <v>112</v>
      </c>
      <c r="G40" s="9" t="s">
        <v>15</v>
      </c>
      <c r="H40" s="6">
        <v>23</v>
      </c>
      <c r="I40" s="6">
        <v>2022</v>
      </c>
      <c r="J40" s="53" t="s">
        <v>113</v>
      </c>
      <c r="K40" s="10">
        <v>37</v>
      </c>
      <c r="L40" s="6" t="s">
        <v>22</v>
      </c>
      <c r="M40" s="6" t="s">
        <v>64</v>
      </c>
      <c r="N40" s="6" t="s">
        <v>23</v>
      </c>
      <c r="O40" s="11">
        <v>1</v>
      </c>
      <c r="P40" s="27">
        <f>+O40/14</f>
        <v>7.1428571428571425E-2</v>
      </c>
      <c r="Q40" s="61" t="s">
        <v>254</v>
      </c>
      <c r="R40" s="12">
        <v>1367607</v>
      </c>
      <c r="S40" s="121"/>
      <c r="T40" s="122"/>
    </row>
    <row r="41" spans="1:23" s="18" customFormat="1" ht="24" customHeight="1" x14ac:dyDescent="0.3">
      <c r="A41" s="90"/>
      <c r="B41" s="84"/>
      <c r="C41" s="39"/>
      <c r="D41" s="40">
        <f>+D37</f>
        <v>82036974.181742936</v>
      </c>
      <c r="E41" s="85" t="s">
        <v>193</v>
      </c>
      <c r="F41" s="86"/>
      <c r="G41" s="86"/>
      <c r="H41" s="86"/>
      <c r="I41" s="86"/>
      <c r="J41" s="86"/>
      <c r="K41" s="86"/>
      <c r="L41" s="86"/>
      <c r="M41" s="86"/>
      <c r="N41" s="86"/>
      <c r="O41" s="87"/>
      <c r="P41" s="35">
        <f>+AVERAGE(P37:P40)</f>
        <v>3.2307142857142854E-2</v>
      </c>
      <c r="Q41" s="64"/>
      <c r="R41" s="68"/>
      <c r="S41" s="36" t="e">
        <f>+S37</f>
        <v>#REF!</v>
      </c>
      <c r="T41" s="37" t="e">
        <f>+S41/D41</f>
        <v>#REF!</v>
      </c>
    </row>
    <row r="42" spans="1:23" s="18" customFormat="1" ht="30" customHeight="1" x14ac:dyDescent="0.3">
      <c r="A42" s="109"/>
      <c r="B42" s="110"/>
      <c r="C42" s="111"/>
      <c r="D42" s="75">
        <f>+D36+D41</f>
        <v>224127947.88606817</v>
      </c>
      <c r="E42" s="109" t="s">
        <v>194</v>
      </c>
      <c r="F42" s="110"/>
      <c r="G42" s="110"/>
      <c r="H42" s="110"/>
      <c r="I42" s="110"/>
      <c r="J42" s="110"/>
      <c r="K42" s="110"/>
      <c r="L42" s="110"/>
      <c r="M42" s="110"/>
      <c r="N42" s="110"/>
      <c r="O42" s="111"/>
      <c r="P42" s="76">
        <f>+AVERAGE(P36,P41)</f>
        <v>1.7391071428571426E-2</v>
      </c>
      <c r="Q42" s="77"/>
      <c r="R42" s="78"/>
      <c r="S42" s="79" t="e">
        <f>+S36+S41</f>
        <v>#REF!</v>
      </c>
      <c r="T42" s="76" t="e">
        <f>+S42/D42</f>
        <v>#REF!</v>
      </c>
    </row>
    <row r="43" spans="1:23" ht="90" customHeight="1" x14ac:dyDescent="0.3">
      <c r="A43" s="84" t="s">
        <v>3</v>
      </c>
      <c r="B43" s="84" t="s">
        <v>114</v>
      </c>
      <c r="C43" s="84" t="s">
        <v>115</v>
      </c>
      <c r="D43" s="83">
        <v>45990975.667537436</v>
      </c>
      <c r="E43" s="16" t="s">
        <v>220</v>
      </c>
      <c r="F43" s="54" t="s">
        <v>116</v>
      </c>
      <c r="G43" s="9" t="s">
        <v>15</v>
      </c>
      <c r="H43" s="9">
        <v>37</v>
      </c>
      <c r="I43" s="9">
        <v>2023</v>
      </c>
      <c r="J43" s="59" t="s">
        <v>117</v>
      </c>
      <c r="K43" s="46">
        <v>37</v>
      </c>
      <c r="L43" s="9" t="s">
        <v>22</v>
      </c>
      <c r="M43" s="6" t="s">
        <v>23</v>
      </c>
      <c r="N43" s="6" t="s">
        <v>118</v>
      </c>
      <c r="O43" s="11">
        <v>26</v>
      </c>
      <c r="P43" s="27">
        <f>+O43/K43</f>
        <v>0.70270270270270274</v>
      </c>
      <c r="Q43" s="48" t="s">
        <v>255</v>
      </c>
      <c r="R43" s="12">
        <f>221596+26055</f>
        <v>247651</v>
      </c>
      <c r="S43" s="83">
        <f>+R43+R44+R45+R46+R47</f>
        <v>9570105</v>
      </c>
      <c r="T43" s="91">
        <f>+S43/D43</f>
        <v>0.20808658353284346</v>
      </c>
    </row>
    <row r="44" spans="1:23" ht="84" x14ac:dyDescent="0.3">
      <c r="A44" s="84"/>
      <c r="B44" s="84"/>
      <c r="C44" s="84"/>
      <c r="D44" s="83"/>
      <c r="E44" s="16" t="s">
        <v>221</v>
      </c>
      <c r="F44" s="57" t="s">
        <v>119</v>
      </c>
      <c r="G44" s="9" t="s">
        <v>29</v>
      </c>
      <c r="H44" s="14">
        <v>1</v>
      </c>
      <c r="I44" s="9">
        <v>2023</v>
      </c>
      <c r="J44" s="54" t="s">
        <v>120</v>
      </c>
      <c r="K44" s="46">
        <v>100</v>
      </c>
      <c r="L44" s="9" t="s">
        <v>22</v>
      </c>
      <c r="M44" s="6" t="s">
        <v>23</v>
      </c>
      <c r="N44" s="6" t="s">
        <v>95</v>
      </c>
      <c r="O44" s="11">
        <v>2.71</v>
      </c>
      <c r="P44" s="27">
        <f>+O44/K44</f>
        <v>2.7099999999999999E-2</v>
      </c>
      <c r="Q44" s="48" t="s">
        <v>284</v>
      </c>
      <c r="R44" s="12">
        <f>53212+441213</f>
        <v>494425</v>
      </c>
      <c r="S44" s="83"/>
      <c r="T44" s="91"/>
    </row>
    <row r="45" spans="1:23" ht="81" customHeight="1" x14ac:dyDescent="0.3">
      <c r="A45" s="84"/>
      <c r="B45" s="84"/>
      <c r="C45" s="84"/>
      <c r="D45" s="83"/>
      <c r="E45" s="16" t="s">
        <v>220</v>
      </c>
      <c r="F45" s="53" t="s">
        <v>121</v>
      </c>
      <c r="G45" s="9" t="s">
        <v>15</v>
      </c>
      <c r="H45" s="6">
        <v>18</v>
      </c>
      <c r="I45" s="6">
        <v>2023</v>
      </c>
      <c r="J45" s="53" t="s">
        <v>122</v>
      </c>
      <c r="K45" s="10">
        <v>24</v>
      </c>
      <c r="L45" s="6" t="s">
        <v>123</v>
      </c>
      <c r="M45" s="6" t="s">
        <v>23</v>
      </c>
      <c r="N45" s="6" t="s">
        <v>124</v>
      </c>
      <c r="O45" s="10">
        <v>0</v>
      </c>
      <c r="P45" s="27">
        <f>+O45/K45</f>
        <v>0</v>
      </c>
      <c r="Q45" s="61" t="s">
        <v>256</v>
      </c>
      <c r="R45" s="12">
        <v>7028</v>
      </c>
      <c r="S45" s="83"/>
      <c r="T45" s="91"/>
    </row>
    <row r="46" spans="1:23" ht="72.75" customHeight="1" x14ac:dyDescent="0.3">
      <c r="A46" s="84"/>
      <c r="B46" s="84"/>
      <c r="C46" s="84"/>
      <c r="D46" s="83"/>
      <c r="E46" s="16" t="s">
        <v>220</v>
      </c>
      <c r="F46" s="53" t="s">
        <v>125</v>
      </c>
      <c r="G46" s="9" t="s">
        <v>15</v>
      </c>
      <c r="H46" s="9">
        <v>6</v>
      </c>
      <c r="I46" s="9">
        <v>2023</v>
      </c>
      <c r="J46" s="54" t="s">
        <v>126</v>
      </c>
      <c r="K46" s="46">
        <v>8</v>
      </c>
      <c r="L46" s="9" t="s">
        <v>22</v>
      </c>
      <c r="M46" s="6" t="s">
        <v>23</v>
      </c>
      <c r="N46" s="25"/>
      <c r="O46" s="10">
        <v>0</v>
      </c>
      <c r="P46" s="27">
        <f>+O46/K46</f>
        <v>0</v>
      </c>
      <c r="Q46" s="63" t="s">
        <v>262</v>
      </c>
      <c r="R46" s="12">
        <v>7555600</v>
      </c>
      <c r="S46" s="83"/>
      <c r="T46" s="91"/>
    </row>
    <row r="47" spans="1:23" ht="42" x14ac:dyDescent="0.3">
      <c r="A47" s="84"/>
      <c r="B47" s="84"/>
      <c r="C47" s="84"/>
      <c r="D47" s="83"/>
      <c r="E47" s="16" t="s">
        <v>220</v>
      </c>
      <c r="F47" s="54" t="s">
        <v>127</v>
      </c>
      <c r="G47" s="9" t="s">
        <v>29</v>
      </c>
      <c r="H47" s="6">
        <v>100</v>
      </c>
      <c r="I47" s="6">
        <v>2023</v>
      </c>
      <c r="J47" s="54" t="s">
        <v>128</v>
      </c>
      <c r="K47" s="10">
        <v>100</v>
      </c>
      <c r="L47" s="14" t="s">
        <v>22</v>
      </c>
      <c r="M47" s="6" t="s">
        <v>23</v>
      </c>
      <c r="N47" s="6"/>
      <c r="O47" s="10">
        <v>0</v>
      </c>
      <c r="P47" s="27">
        <f>+O47/K47</f>
        <v>0</v>
      </c>
      <c r="Q47" s="61" t="s">
        <v>257</v>
      </c>
      <c r="R47" s="12">
        <v>1265401</v>
      </c>
      <c r="S47" s="83"/>
      <c r="T47" s="91"/>
    </row>
    <row r="48" spans="1:23" s="18" customFormat="1" ht="28.5" customHeight="1" x14ac:dyDescent="0.3">
      <c r="A48" s="84"/>
      <c r="B48" s="84"/>
      <c r="C48" s="39"/>
      <c r="D48" s="40">
        <f>+D43</f>
        <v>45990975.667537436</v>
      </c>
      <c r="E48" s="85" t="s">
        <v>249</v>
      </c>
      <c r="F48" s="86"/>
      <c r="G48" s="86"/>
      <c r="H48" s="86"/>
      <c r="I48" s="86"/>
      <c r="J48" s="86"/>
      <c r="K48" s="86"/>
      <c r="L48" s="86"/>
      <c r="M48" s="86"/>
      <c r="N48" s="86"/>
      <c r="O48" s="87"/>
      <c r="P48" s="35">
        <f>+AVERAGE(P43:P47)</f>
        <v>0.14596054054054056</v>
      </c>
      <c r="Q48" s="62"/>
      <c r="R48" s="68"/>
      <c r="S48" s="36">
        <f>+S43</f>
        <v>9570105</v>
      </c>
      <c r="T48" s="37">
        <f>+S48/D48</f>
        <v>0.20808658353284346</v>
      </c>
    </row>
    <row r="49" spans="1:20" ht="71.25" customHeight="1" x14ac:dyDescent="0.3">
      <c r="A49" s="84"/>
      <c r="B49" s="84"/>
      <c r="C49" s="84" t="s">
        <v>129</v>
      </c>
      <c r="D49" s="83">
        <v>62766586.38484557</v>
      </c>
      <c r="E49" s="16" t="s">
        <v>226</v>
      </c>
      <c r="F49" s="54" t="s">
        <v>130</v>
      </c>
      <c r="G49" s="9" t="s">
        <v>15</v>
      </c>
      <c r="H49" s="9">
        <v>1</v>
      </c>
      <c r="I49" s="9">
        <v>2023</v>
      </c>
      <c r="J49" s="54" t="s">
        <v>131</v>
      </c>
      <c r="K49" s="46">
        <v>1</v>
      </c>
      <c r="L49" s="9" t="s">
        <v>22</v>
      </c>
      <c r="M49" s="6" t="s">
        <v>23</v>
      </c>
      <c r="N49" s="6" t="s">
        <v>132</v>
      </c>
      <c r="O49" s="10">
        <v>2.9100000000000001E-2</v>
      </c>
      <c r="P49" s="27">
        <f>+O49/K49</f>
        <v>2.9100000000000001E-2</v>
      </c>
      <c r="Q49" s="61" t="s">
        <v>258</v>
      </c>
      <c r="R49" s="12"/>
      <c r="S49" s="83">
        <f>+R49+R50</f>
        <v>280763</v>
      </c>
      <c r="T49" s="92">
        <f>+S49/D49</f>
        <v>4.4731283979430768E-3</v>
      </c>
    </row>
    <row r="50" spans="1:20" ht="95.25" customHeight="1" x14ac:dyDescent="0.3">
      <c r="A50" s="84"/>
      <c r="B50" s="84"/>
      <c r="C50" s="84"/>
      <c r="D50" s="83"/>
      <c r="E50" s="16" t="s">
        <v>220</v>
      </c>
      <c r="F50" s="54" t="s">
        <v>133</v>
      </c>
      <c r="G50" s="9" t="s">
        <v>15</v>
      </c>
      <c r="H50" s="9">
        <v>1</v>
      </c>
      <c r="I50" s="9">
        <v>2023</v>
      </c>
      <c r="J50" s="54" t="s">
        <v>134</v>
      </c>
      <c r="K50" s="46">
        <v>1</v>
      </c>
      <c r="L50" s="9" t="s">
        <v>22</v>
      </c>
      <c r="M50" s="6" t="s">
        <v>135</v>
      </c>
      <c r="N50" s="6" t="s">
        <v>136</v>
      </c>
      <c r="O50" s="10">
        <v>0.1</v>
      </c>
      <c r="P50" s="27">
        <f>+O50/K50</f>
        <v>0.1</v>
      </c>
      <c r="Q50" s="66" t="s">
        <v>259</v>
      </c>
      <c r="R50" s="12">
        <v>280763</v>
      </c>
      <c r="S50" s="83"/>
      <c r="T50" s="92"/>
    </row>
    <row r="51" spans="1:20" s="18" customFormat="1" ht="27" customHeight="1" x14ac:dyDescent="0.3">
      <c r="A51" s="84"/>
      <c r="B51" s="84"/>
      <c r="C51" s="39"/>
      <c r="D51" s="40">
        <f>+D49</f>
        <v>62766586.38484557</v>
      </c>
      <c r="E51" s="85" t="s">
        <v>195</v>
      </c>
      <c r="F51" s="86"/>
      <c r="G51" s="86"/>
      <c r="H51" s="86"/>
      <c r="I51" s="86"/>
      <c r="J51" s="86"/>
      <c r="K51" s="86"/>
      <c r="L51" s="86"/>
      <c r="M51" s="86"/>
      <c r="N51" s="86"/>
      <c r="O51" s="87"/>
      <c r="P51" s="35">
        <f>+AVERAGE(P49:P50)</f>
        <v>6.4549999999999996E-2</v>
      </c>
      <c r="Q51" s="62"/>
      <c r="R51" s="70">
        <f>+R49+R50</f>
        <v>280763</v>
      </c>
      <c r="S51" s="36">
        <f>+S49</f>
        <v>280763</v>
      </c>
      <c r="T51" s="49">
        <f>+S51/D51</f>
        <v>4.4731283979430768E-3</v>
      </c>
    </row>
    <row r="52" spans="1:20" ht="39" customHeight="1" x14ac:dyDescent="0.3">
      <c r="A52" s="84"/>
      <c r="B52" s="84"/>
      <c r="C52" s="84" t="s">
        <v>204</v>
      </c>
      <c r="D52" s="83">
        <v>41044604.229726933</v>
      </c>
      <c r="E52" s="16" t="s">
        <v>222</v>
      </c>
      <c r="F52" s="53" t="s">
        <v>137</v>
      </c>
      <c r="G52" s="9" t="s">
        <v>15</v>
      </c>
      <c r="H52" s="6">
        <v>1</v>
      </c>
      <c r="I52" s="6">
        <v>2023</v>
      </c>
      <c r="J52" s="53" t="s">
        <v>138</v>
      </c>
      <c r="K52" s="10">
        <v>1</v>
      </c>
      <c r="L52" s="9" t="s">
        <v>22</v>
      </c>
      <c r="M52" s="6" t="s">
        <v>23</v>
      </c>
      <c r="N52" s="6" t="s">
        <v>95</v>
      </c>
      <c r="O52" s="26">
        <v>0</v>
      </c>
      <c r="P52" s="27">
        <f>+O52/K52</f>
        <v>0</v>
      </c>
      <c r="Q52" s="63" t="s">
        <v>261</v>
      </c>
      <c r="R52" s="12">
        <v>0</v>
      </c>
      <c r="S52" s="83">
        <f>+R52+R53</f>
        <v>3299286</v>
      </c>
      <c r="T52" s="91">
        <f>+S52/D52</f>
        <v>8.0382940995943675E-2</v>
      </c>
    </row>
    <row r="53" spans="1:20" ht="70" x14ac:dyDescent="0.3">
      <c r="A53" s="84"/>
      <c r="B53" s="84"/>
      <c r="C53" s="84"/>
      <c r="D53" s="83"/>
      <c r="E53" s="16" t="s">
        <v>222</v>
      </c>
      <c r="F53" s="53" t="s">
        <v>139</v>
      </c>
      <c r="G53" s="9" t="s">
        <v>15</v>
      </c>
      <c r="H53" s="6">
        <v>2</v>
      </c>
      <c r="I53" s="6">
        <v>2023</v>
      </c>
      <c r="J53" s="53" t="s">
        <v>140</v>
      </c>
      <c r="K53" s="10">
        <v>3</v>
      </c>
      <c r="L53" s="9" t="s">
        <v>22</v>
      </c>
      <c r="M53" s="6" t="s">
        <v>141</v>
      </c>
      <c r="N53" s="6" t="s">
        <v>142</v>
      </c>
      <c r="O53" s="11">
        <v>0.1</v>
      </c>
      <c r="P53" s="27">
        <f>+O53/K53</f>
        <v>3.3333333333333333E-2</v>
      </c>
      <c r="Q53" s="61" t="s">
        <v>283</v>
      </c>
      <c r="R53" s="12">
        <f>3279286+20000</f>
        <v>3299286</v>
      </c>
      <c r="S53" s="83"/>
      <c r="T53" s="91"/>
    </row>
    <row r="54" spans="1:20" s="18" customFormat="1" ht="39" customHeight="1" x14ac:dyDescent="0.3">
      <c r="A54" s="84"/>
      <c r="B54" s="84"/>
      <c r="C54" s="39"/>
      <c r="D54" s="40">
        <f>+D52</f>
        <v>41044604.229726933</v>
      </c>
      <c r="E54" s="85" t="s">
        <v>196</v>
      </c>
      <c r="F54" s="86"/>
      <c r="G54" s="86"/>
      <c r="H54" s="86"/>
      <c r="I54" s="86"/>
      <c r="J54" s="86"/>
      <c r="K54" s="86"/>
      <c r="L54" s="86"/>
      <c r="M54" s="86"/>
      <c r="N54" s="86"/>
      <c r="O54" s="87"/>
      <c r="P54" s="35">
        <f>+AVERAGE(P52:P53)</f>
        <v>1.6666666666666666E-2</v>
      </c>
      <c r="Q54" s="62"/>
      <c r="R54" s="70"/>
      <c r="S54" s="36">
        <f>+S52</f>
        <v>3299286</v>
      </c>
      <c r="T54" s="37">
        <f>+S54/D54</f>
        <v>8.0382940995943675E-2</v>
      </c>
    </row>
    <row r="55" spans="1:20" ht="42" x14ac:dyDescent="0.3">
      <c r="A55" s="84"/>
      <c r="B55" s="84"/>
      <c r="C55" s="84" t="s">
        <v>143</v>
      </c>
      <c r="D55" s="83">
        <v>12666776.56799973</v>
      </c>
      <c r="E55" s="16" t="s">
        <v>223</v>
      </c>
      <c r="F55" s="54" t="s">
        <v>144</v>
      </c>
      <c r="G55" s="6" t="s">
        <v>15</v>
      </c>
      <c r="H55" s="6">
        <v>4</v>
      </c>
      <c r="I55" s="6">
        <v>2023</v>
      </c>
      <c r="J55" s="54" t="s">
        <v>145</v>
      </c>
      <c r="K55" s="46">
        <v>6</v>
      </c>
      <c r="L55" s="9" t="s">
        <v>22</v>
      </c>
      <c r="M55" s="6" t="s">
        <v>146</v>
      </c>
      <c r="N55" s="6" t="s">
        <v>147</v>
      </c>
      <c r="O55" s="28">
        <v>0.25</v>
      </c>
      <c r="P55" s="27">
        <f>+O55/K55</f>
        <v>4.1666666666666664E-2</v>
      </c>
      <c r="Q55" s="61" t="s">
        <v>265</v>
      </c>
      <c r="R55" s="12">
        <v>30000</v>
      </c>
      <c r="S55" s="83">
        <f>+R55+R56</f>
        <v>125138</v>
      </c>
      <c r="T55" s="91">
        <f>+S55/D55</f>
        <v>9.8792300731141043E-3</v>
      </c>
    </row>
    <row r="56" spans="1:20" ht="112" x14ac:dyDescent="0.3">
      <c r="A56" s="84"/>
      <c r="B56" s="84"/>
      <c r="C56" s="84"/>
      <c r="D56" s="83"/>
      <c r="E56" s="16" t="s">
        <v>216</v>
      </c>
      <c r="F56" s="54" t="s">
        <v>148</v>
      </c>
      <c r="G56" s="6" t="s">
        <v>29</v>
      </c>
      <c r="H56" s="6" t="s">
        <v>73</v>
      </c>
      <c r="I56" s="6">
        <v>2023</v>
      </c>
      <c r="J56" s="54" t="s">
        <v>149</v>
      </c>
      <c r="K56" s="10">
        <v>75</v>
      </c>
      <c r="L56" s="9" t="s">
        <v>22</v>
      </c>
      <c r="M56" s="6" t="s">
        <v>23</v>
      </c>
      <c r="N56" s="6" t="s">
        <v>150</v>
      </c>
      <c r="O56" s="21">
        <v>12</v>
      </c>
      <c r="P56" s="27">
        <f>+O56/K56</f>
        <v>0.16</v>
      </c>
      <c r="Q56" s="61" t="s">
        <v>266</v>
      </c>
      <c r="R56" s="12">
        <v>95138</v>
      </c>
      <c r="S56" s="83"/>
      <c r="T56" s="91"/>
    </row>
    <row r="57" spans="1:20" s="18" customFormat="1" ht="33" customHeight="1" x14ac:dyDescent="0.3">
      <c r="A57" s="84"/>
      <c r="B57" s="84"/>
      <c r="C57" s="39"/>
      <c r="D57" s="40">
        <f>+D55</f>
        <v>12666776.56799973</v>
      </c>
      <c r="E57" s="85" t="s">
        <v>197</v>
      </c>
      <c r="F57" s="86"/>
      <c r="G57" s="86"/>
      <c r="H57" s="86"/>
      <c r="I57" s="86"/>
      <c r="J57" s="86"/>
      <c r="K57" s="86"/>
      <c r="L57" s="86"/>
      <c r="M57" s="86"/>
      <c r="N57" s="86"/>
      <c r="O57" s="87"/>
      <c r="P57" s="35">
        <f>+AVERAGE(P55:P56)</f>
        <v>0.10083333333333333</v>
      </c>
      <c r="Q57" s="62"/>
      <c r="R57" s="68"/>
      <c r="S57" s="36">
        <f>+S55</f>
        <v>125138</v>
      </c>
      <c r="T57" s="37">
        <f>+S57/D57</f>
        <v>9.8792300731141043E-3</v>
      </c>
    </row>
    <row r="58" spans="1:20" s="18" customFormat="1" ht="30" customHeight="1" x14ac:dyDescent="0.3">
      <c r="A58" s="109"/>
      <c r="B58" s="110"/>
      <c r="C58" s="111"/>
      <c r="D58" s="75">
        <f>+D48+D51+D54+D57</f>
        <v>162468942.85010967</v>
      </c>
      <c r="E58" s="109" t="s">
        <v>198</v>
      </c>
      <c r="F58" s="110"/>
      <c r="G58" s="110"/>
      <c r="H58" s="110"/>
      <c r="I58" s="110"/>
      <c r="J58" s="110"/>
      <c r="K58" s="110"/>
      <c r="L58" s="110"/>
      <c r="M58" s="110"/>
      <c r="N58" s="110"/>
      <c r="O58" s="111"/>
      <c r="P58" s="76">
        <f>+AVERAGE(P48,P51,P54,P57)</f>
        <v>8.2002635135135143E-2</v>
      </c>
      <c r="Q58" s="77"/>
      <c r="R58" s="78"/>
      <c r="S58" s="79">
        <f>+S48+S51+S54+S57</f>
        <v>13275292</v>
      </c>
      <c r="T58" s="76">
        <f>+S58/D58</f>
        <v>8.1709721052641404E-2</v>
      </c>
    </row>
    <row r="59" spans="1:20" ht="73.5" customHeight="1" x14ac:dyDescent="0.3">
      <c r="A59" s="84" t="s">
        <v>199</v>
      </c>
      <c r="B59" s="84" t="s">
        <v>187</v>
      </c>
      <c r="C59" s="84" t="s">
        <v>151</v>
      </c>
      <c r="D59" s="83">
        <v>64173781.40406847</v>
      </c>
      <c r="E59" s="16"/>
      <c r="F59" s="53" t="s">
        <v>152</v>
      </c>
      <c r="G59" s="6" t="s">
        <v>15</v>
      </c>
      <c r="H59" s="6">
        <v>1</v>
      </c>
      <c r="I59" s="6">
        <v>2023</v>
      </c>
      <c r="J59" s="53" t="s">
        <v>153</v>
      </c>
      <c r="K59" s="46">
        <v>1</v>
      </c>
      <c r="L59" s="9" t="s">
        <v>22</v>
      </c>
      <c r="M59" s="6" t="s">
        <v>23</v>
      </c>
      <c r="N59" s="6" t="s">
        <v>154</v>
      </c>
      <c r="O59" s="100">
        <v>4.1500000000000002E-2</v>
      </c>
      <c r="P59" s="102">
        <f>+O59/K59</f>
        <v>4.1500000000000002E-2</v>
      </c>
      <c r="Q59" s="112" t="s">
        <v>267</v>
      </c>
      <c r="R59" s="114">
        <v>651153</v>
      </c>
      <c r="S59" s="83">
        <f>+R59+R61+R62</f>
        <v>3033692</v>
      </c>
      <c r="T59" s="82">
        <f>+S59/D59</f>
        <v>4.7273075290646206E-2</v>
      </c>
    </row>
    <row r="60" spans="1:20" ht="60.75" customHeight="1" x14ac:dyDescent="0.3">
      <c r="A60" s="84"/>
      <c r="B60" s="84"/>
      <c r="C60" s="84"/>
      <c r="D60" s="83"/>
      <c r="E60" s="16"/>
      <c r="F60" s="53" t="s">
        <v>184</v>
      </c>
      <c r="G60" s="6" t="s">
        <v>15</v>
      </c>
      <c r="H60" s="6">
        <v>1</v>
      </c>
      <c r="I60" s="6">
        <v>2022</v>
      </c>
      <c r="J60" s="60" t="s">
        <v>185</v>
      </c>
      <c r="K60" s="10">
        <v>1</v>
      </c>
      <c r="L60" s="9" t="s">
        <v>22</v>
      </c>
      <c r="M60" s="6" t="s">
        <v>23</v>
      </c>
      <c r="N60" s="6" t="s">
        <v>186</v>
      </c>
      <c r="O60" s="101"/>
      <c r="P60" s="103"/>
      <c r="Q60" s="113"/>
      <c r="R60" s="115"/>
      <c r="S60" s="83"/>
      <c r="T60" s="82"/>
    </row>
    <row r="61" spans="1:20" ht="112" x14ac:dyDescent="0.3">
      <c r="A61" s="84"/>
      <c r="B61" s="84"/>
      <c r="C61" s="84"/>
      <c r="D61" s="83"/>
      <c r="E61" s="16" t="s">
        <v>206</v>
      </c>
      <c r="F61" s="53" t="s">
        <v>155</v>
      </c>
      <c r="G61" s="6" t="s">
        <v>15</v>
      </c>
      <c r="H61" s="6">
        <v>37</v>
      </c>
      <c r="I61" s="6">
        <v>2022</v>
      </c>
      <c r="J61" s="53" t="s">
        <v>156</v>
      </c>
      <c r="K61" s="10">
        <v>37</v>
      </c>
      <c r="L61" s="9" t="s">
        <v>22</v>
      </c>
      <c r="M61" s="6" t="s">
        <v>23</v>
      </c>
      <c r="N61" s="6" t="s">
        <v>157</v>
      </c>
      <c r="O61" s="11">
        <v>34</v>
      </c>
      <c r="P61" s="27">
        <f>+O61/K61</f>
        <v>0.91891891891891897</v>
      </c>
      <c r="Q61" s="61" t="s">
        <v>268</v>
      </c>
      <c r="R61" s="12">
        <v>2154846</v>
      </c>
      <c r="S61" s="83"/>
      <c r="T61" s="82"/>
    </row>
    <row r="62" spans="1:20" ht="84" x14ac:dyDescent="0.3">
      <c r="A62" s="84"/>
      <c r="B62" s="84"/>
      <c r="C62" s="84"/>
      <c r="D62" s="83"/>
      <c r="E62" s="16" t="s">
        <v>221</v>
      </c>
      <c r="F62" s="53" t="s">
        <v>158</v>
      </c>
      <c r="G62" s="6" t="s">
        <v>15</v>
      </c>
      <c r="H62" s="6">
        <v>37</v>
      </c>
      <c r="I62" s="6">
        <v>2022</v>
      </c>
      <c r="J62" s="53" t="s">
        <v>159</v>
      </c>
      <c r="K62" s="10">
        <v>37</v>
      </c>
      <c r="L62" s="9" t="s">
        <v>22</v>
      </c>
      <c r="M62" s="6" t="s">
        <v>23</v>
      </c>
      <c r="N62" s="6" t="s">
        <v>154</v>
      </c>
      <c r="O62" s="11">
        <v>34</v>
      </c>
      <c r="P62" s="27">
        <f>+O62/K62</f>
        <v>0.91891891891891897</v>
      </c>
      <c r="Q62" s="48" t="s">
        <v>269</v>
      </c>
      <c r="R62" s="12">
        <v>227693</v>
      </c>
      <c r="S62" s="83"/>
      <c r="T62" s="82"/>
    </row>
    <row r="63" spans="1:20" s="18" customFormat="1" ht="26.25" customHeight="1" x14ac:dyDescent="0.3">
      <c r="A63" s="84"/>
      <c r="B63" s="84"/>
      <c r="C63" s="39"/>
      <c r="D63" s="40">
        <f>+D59</f>
        <v>64173781.40406847</v>
      </c>
      <c r="E63" s="85" t="s">
        <v>202</v>
      </c>
      <c r="F63" s="86"/>
      <c r="G63" s="86"/>
      <c r="H63" s="86"/>
      <c r="I63" s="86"/>
      <c r="J63" s="86"/>
      <c r="K63" s="86"/>
      <c r="L63" s="86"/>
      <c r="M63" s="86"/>
      <c r="N63" s="86"/>
      <c r="O63" s="87"/>
      <c r="P63" s="35">
        <f>+AVERAGE(P59,P61,P62)</f>
        <v>0.62644594594594594</v>
      </c>
      <c r="Q63" s="62"/>
      <c r="R63" s="68"/>
      <c r="S63" s="36">
        <f>+S59</f>
        <v>3033692</v>
      </c>
      <c r="T63" s="37">
        <f>+S63/D63</f>
        <v>4.7273075290646206E-2</v>
      </c>
    </row>
    <row r="64" spans="1:20" ht="59.25" customHeight="1" x14ac:dyDescent="0.3">
      <c r="A64" s="84"/>
      <c r="B64" s="84"/>
      <c r="C64" s="84" t="s">
        <v>160</v>
      </c>
      <c r="D64" s="83">
        <v>36327848.952429309</v>
      </c>
      <c r="E64" s="16" t="s">
        <v>224</v>
      </c>
      <c r="F64" s="54" t="s">
        <v>161</v>
      </c>
      <c r="G64" s="6" t="s">
        <v>15</v>
      </c>
      <c r="H64" s="9">
        <v>2</v>
      </c>
      <c r="I64" s="9">
        <v>2022</v>
      </c>
      <c r="J64" s="54" t="s">
        <v>162</v>
      </c>
      <c r="K64" s="46">
        <v>2</v>
      </c>
      <c r="L64" s="9" t="s">
        <v>22</v>
      </c>
      <c r="M64" s="6" t="s">
        <v>23</v>
      </c>
      <c r="N64" s="6"/>
      <c r="O64" s="15">
        <v>0.1</v>
      </c>
      <c r="P64" s="27">
        <f>+O64/K64</f>
        <v>0.05</v>
      </c>
      <c r="Q64" s="48" t="s">
        <v>273</v>
      </c>
      <c r="R64" s="12">
        <v>116298</v>
      </c>
      <c r="S64" s="83">
        <f>+R64+R65+R66+R67</f>
        <v>1438887</v>
      </c>
      <c r="T64" s="82">
        <f>+S64/D64</f>
        <v>3.9608373231352002E-2</v>
      </c>
    </row>
    <row r="65" spans="1:20" ht="76.5" customHeight="1" x14ac:dyDescent="0.3">
      <c r="A65" s="84"/>
      <c r="B65" s="84"/>
      <c r="C65" s="84"/>
      <c r="D65" s="83"/>
      <c r="E65" s="16" t="s">
        <v>224</v>
      </c>
      <c r="F65" s="54" t="s">
        <v>163</v>
      </c>
      <c r="G65" s="6" t="s">
        <v>15</v>
      </c>
      <c r="H65" s="9">
        <v>1</v>
      </c>
      <c r="I65" s="9">
        <v>2022</v>
      </c>
      <c r="J65" s="54" t="s">
        <v>228</v>
      </c>
      <c r="K65" s="46">
        <v>1</v>
      </c>
      <c r="L65" s="9" t="s">
        <v>22</v>
      </c>
      <c r="M65" s="6" t="s">
        <v>23</v>
      </c>
      <c r="N65" s="6"/>
      <c r="O65" s="11">
        <v>4.1500000000000002E-2</v>
      </c>
      <c r="P65" s="27">
        <f>+O65/K65</f>
        <v>4.1500000000000002E-2</v>
      </c>
      <c r="Q65" s="48" t="s">
        <v>270</v>
      </c>
      <c r="R65" s="12">
        <v>373873</v>
      </c>
      <c r="S65" s="83"/>
      <c r="T65" s="82"/>
    </row>
    <row r="66" spans="1:20" ht="42" x14ac:dyDescent="0.3">
      <c r="A66" s="84"/>
      <c r="B66" s="84"/>
      <c r="C66" s="84"/>
      <c r="D66" s="83"/>
      <c r="E66" s="16" t="s">
        <v>224</v>
      </c>
      <c r="F66" s="54" t="s">
        <v>164</v>
      </c>
      <c r="G66" s="6" t="s">
        <v>15</v>
      </c>
      <c r="H66" s="9">
        <v>1</v>
      </c>
      <c r="I66" s="9">
        <v>2023</v>
      </c>
      <c r="J66" s="54" t="s">
        <v>165</v>
      </c>
      <c r="K66" s="46">
        <v>1</v>
      </c>
      <c r="L66" s="9" t="s">
        <v>22</v>
      </c>
      <c r="M66" s="6" t="s">
        <v>23</v>
      </c>
      <c r="N66" s="6"/>
      <c r="O66" s="11">
        <v>4.1500000000000002E-2</v>
      </c>
      <c r="P66" s="27">
        <f>+O66/K66</f>
        <v>4.1500000000000002E-2</v>
      </c>
      <c r="Q66" s="48" t="s">
        <v>271</v>
      </c>
      <c r="R66" s="12">
        <v>948716</v>
      </c>
      <c r="S66" s="83"/>
      <c r="T66" s="82"/>
    </row>
    <row r="67" spans="1:20" ht="74.25" customHeight="1" x14ac:dyDescent="0.3">
      <c r="A67" s="84"/>
      <c r="B67" s="84"/>
      <c r="C67" s="84"/>
      <c r="D67" s="83"/>
      <c r="E67" s="16" t="s">
        <v>224</v>
      </c>
      <c r="F67" s="54" t="s">
        <v>166</v>
      </c>
      <c r="G67" s="6" t="s">
        <v>15</v>
      </c>
      <c r="H67" s="9">
        <v>2</v>
      </c>
      <c r="I67" s="9">
        <v>2023</v>
      </c>
      <c r="J67" s="54" t="s">
        <v>167</v>
      </c>
      <c r="K67" s="46">
        <v>2</v>
      </c>
      <c r="L67" s="9" t="s">
        <v>22</v>
      </c>
      <c r="M67" s="6" t="s">
        <v>23</v>
      </c>
      <c r="N67" s="6"/>
      <c r="O67" s="11">
        <v>4.1500000000000002E-2</v>
      </c>
      <c r="P67" s="27">
        <f>+O67/K67</f>
        <v>2.0750000000000001E-2</v>
      </c>
      <c r="Q67" s="48" t="s">
        <v>272</v>
      </c>
      <c r="R67" s="12">
        <v>0</v>
      </c>
      <c r="S67" s="83"/>
      <c r="T67" s="82"/>
    </row>
    <row r="68" spans="1:20" s="18" customFormat="1" ht="27" customHeight="1" x14ac:dyDescent="0.3">
      <c r="A68" s="84"/>
      <c r="B68" s="84"/>
      <c r="C68" s="39"/>
      <c r="D68" s="40">
        <f>+D64</f>
        <v>36327848.952429309</v>
      </c>
      <c r="E68" s="85" t="s">
        <v>201</v>
      </c>
      <c r="F68" s="86"/>
      <c r="G68" s="86"/>
      <c r="H68" s="86"/>
      <c r="I68" s="86"/>
      <c r="J68" s="86"/>
      <c r="K68" s="86"/>
      <c r="L68" s="86"/>
      <c r="M68" s="86"/>
      <c r="N68" s="86"/>
      <c r="O68" s="87"/>
      <c r="P68" s="35">
        <f>+AVERAGE(P64:P67)</f>
        <v>3.8437499999999999E-2</v>
      </c>
      <c r="Q68" s="62"/>
      <c r="R68" s="68"/>
      <c r="S68" s="36">
        <f>+S64</f>
        <v>1438887</v>
      </c>
      <c r="T68" s="36">
        <f>+S68/D68</f>
        <v>3.9608373231352002E-2</v>
      </c>
    </row>
    <row r="69" spans="1:20" ht="84" x14ac:dyDescent="0.3">
      <c r="A69" s="84"/>
      <c r="B69" s="84"/>
      <c r="C69" s="84" t="s">
        <v>168</v>
      </c>
      <c r="D69" s="83">
        <v>87057976.238255501</v>
      </c>
      <c r="E69" s="16"/>
      <c r="F69" s="53" t="s">
        <v>169</v>
      </c>
      <c r="G69" s="6" t="s">
        <v>29</v>
      </c>
      <c r="H69" s="6">
        <v>10</v>
      </c>
      <c r="I69" s="6">
        <v>2023</v>
      </c>
      <c r="J69" s="54" t="s">
        <v>170</v>
      </c>
      <c r="K69" s="46">
        <v>30</v>
      </c>
      <c r="L69" s="9" t="s">
        <v>31</v>
      </c>
      <c r="M69" s="6" t="s">
        <v>171</v>
      </c>
      <c r="N69" s="6"/>
      <c r="O69" s="50">
        <v>0</v>
      </c>
      <c r="P69" s="27">
        <f>+O69/K69</f>
        <v>0</v>
      </c>
      <c r="Q69" s="81" t="s">
        <v>274</v>
      </c>
      <c r="R69" s="44"/>
      <c r="S69" s="83">
        <f>+R69+R70+R71+R72+R73+R74</f>
        <v>5349265</v>
      </c>
      <c r="T69" s="82">
        <f>+S69/D69</f>
        <v>6.1444858140975209E-2</v>
      </c>
    </row>
    <row r="70" spans="1:20" ht="56" x14ac:dyDescent="0.3">
      <c r="A70" s="84"/>
      <c r="B70" s="84"/>
      <c r="C70" s="84"/>
      <c r="D70" s="83"/>
      <c r="E70" s="16" t="s">
        <v>224</v>
      </c>
      <c r="F70" s="53" t="s">
        <v>172</v>
      </c>
      <c r="G70" s="6" t="s">
        <v>173</v>
      </c>
      <c r="H70" s="6">
        <v>50</v>
      </c>
      <c r="I70" s="6">
        <v>2023</v>
      </c>
      <c r="J70" s="53" t="s">
        <v>174</v>
      </c>
      <c r="K70" s="10">
        <v>40</v>
      </c>
      <c r="L70" s="6" t="s">
        <v>22</v>
      </c>
      <c r="M70" s="6" t="s">
        <v>23</v>
      </c>
      <c r="N70" s="6"/>
      <c r="O70" s="21">
        <v>55</v>
      </c>
      <c r="P70" s="27">
        <v>0</v>
      </c>
      <c r="Q70" s="81"/>
      <c r="R70" s="12">
        <v>675408</v>
      </c>
      <c r="S70" s="83"/>
      <c r="T70" s="82"/>
    </row>
    <row r="71" spans="1:20" ht="63.75" customHeight="1" x14ac:dyDescent="0.3">
      <c r="A71" s="84"/>
      <c r="B71" s="84"/>
      <c r="C71" s="84"/>
      <c r="D71" s="83"/>
      <c r="E71" s="16" t="s">
        <v>224</v>
      </c>
      <c r="F71" s="53" t="s">
        <v>175</v>
      </c>
      <c r="G71" s="6" t="s">
        <v>29</v>
      </c>
      <c r="H71" s="6">
        <v>100</v>
      </c>
      <c r="I71" s="6">
        <v>2023</v>
      </c>
      <c r="J71" s="54" t="s">
        <v>176</v>
      </c>
      <c r="K71" s="10">
        <v>100</v>
      </c>
      <c r="L71" s="6" t="s">
        <v>22</v>
      </c>
      <c r="M71" s="6" t="s">
        <v>23</v>
      </c>
      <c r="N71" s="9"/>
      <c r="O71" s="11">
        <v>1.42</v>
      </c>
      <c r="P71" s="27">
        <f>+O71/K71</f>
        <v>1.4199999999999999E-2</v>
      </c>
      <c r="Q71" s="61" t="s">
        <v>276</v>
      </c>
      <c r="R71" s="12">
        <v>943244</v>
      </c>
      <c r="S71" s="83"/>
      <c r="T71" s="82"/>
    </row>
    <row r="72" spans="1:20" ht="51.75" customHeight="1" x14ac:dyDescent="0.3">
      <c r="A72" s="84"/>
      <c r="B72" s="84"/>
      <c r="C72" s="84"/>
      <c r="D72" s="83"/>
      <c r="E72" s="16" t="s">
        <v>224</v>
      </c>
      <c r="F72" s="53" t="s">
        <v>177</v>
      </c>
      <c r="G72" s="6" t="s">
        <v>29</v>
      </c>
      <c r="H72" s="6">
        <v>100</v>
      </c>
      <c r="I72" s="6">
        <v>2022</v>
      </c>
      <c r="J72" s="54" t="s">
        <v>178</v>
      </c>
      <c r="K72" s="10">
        <v>100</v>
      </c>
      <c r="L72" s="6" t="s">
        <v>22</v>
      </c>
      <c r="M72" s="6" t="s">
        <v>23</v>
      </c>
      <c r="N72" s="9"/>
      <c r="O72" s="11">
        <v>2.25</v>
      </c>
      <c r="P72" s="27">
        <f>+O72/K72</f>
        <v>2.2499999999999999E-2</v>
      </c>
      <c r="Q72" s="61" t="s">
        <v>277</v>
      </c>
      <c r="R72" s="12">
        <f>1868100+4302+14161+21313+4302</f>
        <v>1912178</v>
      </c>
      <c r="S72" s="83"/>
      <c r="T72" s="82"/>
    </row>
    <row r="73" spans="1:20" ht="101.25" customHeight="1" x14ac:dyDescent="0.3">
      <c r="A73" s="84"/>
      <c r="B73" s="84"/>
      <c r="C73" s="84"/>
      <c r="D73" s="83"/>
      <c r="E73" s="16" t="s">
        <v>205</v>
      </c>
      <c r="F73" s="53" t="s">
        <v>179</v>
      </c>
      <c r="G73" s="6" t="s">
        <v>15</v>
      </c>
      <c r="H73" s="29">
        <v>6</v>
      </c>
      <c r="I73" s="9">
        <v>2022</v>
      </c>
      <c r="J73" s="54" t="s">
        <v>180</v>
      </c>
      <c r="K73" s="46">
        <v>6</v>
      </c>
      <c r="L73" s="6" t="s">
        <v>22</v>
      </c>
      <c r="M73" s="6" t="s">
        <v>23</v>
      </c>
      <c r="N73" s="9"/>
      <c r="O73" s="11">
        <v>0.25</v>
      </c>
      <c r="P73" s="27">
        <f>+O73/K73</f>
        <v>4.1666666666666664E-2</v>
      </c>
      <c r="Q73" s="65" t="s">
        <v>275</v>
      </c>
      <c r="R73" s="12">
        <v>10000</v>
      </c>
      <c r="S73" s="83"/>
      <c r="T73" s="82"/>
    </row>
    <row r="74" spans="1:20" ht="90" customHeight="1" x14ac:dyDescent="0.3">
      <c r="A74" s="84"/>
      <c r="B74" s="84"/>
      <c r="C74" s="84"/>
      <c r="D74" s="83"/>
      <c r="E74" s="16" t="s">
        <v>225</v>
      </c>
      <c r="F74" s="53" t="s">
        <v>181</v>
      </c>
      <c r="G74" s="9" t="s">
        <v>15</v>
      </c>
      <c r="H74" s="6">
        <v>1</v>
      </c>
      <c r="I74" s="6">
        <v>2023</v>
      </c>
      <c r="J74" s="53" t="s">
        <v>182</v>
      </c>
      <c r="K74" s="10">
        <v>1</v>
      </c>
      <c r="L74" s="14" t="s">
        <v>22</v>
      </c>
      <c r="M74" s="6" t="s">
        <v>79</v>
      </c>
      <c r="N74" s="6" t="s">
        <v>183</v>
      </c>
      <c r="O74" s="51">
        <v>4.2000000000000003E-2</v>
      </c>
      <c r="P74" s="27">
        <f>+O74/K74</f>
        <v>4.2000000000000003E-2</v>
      </c>
      <c r="Q74" s="61" t="s">
        <v>278</v>
      </c>
      <c r="R74" s="12">
        <f>1101340+361226+345869</f>
        <v>1808435</v>
      </c>
      <c r="S74" s="83"/>
      <c r="T74" s="82"/>
    </row>
    <row r="75" spans="1:20" s="18" customFormat="1" ht="31.5" customHeight="1" x14ac:dyDescent="0.3">
      <c r="A75" s="84"/>
      <c r="B75" s="84"/>
      <c r="C75" s="39"/>
      <c r="D75" s="40">
        <f>+D69</f>
        <v>87057976.238255501</v>
      </c>
      <c r="E75" s="85" t="s">
        <v>200</v>
      </c>
      <c r="F75" s="86"/>
      <c r="G75" s="86"/>
      <c r="H75" s="86"/>
      <c r="I75" s="86"/>
      <c r="J75" s="86"/>
      <c r="K75" s="86"/>
      <c r="L75" s="86"/>
      <c r="M75" s="86"/>
      <c r="N75" s="86"/>
      <c r="O75" s="87"/>
      <c r="P75" s="35">
        <f>+AVERAGE(P69:P74)</f>
        <v>2.0061111111111113E-2</v>
      </c>
      <c r="Q75" s="62"/>
      <c r="R75" s="70"/>
      <c r="S75" s="36">
        <f>+S69</f>
        <v>5349265</v>
      </c>
      <c r="T75" s="37">
        <f>+S75/D75</f>
        <v>6.1444858140975209E-2</v>
      </c>
    </row>
    <row r="76" spans="1:20" s="18" customFormat="1" ht="30" customHeight="1" x14ac:dyDescent="0.3">
      <c r="A76" s="109"/>
      <c r="B76" s="110"/>
      <c r="C76" s="111"/>
      <c r="D76" s="75">
        <f>+D68+D75</f>
        <v>123385825.19068481</v>
      </c>
      <c r="E76" s="109" t="s">
        <v>248</v>
      </c>
      <c r="F76" s="110"/>
      <c r="G76" s="110"/>
      <c r="H76" s="110"/>
      <c r="I76" s="110"/>
      <c r="J76" s="110"/>
      <c r="K76" s="110"/>
      <c r="L76" s="110"/>
      <c r="M76" s="110"/>
      <c r="N76" s="110"/>
      <c r="O76" s="111"/>
      <c r="P76" s="76">
        <f>+AVERAGE(P63,P68,P75)</f>
        <v>0.22831485235235235</v>
      </c>
      <c r="Q76" s="80"/>
      <c r="R76" s="78"/>
      <c r="S76" s="79">
        <f>+S63+S68+S75</f>
        <v>9821844</v>
      </c>
      <c r="T76" s="76">
        <f>+S76/D76</f>
        <v>7.9602693298204838E-2</v>
      </c>
    </row>
    <row r="77" spans="1:20" s="18" customFormat="1" ht="47.25" customHeight="1" x14ac:dyDescent="0.3">
      <c r="A77" s="105"/>
      <c r="B77" s="105"/>
      <c r="C77" s="105"/>
      <c r="D77" s="30">
        <f>+D19+D31+D42+D58+D76</f>
        <v>654351286.60158765</v>
      </c>
      <c r="E77" s="45" t="s">
        <v>11</v>
      </c>
      <c r="F77" s="104" t="s">
        <v>11</v>
      </c>
      <c r="G77" s="104"/>
      <c r="H77" s="104"/>
      <c r="I77" s="104"/>
      <c r="J77" s="104"/>
      <c r="K77" s="104"/>
      <c r="L77" s="104"/>
      <c r="M77" s="104"/>
      <c r="N77" s="104"/>
      <c r="O77" s="104"/>
      <c r="P77" s="72">
        <f>+AVERAGE(P19,P31,P42,P58,P76)</f>
        <v>0.10420926284580659</v>
      </c>
      <c r="Q77" s="67"/>
      <c r="R77" s="71"/>
      <c r="S77" s="42" t="e">
        <f>+S19+S31+S42+S58+S76</f>
        <v>#REF!</v>
      </c>
      <c r="T77" s="74" t="e">
        <f>+S77/D77</f>
        <v>#REF!</v>
      </c>
    </row>
    <row r="78" spans="1:20" ht="44.25" customHeight="1" x14ac:dyDescent="0.3"/>
    <row r="79" spans="1:20" ht="44.25" customHeight="1" x14ac:dyDescent="0.3"/>
    <row r="80" spans="1:20" ht="44.25" customHeight="1" x14ac:dyDescent="0.3"/>
    <row r="81" ht="44.25" customHeight="1" x14ac:dyDescent="0.3"/>
    <row r="82" ht="44.25" customHeight="1" x14ac:dyDescent="0.3"/>
    <row r="83" ht="44.25" customHeight="1" x14ac:dyDescent="0.3"/>
    <row r="84" ht="44.25" customHeight="1" x14ac:dyDescent="0.3"/>
    <row r="85" ht="44.25" customHeight="1" x14ac:dyDescent="0.3"/>
    <row r="86" ht="44.25" customHeight="1" x14ac:dyDescent="0.3"/>
    <row r="87" ht="44.25" customHeight="1" x14ac:dyDescent="0.3"/>
    <row r="88" ht="44.25" customHeight="1" x14ac:dyDescent="0.3"/>
    <row r="89" ht="44.25" customHeight="1" x14ac:dyDescent="0.3"/>
    <row r="90" ht="44.25" customHeight="1" x14ac:dyDescent="0.3"/>
    <row r="91" ht="44.25" customHeight="1" x14ac:dyDescent="0.3"/>
    <row r="92" ht="44.25" customHeight="1" x14ac:dyDescent="0.3"/>
    <row r="93" ht="44.25" customHeight="1" x14ac:dyDescent="0.3"/>
    <row r="94" ht="44.25" customHeight="1" x14ac:dyDescent="0.3"/>
    <row r="95" ht="44.25" customHeight="1" x14ac:dyDescent="0.3"/>
    <row r="96" ht="44.25" customHeight="1" x14ac:dyDescent="0.3"/>
    <row r="97" ht="44.25" customHeight="1" x14ac:dyDescent="0.3"/>
    <row r="98" ht="44.25" customHeight="1" x14ac:dyDescent="0.3"/>
    <row r="99" ht="44.25" customHeight="1" x14ac:dyDescent="0.3"/>
    <row r="100" ht="44.25" customHeight="1" x14ac:dyDescent="0.3"/>
    <row r="101" ht="44.25" customHeight="1" x14ac:dyDescent="0.3"/>
    <row r="102" ht="44.25" customHeight="1" x14ac:dyDescent="0.3"/>
    <row r="103" ht="44.25" customHeight="1" x14ac:dyDescent="0.3"/>
    <row r="104" ht="44.25" customHeight="1" x14ac:dyDescent="0.3"/>
    <row r="105" ht="44.25" customHeight="1" x14ac:dyDescent="0.3"/>
    <row r="106" ht="44.25" customHeight="1" x14ac:dyDescent="0.3"/>
    <row r="107" ht="44.25" customHeight="1" x14ac:dyDescent="0.3"/>
    <row r="108" ht="44.25" customHeight="1" x14ac:dyDescent="0.3"/>
    <row r="109" ht="44.25" customHeight="1" x14ac:dyDescent="0.3"/>
    <row r="110" ht="44.25" customHeight="1" x14ac:dyDescent="0.3"/>
    <row r="111" ht="44.25" customHeight="1" x14ac:dyDescent="0.3"/>
    <row r="112" ht="44.25" customHeight="1" x14ac:dyDescent="0.3"/>
    <row r="113" ht="44.25" customHeight="1" x14ac:dyDescent="0.3"/>
    <row r="114" ht="44.25" customHeight="1" x14ac:dyDescent="0.3"/>
    <row r="115" ht="44.25" customHeight="1" x14ac:dyDescent="0.3"/>
    <row r="116" ht="44.25" customHeight="1" x14ac:dyDescent="0.3"/>
    <row r="117" ht="44.25" customHeight="1" x14ac:dyDescent="0.3"/>
    <row r="118" ht="44.25" customHeight="1" x14ac:dyDescent="0.3"/>
    <row r="119" ht="44.25" customHeight="1" x14ac:dyDescent="0.3"/>
    <row r="120" ht="44.25" customHeight="1" x14ac:dyDescent="0.3"/>
    <row r="121" ht="44.25" customHeight="1" x14ac:dyDescent="0.3"/>
    <row r="122" ht="44.25" customHeight="1" x14ac:dyDescent="0.3"/>
    <row r="123" ht="44.25" customHeight="1" x14ac:dyDescent="0.3"/>
    <row r="124" ht="44.25" customHeight="1" x14ac:dyDescent="0.3"/>
    <row r="125" ht="44.25" customHeight="1" x14ac:dyDescent="0.3"/>
    <row r="126" ht="44.25" customHeight="1" x14ac:dyDescent="0.3"/>
    <row r="127" ht="44.25" customHeight="1" x14ac:dyDescent="0.3"/>
    <row r="128" ht="44.25" customHeight="1" x14ac:dyDescent="0.3"/>
    <row r="129" ht="44.25" customHeight="1" x14ac:dyDescent="0.3"/>
    <row r="130" ht="44.25" customHeight="1" x14ac:dyDescent="0.3"/>
    <row r="131" ht="44.25" customHeight="1" x14ac:dyDescent="0.3"/>
    <row r="132" ht="44.25" customHeight="1" x14ac:dyDescent="0.3"/>
    <row r="133" ht="44.25" customHeight="1" x14ac:dyDescent="0.3"/>
    <row r="134" ht="44.25" customHeight="1" x14ac:dyDescent="0.3"/>
    <row r="135" ht="44.25" customHeight="1" x14ac:dyDescent="0.3"/>
    <row r="136" ht="44.25" customHeight="1" x14ac:dyDescent="0.3"/>
    <row r="137" ht="44.25" customHeight="1" x14ac:dyDescent="0.3"/>
    <row r="138" ht="44.25" customHeight="1" x14ac:dyDescent="0.3"/>
    <row r="139" ht="44.25" customHeight="1" x14ac:dyDescent="0.3"/>
    <row r="140" ht="44.25" customHeight="1" x14ac:dyDescent="0.3"/>
    <row r="141" ht="44.25" customHeight="1" x14ac:dyDescent="0.3"/>
    <row r="142" ht="44.25" customHeight="1" x14ac:dyDescent="0.3"/>
    <row r="143" ht="44.25" customHeight="1" x14ac:dyDescent="0.3"/>
    <row r="144" ht="44.25" customHeight="1" x14ac:dyDescent="0.3"/>
    <row r="145" ht="44.25" customHeight="1" x14ac:dyDescent="0.3"/>
    <row r="146" ht="44.25" customHeight="1" x14ac:dyDescent="0.3"/>
    <row r="147" ht="44.25" customHeight="1" x14ac:dyDescent="0.3"/>
    <row r="148" ht="44.25" customHeight="1" x14ac:dyDescent="0.3"/>
    <row r="149" ht="44.25" customHeight="1" x14ac:dyDescent="0.3"/>
    <row r="150" ht="44.25" customHeight="1" x14ac:dyDescent="0.3"/>
    <row r="151" ht="44.25" customHeight="1" x14ac:dyDescent="0.3"/>
    <row r="152" ht="44.25" customHeight="1" x14ac:dyDescent="0.3"/>
    <row r="153" ht="44.25" customHeight="1" x14ac:dyDescent="0.3"/>
    <row r="154" ht="44.25" customHeight="1" x14ac:dyDescent="0.3"/>
    <row r="155" ht="44.25" customHeight="1" x14ac:dyDescent="0.3"/>
    <row r="156" ht="44.25" customHeight="1" x14ac:dyDescent="0.3"/>
    <row r="157" ht="44.25" customHeight="1" x14ac:dyDescent="0.3"/>
    <row r="158" ht="44.25" customHeight="1" x14ac:dyDescent="0.3"/>
    <row r="159" ht="44.25" customHeight="1" x14ac:dyDescent="0.3"/>
    <row r="160" ht="44.25" customHeight="1" x14ac:dyDescent="0.3"/>
    <row r="161" ht="44.25" customHeight="1" x14ac:dyDescent="0.3"/>
    <row r="162" ht="44.25" customHeight="1" x14ac:dyDescent="0.3"/>
    <row r="163" ht="44.25" customHeight="1" x14ac:dyDescent="0.3"/>
    <row r="164" ht="44.25" customHeight="1" x14ac:dyDescent="0.3"/>
    <row r="165" ht="44.25" customHeight="1" x14ac:dyDescent="0.3"/>
    <row r="166" ht="44.25" customHeight="1" x14ac:dyDescent="0.3"/>
    <row r="167" ht="44.25" customHeight="1" x14ac:dyDescent="0.3"/>
    <row r="168" ht="44.25" customHeight="1" x14ac:dyDescent="0.3"/>
    <row r="169" ht="44.25" customHeight="1" x14ac:dyDescent="0.3"/>
    <row r="170" ht="44.25" customHeight="1" x14ac:dyDescent="0.3"/>
    <row r="171" ht="44.25" customHeight="1" x14ac:dyDescent="0.3"/>
    <row r="172" ht="44.25" customHeight="1" x14ac:dyDescent="0.3"/>
    <row r="173" ht="44.25" customHeight="1" x14ac:dyDescent="0.3"/>
    <row r="174" ht="44.25" customHeight="1" x14ac:dyDescent="0.3"/>
    <row r="175" ht="44.25" customHeight="1" x14ac:dyDescent="0.3"/>
    <row r="176" ht="44.25" customHeight="1" x14ac:dyDescent="0.3"/>
    <row r="177" ht="44.25" customHeight="1" x14ac:dyDescent="0.3"/>
    <row r="178" ht="44.25" customHeight="1" x14ac:dyDescent="0.3"/>
    <row r="179" ht="44.25" customHeight="1" x14ac:dyDescent="0.3"/>
    <row r="180" ht="44.25" customHeight="1" x14ac:dyDescent="0.3"/>
    <row r="181" ht="44.25" customHeight="1" x14ac:dyDescent="0.3"/>
    <row r="182" ht="44.25" customHeight="1" x14ac:dyDescent="0.3"/>
    <row r="183" ht="44.25" customHeight="1" x14ac:dyDescent="0.3"/>
    <row r="184" ht="44.25" customHeight="1" x14ac:dyDescent="0.3"/>
    <row r="185" ht="44.25" customHeight="1" x14ac:dyDescent="0.3"/>
    <row r="186" ht="44.25" customHeight="1" x14ac:dyDescent="0.3"/>
    <row r="187" ht="44.25" customHeight="1" x14ac:dyDescent="0.3"/>
    <row r="188" ht="44.25" customHeight="1" x14ac:dyDescent="0.3"/>
    <row r="189" ht="44.25" customHeight="1" x14ac:dyDescent="0.3"/>
    <row r="190" ht="44.25" customHeight="1" x14ac:dyDescent="0.3"/>
    <row r="191" ht="44.25" customHeight="1" x14ac:dyDescent="0.3"/>
    <row r="192" ht="44.25" customHeight="1" x14ac:dyDescent="0.3"/>
    <row r="193" ht="44.25" customHeight="1" x14ac:dyDescent="0.3"/>
    <row r="194" ht="44.25" customHeight="1" x14ac:dyDescent="0.3"/>
    <row r="195" ht="44.25" customHeight="1" x14ac:dyDescent="0.3"/>
    <row r="196" ht="44.25" customHeight="1" x14ac:dyDescent="0.3"/>
    <row r="197" ht="44.25" customHeight="1" x14ac:dyDescent="0.3"/>
    <row r="198" ht="44.25" customHeight="1" x14ac:dyDescent="0.3"/>
    <row r="199" ht="44.25" customHeight="1" x14ac:dyDescent="0.3"/>
    <row r="200" ht="44.25" customHeight="1" x14ac:dyDescent="0.3"/>
    <row r="201" ht="44.25" customHeight="1" x14ac:dyDescent="0.3"/>
    <row r="202" ht="44.25" customHeight="1" x14ac:dyDescent="0.3"/>
    <row r="203" ht="44.25" customHeight="1" x14ac:dyDescent="0.3"/>
    <row r="204" ht="44.25" customHeight="1" x14ac:dyDescent="0.3"/>
    <row r="205" ht="44.25" customHeight="1" x14ac:dyDescent="0.3"/>
    <row r="206" ht="44.25" customHeight="1" x14ac:dyDescent="0.3"/>
    <row r="207" ht="44.25" customHeight="1" x14ac:dyDescent="0.3"/>
    <row r="208" ht="44.25" customHeight="1" x14ac:dyDescent="0.3"/>
    <row r="209" ht="44.25" customHeight="1" x14ac:dyDescent="0.3"/>
    <row r="210" ht="44.25" customHeight="1" x14ac:dyDescent="0.3"/>
    <row r="211" ht="44.25" customHeight="1" x14ac:dyDescent="0.3"/>
    <row r="212" ht="44.25" customHeight="1" x14ac:dyDescent="0.3"/>
    <row r="213" ht="44.25" customHeight="1" x14ac:dyDescent="0.3"/>
    <row r="214" ht="44.25" customHeight="1" x14ac:dyDescent="0.3"/>
    <row r="215" ht="44.25" customHeight="1" x14ac:dyDescent="0.3"/>
    <row r="216" ht="44.25" customHeight="1" x14ac:dyDescent="0.3"/>
    <row r="217" ht="44.25" customHeight="1" x14ac:dyDescent="0.3"/>
    <row r="218" ht="44.25" customHeight="1" x14ac:dyDescent="0.3"/>
    <row r="219" ht="44.25" customHeight="1" x14ac:dyDescent="0.3"/>
    <row r="220" ht="44.25" customHeight="1" x14ac:dyDescent="0.3"/>
    <row r="221" ht="44.2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sheetData>
  <mergeCells count="108">
    <mergeCell ref="O2:Q2"/>
    <mergeCell ref="R2:T2"/>
    <mergeCell ref="C4:C9"/>
    <mergeCell ref="D4:D9"/>
    <mergeCell ref="S4:S9"/>
    <mergeCell ref="K2:K3"/>
    <mergeCell ref="L2:L3"/>
    <mergeCell ref="M2:N2"/>
    <mergeCell ref="A1:N1"/>
    <mergeCell ref="A2:A3"/>
    <mergeCell ref="B2:B3"/>
    <mergeCell ref="C2:C3"/>
    <mergeCell ref="E2:E3"/>
    <mergeCell ref="F2:F3"/>
    <mergeCell ref="G2:G3"/>
    <mergeCell ref="H2:I3"/>
    <mergeCell ref="J2:J3"/>
    <mergeCell ref="D2:D3"/>
    <mergeCell ref="S20:S24"/>
    <mergeCell ref="T20:T24"/>
    <mergeCell ref="E25:O25"/>
    <mergeCell ref="C26:C29"/>
    <mergeCell ref="D26:D29"/>
    <mergeCell ref="S26:S29"/>
    <mergeCell ref="T26:T29"/>
    <mergeCell ref="E18:O18"/>
    <mergeCell ref="A19:C19"/>
    <mergeCell ref="E19:O19"/>
    <mergeCell ref="A20:A30"/>
    <mergeCell ref="B20:B30"/>
    <mergeCell ref="C20:C24"/>
    <mergeCell ref="D20:D24"/>
    <mergeCell ref="E30:O30"/>
    <mergeCell ref="A4:A18"/>
    <mergeCell ref="B4:B18"/>
    <mergeCell ref="T4:T9"/>
    <mergeCell ref="F7:F8"/>
    <mergeCell ref="E10:O10"/>
    <mergeCell ref="C11:C17"/>
    <mergeCell ref="D11:D17"/>
    <mergeCell ref="S11:S17"/>
    <mergeCell ref="T11:T17"/>
    <mergeCell ref="S32:S35"/>
    <mergeCell ref="T32:T35"/>
    <mergeCell ref="E36:O36"/>
    <mergeCell ref="C37:C40"/>
    <mergeCell ref="D37:D40"/>
    <mergeCell ref="S37:S40"/>
    <mergeCell ref="T37:T40"/>
    <mergeCell ref="A31:C31"/>
    <mergeCell ref="E31:O31"/>
    <mergeCell ref="A32:A41"/>
    <mergeCell ref="B32:B41"/>
    <mergeCell ref="C32:C35"/>
    <mergeCell ref="D32:D35"/>
    <mergeCell ref="E41:O41"/>
    <mergeCell ref="S43:S47"/>
    <mergeCell ref="T43:T47"/>
    <mergeCell ref="E48:O48"/>
    <mergeCell ref="C49:C50"/>
    <mergeCell ref="D49:D50"/>
    <mergeCell ref="S49:S50"/>
    <mergeCell ref="T49:T50"/>
    <mergeCell ref="A42:C42"/>
    <mergeCell ref="E42:O42"/>
    <mergeCell ref="A43:A57"/>
    <mergeCell ref="B43:B57"/>
    <mergeCell ref="C43:C47"/>
    <mergeCell ref="D43:D47"/>
    <mergeCell ref="E51:O51"/>
    <mergeCell ref="C52:C53"/>
    <mergeCell ref="D52:D53"/>
    <mergeCell ref="E57:O57"/>
    <mergeCell ref="C59:C62"/>
    <mergeCell ref="D59:D62"/>
    <mergeCell ref="O59:O60"/>
    <mergeCell ref="C64:C67"/>
    <mergeCell ref="S52:S53"/>
    <mergeCell ref="T52:T53"/>
    <mergeCell ref="E54:O54"/>
    <mergeCell ref="C55:C56"/>
    <mergeCell ref="D55:D56"/>
    <mergeCell ref="S55:S56"/>
    <mergeCell ref="T55:T56"/>
    <mergeCell ref="O1:T1"/>
    <mergeCell ref="E75:O75"/>
    <mergeCell ref="A76:C76"/>
    <mergeCell ref="E76:O76"/>
    <mergeCell ref="A77:C77"/>
    <mergeCell ref="F77:O77"/>
    <mergeCell ref="D64:D67"/>
    <mergeCell ref="S64:S67"/>
    <mergeCell ref="T64:T67"/>
    <mergeCell ref="E68:O68"/>
    <mergeCell ref="C69:C74"/>
    <mergeCell ref="D69:D74"/>
    <mergeCell ref="S69:S74"/>
    <mergeCell ref="T69:T74"/>
    <mergeCell ref="P59:P60"/>
    <mergeCell ref="Q59:Q60"/>
    <mergeCell ref="R59:R60"/>
    <mergeCell ref="S59:S62"/>
    <mergeCell ref="T59:T62"/>
    <mergeCell ref="E63:O63"/>
    <mergeCell ref="A58:C58"/>
    <mergeCell ref="E58:O58"/>
    <mergeCell ref="A59:A75"/>
    <mergeCell ref="B59:B75"/>
  </mergeCells>
  <pageMargins left="0.70866141732283472" right="0.70866141732283472" top="0.74803149606299213" bottom="0.74803149606299213" header="0" footer="0"/>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APORTES PAC AL PGAR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jp365-2024.12@outlook.com</cp:lastModifiedBy>
  <dcterms:created xsi:type="dcterms:W3CDTF">2018-08-09T20:59:22Z</dcterms:created>
  <dcterms:modified xsi:type="dcterms:W3CDTF">2024-07-29T19:49:44Z</dcterms:modified>
</cp:coreProperties>
</file>